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akcijanje\nauka\moji radovi\aktivno\symbolic regression\rils-rols\test\"/>
    </mc:Choice>
  </mc:AlternateContent>
  <xr:revisionPtr revIDLastSave="0" documentId="13_ncr:1_{69F9DF65-AC9D-4DEA-89DF-2173B71C565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Results" sheetId="28" r:id="rId1"/>
    <sheet name="10 seeds 7200s" sheetId="27" r:id="rId2"/>
    <sheet name="Checkpoint 7" sheetId="30" r:id="rId3"/>
    <sheet name="Tuning" sheetId="4" r:id="rId4"/>
    <sheet name="Final results" sheetId="3" r:id="rId5"/>
    <sheet name="0.001" sheetId="10" r:id="rId6"/>
    <sheet name="0.0005" sheetId="24" r:id="rId7"/>
    <sheet name="0.0001" sheetId="13" r:id="rId8"/>
    <sheet name="0.00001" sheetId="6" r:id="rId9"/>
  </sheets>
  <definedNames>
    <definedName name="_xlnm._FilterDatabase" localSheetId="5" hidden="1">'0.001'!$A$1:$A$133</definedName>
    <definedName name="_xlnm._FilterDatabase" localSheetId="1" hidden="1">'10 seeds 7200s'!$H$1:$H$321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F418" i="30" l="1" a="1"/>
  <c r="AF418" i="30" s="1"/>
  <c r="AD413" i="30" a="1"/>
  <c r="AD413" i="30" s="1"/>
  <c r="AD414" i="30" a="1"/>
  <c r="AD414" i="30" s="1"/>
  <c r="AD188" i="30" a="1"/>
  <c r="AD188" i="30"/>
  <c r="AF202" i="30" a="1"/>
  <c r="AF202" i="30" s="1"/>
  <c r="AF214" i="30"/>
  <c r="AD216" i="30" a="1"/>
  <c r="AD216" i="30" s="1"/>
  <c r="AD218" i="30" a="1"/>
  <c r="AD218" i="30" s="1"/>
  <c r="AD224" i="30" a="1"/>
  <c r="AD224" i="30" s="1"/>
  <c r="AF231" i="30"/>
  <c r="AF232" i="30"/>
  <c r="AD235" i="30" a="1"/>
  <c r="AD235" i="30" s="1"/>
  <c r="AF241" i="30" a="1"/>
  <c r="AF241" i="30" s="1"/>
  <c r="AD252" i="30" a="1"/>
  <c r="AD252" i="30" s="1"/>
  <c r="AD254" i="30" a="1"/>
  <c r="AD254" i="30" s="1"/>
  <c r="AD255" i="30" a="1"/>
  <c r="AD255" i="30" s="1"/>
  <c r="AD256" i="30" a="1"/>
  <c r="AD256" i="30" s="1"/>
  <c r="AD257" i="30" a="1"/>
  <c r="AD257" i="30" s="1"/>
  <c r="AF262" i="30"/>
  <c r="AF264" i="30" a="1"/>
  <c r="AF264" i="30" s="1"/>
  <c r="AF265" i="30" a="1"/>
  <c r="AF265" i="30"/>
  <c r="AD266" i="30" a="1"/>
  <c r="AD266" i="30" s="1"/>
  <c r="AF266" i="30" a="1"/>
  <c r="AF266" i="30" s="1"/>
  <c r="AF270" i="30" a="1"/>
  <c r="AF270" i="30"/>
  <c r="AD274" i="30" a="1"/>
  <c r="AD274" i="30" s="1"/>
  <c r="AF275" i="30"/>
  <c r="AF277" i="30"/>
  <c r="AD282" i="30" a="1"/>
  <c r="AD282" i="30"/>
  <c r="AD291" i="30" a="1"/>
  <c r="AD291" i="30" s="1"/>
  <c r="AD293" i="30" a="1"/>
  <c r="AD293" i="30"/>
  <c r="AF293" i="30" a="1"/>
  <c r="AF293" i="30"/>
  <c r="AD296" i="30" a="1"/>
  <c r="AD296" i="30" s="1"/>
  <c r="AD298" i="30" a="1"/>
  <c r="AD298" i="30" s="1"/>
  <c r="AD300" i="30" a="1"/>
  <c r="AD300" i="30" s="1"/>
  <c r="AF300" i="30" a="1"/>
  <c r="AF300" i="30" s="1"/>
  <c r="AD309" i="30" a="1"/>
  <c r="AD309" i="30"/>
  <c r="AF309" i="30" a="1"/>
  <c r="AF309" i="30" s="1"/>
  <c r="AD310" i="30" a="1"/>
  <c r="AD310" i="30" s="1"/>
  <c r="AD317" i="30" a="1"/>
  <c r="AD317" i="30" s="1"/>
  <c r="AD318" i="30" a="1"/>
  <c r="AD318" i="30" s="1"/>
  <c r="AD321" i="30" a="1"/>
  <c r="AD321" i="30" s="1"/>
  <c r="AD322" i="30" a="1"/>
  <c r="AD322" i="30" s="1"/>
  <c r="AF322" i="30" a="1"/>
  <c r="AF322" i="30" s="1"/>
  <c r="AD324" i="30" a="1"/>
  <c r="AD324" i="30" s="1"/>
  <c r="AD328" i="30" a="1"/>
  <c r="AD328" i="30" s="1"/>
  <c r="AD331" i="30" a="1"/>
  <c r="AD331" i="30" s="1"/>
  <c r="AD333" i="30" a="1"/>
  <c r="AD333" i="30" s="1"/>
  <c r="AD334" i="30" a="1"/>
  <c r="AD334" i="30" s="1"/>
  <c r="AD338" i="30" a="1"/>
  <c r="AD338" i="30" s="1"/>
  <c r="AD341" i="30" a="1"/>
  <c r="AD341" i="30" s="1"/>
  <c r="AF342" i="30"/>
  <c r="AD343" i="30" a="1"/>
  <c r="AD343" i="30" s="1"/>
  <c r="AD346" i="30" a="1"/>
  <c r="AD346" i="30"/>
  <c r="AD348" i="30" a="1"/>
  <c r="AD348" i="30" s="1"/>
  <c r="AF351" i="30" a="1"/>
  <c r="AF351" i="30" s="1"/>
  <c r="AD352" i="30" a="1"/>
  <c r="AD352" i="30" s="1"/>
  <c r="AD354" i="30" a="1"/>
  <c r="AD354" i="30"/>
  <c r="AD356" i="30" a="1"/>
  <c r="AD356" i="30"/>
  <c r="AF359" i="30" a="1"/>
  <c r="AF359" i="30" s="1"/>
  <c r="AD362" i="30" a="1"/>
  <c r="AD362" i="30" s="1"/>
  <c r="AD366" i="30" a="1"/>
  <c r="AD366" i="30" s="1"/>
  <c r="AD369" i="30" a="1"/>
  <c r="AD369" i="30" s="1"/>
  <c r="AD371" i="30" a="1"/>
  <c r="AD371" i="30" s="1"/>
  <c r="AD372" i="30" a="1"/>
  <c r="AD372" i="30"/>
  <c r="AD374" i="30" a="1"/>
  <c r="AD374" i="30" s="1"/>
  <c r="AF374" i="30" a="1"/>
  <c r="AF374" i="30"/>
  <c r="AF376" i="30" a="1"/>
  <c r="AF376" i="30" s="1"/>
  <c r="AD378" i="30" a="1"/>
  <c r="AD378" i="30"/>
  <c r="AF378" i="30" a="1"/>
  <c r="AF378" i="30"/>
  <c r="AD381" i="30" a="1"/>
  <c r="AD381" i="30" s="1"/>
  <c r="AD382" i="30" a="1"/>
  <c r="AD382" i="30" s="1"/>
  <c r="AD383" i="30" a="1"/>
  <c r="AD383" i="30" s="1"/>
  <c r="AF384" i="30" a="1"/>
  <c r="AF384" i="30"/>
  <c r="AF386" i="30"/>
  <c r="AF387" i="30" a="1"/>
  <c r="AF387" i="30" s="1"/>
  <c r="AD391" i="30" a="1"/>
  <c r="AD391" i="30" s="1"/>
  <c r="AF391" i="30" a="1"/>
  <c r="AF391" i="30"/>
  <c r="AF392" i="30" a="1"/>
  <c r="AF392" i="30" s="1"/>
  <c r="AF395" i="30" a="1"/>
  <c r="AF395" i="30"/>
  <c r="AD400" i="30" a="1"/>
  <c r="AD400" i="30" s="1"/>
  <c r="AD405" i="30" a="1"/>
  <c r="AD405" i="30" s="1"/>
  <c r="AF409" i="30"/>
  <c r="G6" i="28"/>
  <c r="H6" i="28"/>
  <c r="I6" i="28"/>
  <c r="G7" i="28"/>
  <c r="H7" i="28"/>
  <c r="I7" i="28"/>
  <c r="G8" i="28"/>
  <c r="H8" i="28"/>
  <c r="J8" i="28" s="1"/>
  <c r="I8" i="28"/>
  <c r="G9" i="28"/>
  <c r="H9" i="28"/>
  <c r="I9" i="28"/>
  <c r="G10" i="28"/>
  <c r="H10" i="28"/>
  <c r="I10" i="28"/>
  <c r="G11" i="28"/>
  <c r="H11" i="28"/>
  <c r="I11" i="28"/>
  <c r="G12" i="28"/>
  <c r="H12" i="28"/>
  <c r="I12" i="28"/>
  <c r="G13" i="28"/>
  <c r="H13" i="28"/>
  <c r="I13" i="28"/>
  <c r="G14" i="28"/>
  <c r="K14" i="28" s="1"/>
  <c r="H14" i="28"/>
  <c r="I14" i="28"/>
  <c r="G15" i="28"/>
  <c r="H15" i="28"/>
  <c r="I15" i="28"/>
  <c r="G16" i="28"/>
  <c r="K16" i="28" s="1"/>
  <c r="H16" i="28"/>
  <c r="I16" i="28"/>
  <c r="G17" i="28"/>
  <c r="H17" i="28"/>
  <c r="I17" i="28"/>
  <c r="G18" i="28"/>
  <c r="H18" i="28"/>
  <c r="I18" i="28"/>
  <c r="G19" i="28"/>
  <c r="H19" i="28"/>
  <c r="I19" i="28"/>
  <c r="G20" i="28"/>
  <c r="K20" i="28" s="1"/>
  <c r="H20" i="28"/>
  <c r="I20" i="28"/>
  <c r="G21" i="28"/>
  <c r="K21" i="28" s="1"/>
  <c r="H21" i="28"/>
  <c r="I21" i="28"/>
  <c r="G22" i="28"/>
  <c r="H22" i="28"/>
  <c r="I22" i="28"/>
  <c r="G23" i="28"/>
  <c r="H23" i="28"/>
  <c r="I23" i="28"/>
  <c r="G24" i="28"/>
  <c r="H24" i="28"/>
  <c r="J24" i="28" s="1"/>
  <c r="I24" i="28"/>
  <c r="G25" i="28"/>
  <c r="H25" i="28"/>
  <c r="I25" i="28"/>
  <c r="G26" i="28"/>
  <c r="H26" i="28"/>
  <c r="I26" i="28"/>
  <c r="G27" i="28"/>
  <c r="H27" i="28"/>
  <c r="I27" i="28"/>
  <c r="G28" i="28"/>
  <c r="H28" i="28"/>
  <c r="I28" i="28"/>
  <c r="G29" i="28"/>
  <c r="H29" i="28"/>
  <c r="I29" i="28"/>
  <c r="G30" i="28"/>
  <c r="K30" i="28" s="1"/>
  <c r="H30" i="28"/>
  <c r="I30" i="28"/>
  <c r="G31" i="28"/>
  <c r="H31" i="28"/>
  <c r="I31" i="28"/>
  <c r="G32" i="28"/>
  <c r="K32" i="28" s="1"/>
  <c r="H32" i="28"/>
  <c r="I32" i="28"/>
  <c r="G33" i="28"/>
  <c r="H33" i="28"/>
  <c r="I33" i="28"/>
  <c r="G34" i="28"/>
  <c r="H34" i="28"/>
  <c r="I34" i="28"/>
  <c r="G35" i="28"/>
  <c r="H35" i="28"/>
  <c r="I35" i="28"/>
  <c r="G36" i="28"/>
  <c r="K36" i="28" s="1"/>
  <c r="H36" i="28"/>
  <c r="I36" i="28"/>
  <c r="G37" i="28"/>
  <c r="H37" i="28"/>
  <c r="J37" i="28" s="1"/>
  <c r="I37" i="28"/>
  <c r="G38" i="28"/>
  <c r="H38" i="28"/>
  <c r="I38" i="28"/>
  <c r="G39" i="28"/>
  <c r="H39" i="28"/>
  <c r="I39" i="28"/>
  <c r="G40" i="28"/>
  <c r="H40" i="28"/>
  <c r="J40" i="28" s="1"/>
  <c r="I40" i="28"/>
  <c r="G41" i="28"/>
  <c r="H41" i="28"/>
  <c r="I41" i="28"/>
  <c r="G42" i="28"/>
  <c r="H42" i="28"/>
  <c r="I42" i="28"/>
  <c r="G43" i="28"/>
  <c r="H43" i="28"/>
  <c r="I43" i="28"/>
  <c r="G44" i="28"/>
  <c r="H44" i="28"/>
  <c r="I44" i="28"/>
  <c r="G45" i="28"/>
  <c r="H45" i="28"/>
  <c r="I45" i="28"/>
  <c r="G46" i="28"/>
  <c r="K46" i="28" s="1"/>
  <c r="H46" i="28"/>
  <c r="I46" i="28"/>
  <c r="G47" i="28"/>
  <c r="H47" i="28"/>
  <c r="I47" i="28"/>
  <c r="G48" i="28"/>
  <c r="K48" i="28" s="1"/>
  <c r="H48" i="28"/>
  <c r="I48" i="28"/>
  <c r="G49" i="28"/>
  <c r="H49" i="28"/>
  <c r="I49" i="28"/>
  <c r="G51" i="28"/>
  <c r="H51" i="28"/>
  <c r="I51" i="28"/>
  <c r="G52" i="28"/>
  <c r="K52" i="28" s="1"/>
  <c r="H52" i="28"/>
  <c r="I52" i="28"/>
  <c r="G53" i="28"/>
  <c r="H53" i="28"/>
  <c r="I53" i="28"/>
  <c r="G54" i="28"/>
  <c r="H54" i="28"/>
  <c r="I54" i="28"/>
  <c r="G55" i="28"/>
  <c r="H55" i="28"/>
  <c r="I55" i="28"/>
  <c r="G56" i="28"/>
  <c r="H56" i="28"/>
  <c r="I56" i="28"/>
  <c r="G58" i="28"/>
  <c r="H58" i="28"/>
  <c r="J58" i="28" s="1"/>
  <c r="I58" i="28"/>
  <c r="G59" i="28"/>
  <c r="H59" i="28"/>
  <c r="I59" i="28"/>
  <c r="G60" i="28"/>
  <c r="H60" i="28"/>
  <c r="I60" i="28"/>
  <c r="G61" i="28"/>
  <c r="H61" i="28"/>
  <c r="I61" i="28"/>
  <c r="G62" i="28"/>
  <c r="H62" i="28"/>
  <c r="I62" i="28"/>
  <c r="G63" i="28"/>
  <c r="H63" i="28"/>
  <c r="I63" i="28"/>
  <c r="G64" i="28"/>
  <c r="K64" i="28" s="1"/>
  <c r="H64" i="28"/>
  <c r="I64" i="28"/>
  <c r="G65" i="28"/>
  <c r="H65" i="28"/>
  <c r="I65" i="28"/>
  <c r="G66" i="28"/>
  <c r="H66" i="28"/>
  <c r="I66" i="28"/>
  <c r="G67" i="28"/>
  <c r="H67" i="28"/>
  <c r="I67" i="28"/>
  <c r="G68" i="28"/>
  <c r="H68" i="28"/>
  <c r="I68" i="28"/>
  <c r="G69" i="28"/>
  <c r="H69" i="28"/>
  <c r="I69" i="28"/>
  <c r="G70" i="28"/>
  <c r="J70" i="28" s="1"/>
  <c r="H70" i="28"/>
  <c r="I70" i="28"/>
  <c r="G71" i="28"/>
  <c r="H71" i="28"/>
  <c r="I71" i="28"/>
  <c r="G72" i="28"/>
  <c r="H72" i="28"/>
  <c r="I72" i="28"/>
  <c r="G73" i="28"/>
  <c r="H73" i="28"/>
  <c r="I73" i="28"/>
  <c r="G74" i="28"/>
  <c r="H74" i="28"/>
  <c r="J74" i="28" s="1"/>
  <c r="I74" i="28"/>
  <c r="G75" i="28"/>
  <c r="H75" i="28"/>
  <c r="I75" i="28"/>
  <c r="G76" i="28"/>
  <c r="H76" i="28"/>
  <c r="I76" i="28"/>
  <c r="G77" i="28"/>
  <c r="H77" i="28"/>
  <c r="I77" i="28"/>
  <c r="G78" i="28"/>
  <c r="H78" i="28"/>
  <c r="I78" i="28"/>
  <c r="G79" i="28"/>
  <c r="H79" i="28"/>
  <c r="I79" i="28"/>
  <c r="G80" i="28"/>
  <c r="K80" i="28" s="1"/>
  <c r="H80" i="28"/>
  <c r="I80" i="28"/>
  <c r="G81" i="28"/>
  <c r="H81" i="28"/>
  <c r="I81" i="28"/>
  <c r="G82" i="28"/>
  <c r="H82" i="28"/>
  <c r="I82" i="28"/>
  <c r="G83" i="28"/>
  <c r="H83" i="28"/>
  <c r="I83" i="28"/>
  <c r="G84" i="28"/>
  <c r="H84" i="28"/>
  <c r="I84" i="28"/>
  <c r="G85" i="28"/>
  <c r="H85" i="28"/>
  <c r="I85" i="28"/>
  <c r="G86" i="28"/>
  <c r="K86" i="28" s="1"/>
  <c r="H86" i="28"/>
  <c r="I86" i="28"/>
  <c r="G87" i="28"/>
  <c r="H87" i="28"/>
  <c r="I87" i="28"/>
  <c r="G88" i="28"/>
  <c r="K88" i="28" s="1"/>
  <c r="H88" i="28"/>
  <c r="I88" i="28"/>
  <c r="G89" i="28"/>
  <c r="K89" i="28" s="1"/>
  <c r="H89" i="28"/>
  <c r="I89" i="28"/>
  <c r="G90" i="28"/>
  <c r="H90" i="28"/>
  <c r="J90" i="28" s="1"/>
  <c r="I90" i="28"/>
  <c r="G91" i="28"/>
  <c r="H91" i="28"/>
  <c r="I91" i="28"/>
  <c r="G92" i="28"/>
  <c r="H92" i="28"/>
  <c r="I92" i="28"/>
  <c r="G93" i="28"/>
  <c r="H93" i="28"/>
  <c r="I93" i="28"/>
  <c r="G94" i="28"/>
  <c r="H94" i="28"/>
  <c r="I94" i="28"/>
  <c r="G95" i="28"/>
  <c r="K95" i="28" s="1"/>
  <c r="H95" i="28"/>
  <c r="I95" i="28"/>
  <c r="G96" i="28"/>
  <c r="K96" i="28" s="1"/>
  <c r="H96" i="28"/>
  <c r="I96" i="28"/>
  <c r="G97" i="28"/>
  <c r="H97" i="28"/>
  <c r="I97" i="28"/>
  <c r="G98" i="28"/>
  <c r="K98" i="28" s="1"/>
  <c r="H98" i="28"/>
  <c r="I98" i="28"/>
  <c r="G99" i="28"/>
  <c r="H99" i="28"/>
  <c r="I99" i="28"/>
  <c r="G100" i="28"/>
  <c r="K100" i="28" s="1"/>
  <c r="H100" i="28"/>
  <c r="I100" i="28"/>
  <c r="G101" i="28"/>
  <c r="K101" i="28" s="1"/>
  <c r="H101" i="28"/>
  <c r="I101" i="28"/>
  <c r="G102" i="28"/>
  <c r="K102" i="28" s="1"/>
  <c r="H102" i="28"/>
  <c r="I102" i="28"/>
  <c r="G103" i="28"/>
  <c r="H103" i="28"/>
  <c r="I103" i="28"/>
  <c r="G104" i="28"/>
  <c r="H104" i="28"/>
  <c r="I104" i="28"/>
  <c r="G105" i="28"/>
  <c r="K105" i="28" s="1"/>
  <c r="H105" i="28"/>
  <c r="I105" i="28"/>
  <c r="G106" i="28"/>
  <c r="H106" i="28"/>
  <c r="J106" i="28" s="1"/>
  <c r="I106" i="28"/>
  <c r="G107" i="28"/>
  <c r="H107" i="28"/>
  <c r="I107" i="28"/>
  <c r="G108" i="28"/>
  <c r="H108" i="28"/>
  <c r="I108" i="28"/>
  <c r="G109" i="28"/>
  <c r="K109" i="28" s="1"/>
  <c r="H109" i="28"/>
  <c r="I109" i="28"/>
  <c r="G110" i="28"/>
  <c r="K110" i="28" s="1"/>
  <c r="H110" i="28"/>
  <c r="I110" i="28"/>
  <c r="G111" i="28"/>
  <c r="K111" i="28" s="1"/>
  <c r="H111" i="28"/>
  <c r="I111" i="28"/>
  <c r="G112" i="28"/>
  <c r="K112" i="28" s="1"/>
  <c r="H112" i="28"/>
  <c r="I112" i="28"/>
  <c r="G113" i="28"/>
  <c r="H113" i="28"/>
  <c r="I113" i="28"/>
  <c r="G114" i="28"/>
  <c r="K114" i="28" s="1"/>
  <c r="H114" i="28"/>
  <c r="I114" i="28"/>
  <c r="G115" i="28"/>
  <c r="H115" i="28"/>
  <c r="I115" i="28"/>
  <c r="G116" i="28"/>
  <c r="K116" i="28" s="1"/>
  <c r="H116" i="28"/>
  <c r="I116" i="28"/>
  <c r="G117" i="28"/>
  <c r="K117" i="28" s="1"/>
  <c r="H117" i="28"/>
  <c r="I117" i="28"/>
  <c r="G118" i="28"/>
  <c r="K118" i="28" s="1"/>
  <c r="H118" i="28"/>
  <c r="I118" i="28"/>
  <c r="G119" i="28"/>
  <c r="H119" i="28"/>
  <c r="I119" i="28"/>
  <c r="J120" i="28"/>
  <c r="I120" i="28"/>
  <c r="G121" i="28"/>
  <c r="H121" i="28"/>
  <c r="I121" i="28"/>
  <c r="G122" i="28"/>
  <c r="H122" i="28"/>
  <c r="I122" i="28"/>
  <c r="G123" i="28"/>
  <c r="K123" i="28" s="1"/>
  <c r="H123" i="28"/>
  <c r="I123" i="28"/>
  <c r="G124" i="28"/>
  <c r="K124" i="28" s="1"/>
  <c r="H124" i="28"/>
  <c r="I124" i="28"/>
  <c r="G125" i="28"/>
  <c r="K125" i="28" s="1"/>
  <c r="H125" i="28"/>
  <c r="I125" i="28"/>
  <c r="G126" i="28"/>
  <c r="K126" i="28" s="1"/>
  <c r="H126" i="28"/>
  <c r="I126" i="28"/>
  <c r="G127" i="28"/>
  <c r="K127" i="28" s="1"/>
  <c r="H127" i="28"/>
  <c r="I127" i="28"/>
  <c r="G128" i="28"/>
  <c r="K128" i="28" s="1"/>
  <c r="H128" i="28"/>
  <c r="I128" i="28"/>
  <c r="G129" i="28"/>
  <c r="K129" i="28" s="1"/>
  <c r="H129" i="28"/>
  <c r="I129" i="28"/>
  <c r="G130" i="28"/>
  <c r="K130" i="28" s="1"/>
  <c r="H130" i="28"/>
  <c r="I130" i="28"/>
  <c r="G131" i="28"/>
  <c r="H131" i="28"/>
  <c r="I131" i="28"/>
  <c r="G132" i="28"/>
  <c r="K132" i="28" s="1"/>
  <c r="H132" i="28"/>
  <c r="I132" i="28"/>
  <c r="G133" i="28"/>
  <c r="K133" i="28" s="1"/>
  <c r="H133" i="28"/>
  <c r="I133" i="28"/>
  <c r="G134" i="28"/>
  <c r="K134" i="28" s="1"/>
  <c r="H134" i="28"/>
  <c r="I134" i="28"/>
  <c r="I5" i="28"/>
  <c r="H5" i="28"/>
  <c r="G5" i="28"/>
  <c r="K5" i="28" s="1"/>
  <c r="A2" i="30"/>
  <c r="A3" i="30"/>
  <c r="A4" i="30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19" i="30"/>
  <c r="A20" i="30"/>
  <c r="A21" i="30"/>
  <c r="A22" i="30"/>
  <c r="A23" i="30"/>
  <c r="A24" i="30"/>
  <c r="A25" i="30"/>
  <c r="A26" i="30"/>
  <c r="A27" i="30"/>
  <c r="A28" i="30"/>
  <c r="A29" i="30"/>
  <c r="A30" i="30"/>
  <c r="A31" i="30"/>
  <c r="A32" i="30"/>
  <c r="A33" i="30"/>
  <c r="A34" i="30"/>
  <c r="A35" i="30"/>
  <c r="A36" i="30"/>
  <c r="A37" i="30"/>
  <c r="A38" i="30"/>
  <c r="A39" i="30"/>
  <c r="A40" i="30"/>
  <c r="A41" i="30"/>
  <c r="A42" i="30"/>
  <c r="A43" i="30"/>
  <c r="A44" i="30"/>
  <c r="A45" i="30"/>
  <c r="A46" i="30"/>
  <c r="A47" i="30"/>
  <c r="A48" i="30"/>
  <c r="A49" i="30"/>
  <c r="A50" i="30"/>
  <c r="A51" i="30"/>
  <c r="A52" i="30"/>
  <c r="A53" i="30"/>
  <c r="A54" i="30"/>
  <c r="A55" i="30"/>
  <c r="A56" i="30"/>
  <c r="A57" i="30"/>
  <c r="A58" i="30"/>
  <c r="A59" i="30"/>
  <c r="A60" i="30"/>
  <c r="A61" i="30"/>
  <c r="A62" i="30"/>
  <c r="A63" i="30"/>
  <c r="A64" i="30"/>
  <c r="A65" i="30"/>
  <c r="A66" i="30"/>
  <c r="A67" i="30"/>
  <c r="A68" i="30"/>
  <c r="A69" i="30"/>
  <c r="A70" i="30"/>
  <c r="A71" i="30"/>
  <c r="A72" i="30"/>
  <c r="A73" i="30"/>
  <c r="A74" i="30"/>
  <c r="A75" i="30"/>
  <c r="A76" i="30"/>
  <c r="A77" i="30"/>
  <c r="A78" i="30"/>
  <c r="A79" i="30"/>
  <c r="A80" i="30"/>
  <c r="A81" i="30"/>
  <c r="A82" i="30"/>
  <c r="A83" i="30"/>
  <c r="A84" i="30"/>
  <c r="A85" i="30"/>
  <c r="A86" i="30"/>
  <c r="A87" i="30"/>
  <c r="A88" i="30"/>
  <c r="A89" i="30"/>
  <c r="A90" i="30"/>
  <c r="A91" i="30"/>
  <c r="A92" i="30"/>
  <c r="A93" i="30"/>
  <c r="A94" i="30"/>
  <c r="A95" i="30"/>
  <c r="A96" i="30"/>
  <c r="A97" i="30"/>
  <c r="A98" i="30"/>
  <c r="A99" i="30"/>
  <c r="A100" i="30"/>
  <c r="A101" i="30"/>
  <c r="A102" i="30"/>
  <c r="A103" i="30"/>
  <c r="A104" i="30"/>
  <c r="A105" i="30"/>
  <c r="A106" i="30"/>
  <c r="A107" i="30"/>
  <c r="A108" i="30"/>
  <c r="A109" i="30"/>
  <c r="A110" i="30"/>
  <c r="A111" i="30"/>
  <c r="A112" i="30"/>
  <c r="A113" i="30"/>
  <c r="A114" i="30"/>
  <c r="A115" i="30"/>
  <c r="A116" i="30"/>
  <c r="A117" i="30"/>
  <c r="A118" i="30"/>
  <c r="A119" i="30"/>
  <c r="A120" i="30"/>
  <c r="A121" i="30"/>
  <c r="A122" i="30"/>
  <c r="A123" i="30"/>
  <c r="A124" i="30"/>
  <c r="A125" i="30"/>
  <c r="A126" i="30"/>
  <c r="A127" i="30"/>
  <c r="A128" i="30"/>
  <c r="A129" i="30"/>
  <c r="A130" i="30"/>
  <c r="A131" i="30"/>
  <c r="A132" i="30"/>
  <c r="A133" i="30"/>
  <c r="A134" i="30"/>
  <c r="A135" i="30"/>
  <c r="A136" i="30"/>
  <c r="A137" i="30"/>
  <c r="A138" i="30"/>
  <c r="A139" i="30"/>
  <c r="A140" i="30"/>
  <c r="A141" i="30"/>
  <c r="A142" i="30"/>
  <c r="A143" i="30"/>
  <c r="A144" i="30"/>
  <c r="A145" i="30"/>
  <c r="A146" i="30"/>
  <c r="A147" i="30"/>
  <c r="A148" i="30"/>
  <c r="A149" i="30"/>
  <c r="A150" i="30"/>
  <c r="A151" i="30"/>
  <c r="A152" i="30"/>
  <c r="A153" i="30"/>
  <c r="A154" i="30"/>
  <c r="A155" i="30"/>
  <c r="A156" i="30"/>
  <c r="A157" i="30"/>
  <c r="A158" i="30"/>
  <c r="A159" i="30"/>
  <c r="A160" i="30"/>
  <c r="A161" i="30"/>
  <c r="A162" i="30"/>
  <c r="A163" i="30"/>
  <c r="A164" i="30"/>
  <c r="A165" i="30"/>
  <c r="A166" i="30"/>
  <c r="A167" i="30"/>
  <c r="A168" i="30"/>
  <c r="A169" i="30"/>
  <c r="A170" i="30"/>
  <c r="A171" i="30"/>
  <c r="A172" i="30"/>
  <c r="A173" i="30"/>
  <c r="A174" i="30"/>
  <c r="A175" i="30"/>
  <c r="A176" i="30"/>
  <c r="A177" i="30"/>
  <c r="A178" i="30"/>
  <c r="A179" i="30"/>
  <c r="A180" i="30"/>
  <c r="A181" i="30"/>
  <c r="A182" i="30"/>
  <c r="A183" i="30"/>
  <c r="A1" i="30"/>
  <c r="AB1" i="30" a="1"/>
  <c r="AB1" i="30"/>
  <c r="AB43" i="30" a="1"/>
  <c r="AB43" i="30" s="1"/>
  <c r="AB48" i="30" a="1"/>
  <c r="AB48" i="30"/>
  <c r="AB51" i="30" a="1"/>
  <c r="AB51" i="30"/>
  <c r="AB54" i="30"/>
  <c r="AB66" i="30" a="1"/>
  <c r="AB66" i="30"/>
  <c r="AB70" i="30" a="1"/>
  <c r="AB70" i="30"/>
  <c r="AB73" i="30" a="1"/>
  <c r="AB73" i="30" s="1"/>
  <c r="Z80" i="30" a="1"/>
  <c r="Z80" i="30" s="1"/>
  <c r="Z82" i="30" a="1"/>
  <c r="Z82" i="30" s="1"/>
  <c r="Z85" i="30" a="1"/>
  <c r="Z85" i="30" s="1"/>
  <c r="Z90" i="30" a="1"/>
  <c r="Z90" i="30" s="1"/>
  <c r="Z100" i="30" a="1"/>
  <c r="Z100" i="30" s="1"/>
  <c r="AB111" i="30" a="1"/>
  <c r="AB111" i="30"/>
  <c r="Z120" i="30" a="1"/>
  <c r="Z120" i="30" s="1"/>
  <c r="Z122" i="30" a="1"/>
  <c r="Z122" i="30" s="1"/>
  <c r="AB126" i="30" a="1"/>
  <c r="AB126" i="30" s="1"/>
  <c r="AB129" i="30" a="1"/>
  <c r="AB129" i="30"/>
  <c r="AB143" i="30" a="1"/>
  <c r="AB143" i="30" s="1"/>
  <c r="Z147" i="30" a="1"/>
  <c r="Z147" i="30" s="1"/>
  <c r="AB154" i="30" a="1"/>
  <c r="AB154" i="30" s="1"/>
  <c r="Z161" i="30" a="1"/>
  <c r="Z161" i="30" s="1"/>
  <c r="AB165" i="30" a="1"/>
  <c r="AB165" i="30" s="1"/>
  <c r="K131" i="28"/>
  <c r="K122" i="28"/>
  <c r="K121" i="28"/>
  <c r="K120" i="28"/>
  <c r="K119" i="28"/>
  <c r="K115" i="28"/>
  <c r="J115" i="28"/>
  <c r="K113" i="28"/>
  <c r="J109" i="28"/>
  <c r="K108" i="28"/>
  <c r="K107" i="28"/>
  <c r="K106" i="28"/>
  <c r="K103" i="28"/>
  <c r="K99" i="28"/>
  <c r="J99" i="28"/>
  <c r="K97" i="28"/>
  <c r="K94" i="28"/>
  <c r="J94" i="28"/>
  <c r="K92" i="28"/>
  <c r="K91" i="28"/>
  <c r="K90" i="28"/>
  <c r="K87" i="28"/>
  <c r="K84" i="28"/>
  <c r="K83" i="28"/>
  <c r="J83" i="28"/>
  <c r="K82" i="28"/>
  <c r="K81" i="28"/>
  <c r="K79" i="28"/>
  <c r="K78" i="28"/>
  <c r="J78" i="28"/>
  <c r="K77" i="28"/>
  <c r="J77" i="28"/>
  <c r="K76" i="28"/>
  <c r="K75" i="28"/>
  <c r="K74" i="28"/>
  <c r="K73" i="28"/>
  <c r="K72" i="28"/>
  <c r="J72" i="28"/>
  <c r="K71" i="28"/>
  <c r="K70" i="28"/>
  <c r="K68" i="28"/>
  <c r="K67" i="28"/>
  <c r="J67" i="28"/>
  <c r="K66" i="28"/>
  <c r="K65" i="28"/>
  <c r="K63" i="28"/>
  <c r="K62" i="28"/>
  <c r="J62" i="28"/>
  <c r="K61" i="28"/>
  <c r="J61" i="28"/>
  <c r="K60" i="28"/>
  <c r="K59" i="28"/>
  <c r="K58" i="28"/>
  <c r="K57" i="28"/>
  <c r="K56" i="28"/>
  <c r="J56" i="28"/>
  <c r="K55" i="28"/>
  <c r="K54" i="28"/>
  <c r="K51" i="28"/>
  <c r="J51" i="28"/>
  <c r="K50" i="28"/>
  <c r="K49" i="28"/>
  <c r="K47" i="28"/>
  <c r="K45" i="28"/>
  <c r="J45" i="28"/>
  <c r="K44" i="28"/>
  <c r="K43" i="28"/>
  <c r="J43" i="28"/>
  <c r="K42" i="28"/>
  <c r="K41" i="28"/>
  <c r="K40" i="28"/>
  <c r="K39" i="28"/>
  <c r="K38" i="28"/>
  <c r="K37" i="28"/>
  <c r="K35" i="28"/>
  <c r="K34" i="28"/>
  <c r="K33" i="28"/>
  <c r="K31" i="28"/>
  <c r="J29" i="28"/>
  <c r="K29" i="28"/>
  <c r="K28" i="28"/>
  <c r="K27" i="28"/>
  <c r="J27" i="28"/>
  <c r="K26" i="28"/>
  <c r="K25" i="28"/>
  <c r="K24" i="28"/>
  <c r="K23" i="28"/>
  <c r="K22" i="28"/>
  <c r="K18" i="28"/>
  <c r="K17" i="28"/>
  <c r="K15" i="28"/>
  <c r="J13" i="28"/>
  <c r="K13" i="28"/>
  <c r="K12" i="28"/>
  <c r="K11" i="28"/>
  <c r="J11" i="28"/>
  <c r="K10" i="28"/>
  <c r="K9" i="28"/>
  <c r="K8" i="28"/>
  <c r="K6" i="28"/>
  <c r="J19" i="28" l="1"/>
  <c r="J123" i="28"/>
  <c r="J35" i="28"/>
  <c r="J30" i="28"/>
  <c r="J14" i="28"/>
  <c r="J46" i="28"/>
  <c r="J107" i="28"/>
  <c r="J91" i="28"/>
  <c r="J75" i="28"/>
  <c r="J59" i="28"/>
  <c r="J42" i="28"/>
  <c r="J86" i="28"/>
  <c r="J85" i="28"/>
  <c r="J69" i="28"/>
  <c r="J122" i="28"/>
  <c r="J53" i="28"/>
  <c r="J125" i="28"/>
  <c r="K19" i="28"/>
  <c r="J96" i="28"/>
  <c r="J131" i="28"/>
  <c r="J104" i="28"/>
  <c r="J93" i="28"/>
  <c r="J88" i="28"/>
  <c r="K69" i="28"/>
  <c r="J48" i="28"/>
  <c r="J112" i="28"/>
  <c r="J16" i="28"/>
  <c r="J80" i="28"/>
  <c r="H1" i="28"/>
  <c r="K93" i="28"/>
  <c r="J128" i="28"/>
  <c r="I2" i="28"/>
  <c r="K104" i="28"/>
  <c r="K53" i="28"/>
  <c r="J21" i="28"/>
  <c r="K85" i="28"/>
  <c r="J32" i="28"/>
  <c r="J64" i="28"/>
  <c r="G2" i="28"/>
  <c r="J26" i="28"/>
  <c r="J23" i="28"/>
  <c r="J39" i="28"/>
  <c r="J55" i="28"/>
  <c r="J71" i="28"/>
  <c r="J87" i="28"/>
  <c r="J103" i="28"/>
  <c r="J119" i="28"/>
  <c r="H2" i="28"/>
  <c r="J10" i="28"/>
  <c r="J7" i="28"/>
  <c r="K7" i="28"/>
  <c r="J20" i="28"/>
  <c r="J36" i="28"/>
  <c r="J52" i="28"/>
  <c r="J68" i="28"/>
  <c r="J84" i="28"/>
  <c r="J100" i="28"/>
  <c r="J116" i="28"/>
  <c r="J132" i="28"/>
  <c r="J17" i="28"/>
  <c r="J33" i="28"/>
  <c r="J49" i="28"/>
  <c r="J65" i="28"/>
  <c r="J81" i="28"/>
  <c r="J97" i="28"/>
  <c r="J113" i="28"/>
  <c r="J129" i="28"/>
  <c r="J110" i="28"/>
  <c r="J126" i="28"/>
  <c r="J101" i="28"/>
  <c r="J117" i="28"/>
  <c r="J133" i="28"/>
  <c r="J18" i="28"/>
  <c r="J34" i="28"/>
  <c r="J50" i="28"/>
  <c r="J66" i="28"/>
  <c r="J82" i="28"/>
  <c r="J98" i="28"/>
  <c r="J114" i="28"/>
  <c r="J130" i="28"/>
  <c r="J5" i="28"/>
  <c r="J15" i="28"/>
  <c r="J31" i="28"/>
  <c r="J47" i="28"/>
  <c r="J63" i="28"/>
  <c r="J79" i="28"/>
  <c r="J95" i="28"/>
  <c r="J111" i="28"/>
  <c r="J127" i="28"/>
  <c r="J12" i="28"/>
  <c r="J28" i="28"/>
  <c r="J44" i="28"/>
  <c r="J60" i="28"/>
  <c r="J76" i="28"/>
  <c r="J92" i="28"/>
  <c r="J108" i="28"/>
  <c r="J124" i="28"/>
  <c r="G1" i="28"/>
  <c r="J9" i="28"/>
  <c r="J25" i="28"/>
  <c r="J41" i="28"/>
  <c r="J57" i="28"/>
  <c r="J73" i="28"/>
  <c r="J89" i="28"/>
  <c r="J105" i="28"/>
  <c r="J121" i="28"/>
  <c r="J6" i="28"/>
  <c r="J22" i="28"/>
  <c r="J38" i="28"/>
  <c r="J54" i="28"/>
  <c r="J102" i="28"/>
  <c r="J118" i="28"/>
  <c r="J134" i="28"/>
  <c r="B134" i="28"/>
  <c r="F134" i="28" s="1"/>
  <c r="C134" i="28"/>
  <c r="D134" i="28"/>
  <c r="A233" i="27"/>
  <c r="A234" i="27"/>
  <c r="A235" i="27"/>
  <c r="A236" i="27"/>
  <c r="A237" i="27"/>
  <c r="A238" i="27"/>
  <c r="A239" i="27"/>
  <c r="A240" i="27"/>
  <c r="A241" i="27"/>
  <c r="A242" i="27"/>
  <c r="A243" i="27"/>
  <c r="A244" i="27"/>
  <c r="A245" i="27"/>
  <c r="A246" i="27"/>
  <c r="A247" i="27"/>
  <c r="A248" i="27"/>
  <c r="A249" i="27"/>
  <c r="A250" i="27"/>
  <c r="A251" i="27"/>
  <c r="A252" i="27"/>
  <c r="A253" i="27"/>
  <c r="A254" i="27"/>
  <c r="A255" i="27"/>
  <c r="A256" i="27"/>
  <c r="A257" i="27"/>
  <c r="A258" i="27"/>
  <c r="A259" i="27"/>
  <c r="A260" i="27"/>
  <c r="A261" i="27"/>
  <c r="A262" i="27"/>
  <c r="A263" i="27"/>
  <c r="A264" i="27"/>
  <c r="A265" i="27"/>
  <c r="A266" i="27"/>
  <c r="A267" i="27"/>
  <c r="A268" i="27"/>
  <c r="A269" i="27"/>
  <c r="A270" i="27"/>
  <c r="A271" i="27"/>
  <c r="A272" i="27"/>
  <c r="A273" i="27"/>
  <c r="A274" i="27"/>
  <c r="A275" i="27"/>
  <c r="A276" i="27"/>
  <c r="A277" i="27"/>
  <c r="A278" i="27"/>
  <c r="A279" i="27"/>
  <c r="A280" i="27"/>
  <c r="A281" i="27"/>
  <c r="A282" i="27"/>
  <c r="A283" i="27"/>
  <c r="A284" i="27"/>
  <c r="A285" i="27"/>
  <c r="A286" i="27"/>
  <c r="A287" i="27"/>
  <c r="A288" i="27"/>
  <c r="A289" i="27"/>
  <c r="A290" i="27"/>
  <c r="A291" i="27"/>
  <c r="A292" i="27"/>
  <c r="A293" i="27"/>
  <c r="A294" i="27"/>
  <c r="A295" i="27"/>
  <c r="A296" i="27"/>
  <c r="A297" i="27"/>
  <c r="A298" i="27"/>
  <c r="A299" i="27"/>
  <c r="A300" i="27"/>
  <c r="A301" i="27"/>
  <c r="A302" i="27"/>
  <c r="A303" i="27"/>
  <c r="A304" i="27"/>
  <c r="A305" i="27"/>
  <c r="A306" i="27"/>
  <c r="A307" i="27"/>
  <c r="A308" i="27"/>
  <c r="A309" i="27"/>
  <c r="A310" i="27"/>
  <c r="A311" i="27"/>
  <c r="A312" i="27"/>
  <c r="A313" i="27"/>
  <c r="A314" i="27"/>
  <c r="A315" i="27"/>
  <c r="A316" i="27"/>
  <c r="A317" i="27"/>
  <c r="A318" i="27"/>
  <c r="A319" i="27"/>
  <c r="A320" i="27"/>
  <c r="A321" i="27"/>
  <c r="Z76" i="27" a="1"/>
  <c r="Z76" i="27" s="1"/>
  <c r="Z77" i="27" a="1"/>
  <c r="Z77" i="27" s="1"/>
  <c r="Z103" i="27" a="1"/>
  <c r="Z103" i="27" s="1"/>
  <c r="Z105" i="27" a="1"/>
  <c r="Z105" i="27" s="1"/>
  <c r="Z106" i="27" a="1"/>
  <c r="Z106" i="27" s="1"/>
  <c r="Z109" i="27" a="1"/>
  <c r="Z109" i="27" s="1"/>
  <c r="Z116" i="27" a="1"/>
  <c r="Z116" i="27" s="1"/>
  <c r="Z120" i="27" a="1"/>
  <c r="Z120" i="27" s="1"/>
  <c r="Z121" i="27" a="1"/>
  <c r="Z121" i="27" s="1"/>
  <c r="Z126" i="27" a="1"/>
  <c r="Z126" i="27" s="1"/>
  <c r="Z191" i="27" a="1"/>
  <c r="Z191" i="27" s="1"/>
  <c r="Z194" i="27" a="1"/>
  <c r="Z194" i="27" s="1"/>
  <c r="Z226" i="27" a="1"/>
  <c r="Z226" i="27" s="1"/>
  <c r="Z235" i="27" a="1"/>
  <c r="Z235" i="27" s="1"/>
  <c r="Z236" i="27" a="1"/>
  <c r="Z236" i="27" s="1"/>
  <c r="Z249" i="27" a="1"/>
  <c r="Z249" i="27" s="1"/>
  <c r="Z261" i="27" a="1"/>
  <c r="Z261" i="27" s="1"/>
  <c r="A1" i="27"/>
  <c r="A2" i="27"/>
  <c r="B37" i="28" s="1"/>
  <c r="A3" i="27"/>
  <c r="A4" i="27"/>
  <c r="A5" i="27"/>
  <c r="A6" i="27"/>
  <c r="A7" i="27"/>
  <c r="A8" i="27"/>
  <c r="A9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23" i="27"/>
  <c r="A24" i="27"/>
  <c r="A25" i="27"/>
  <c r="A26" i="27"/>
  <c r="A27" i="27"/>
  <c r="A28" i="27"/>
  <c r="A29" i="27"/>
  <c r="A30" i="27"/>
  <c r="A31" i="27"/>
  <c r="A32" i="27"/>
  <c r="A33" i="27"/>
  <c r="A34" i="27"/>
  <c r="A35" i="27"/>
  <c r="A36" i="27"/>
  <c r="A37" i="27"/>
  <c r="A38" i="27"/>
  <c r="A39" i="27"/>
  <c r="A40" i="27"/>
  <c r="A41" i="27"/>
  <c r="A42" i="27"/>
  <c r="A43" i="27"/>
  <c r="A44" i="27"/>
  <c r="A45" i="27"/>
  <c r="A46" i="27"/>
  <c r="A47" i="27"/>
  <c r="A48" i="27"/>
  <c r="A49" i="27"/>
  <c r="A50" i="27"/>
  <c r="A51" i="27"/>
  <c r="A52" i="27"/>
  <c r="A53" i="27"/>
  <c r="A54" i="27"/>
  <c r="A55" i="27"/>
  <c r="A56" i="27"/>
  <c r="A57" i="27"/>
  <c r="A58" i="27"/>
  <c r="A59" i="27"/>
  <c r="A60" i="27"/>
  <c r="A61" i="27"/>
  <c r="A62" i="27"/>
  <c r="A63" i="27"/>
  <c r="A64" i="27"/>
  <c r="A65" i="27"/>
  <c r="A66" i="27"/>
  <c r="A67" i="27"/>
  <c r="A68" i="27"/>
  <c r="A69" i="27"/>
  <c r="A70" i="27"/>
  <c r="A71" i="27"/>
  <c r="A72" i="27"/>
  <c r="A73" i="27"/>
  <c r="A74" i="27"/>
  <c r="A75" i="27"/>
  <c r="A76" i="27"/>
  <c r="A77" i="27"/>
  <c r="A78" i="27"/>
  <c r="A79" i="27"/>
  <c r="A80" i="27"/>
  <c r="A81" i="27"/>
  <c r="A82" i="27"/>
  <c r="A83" i="27"/>
  <c r="A84" i="27"/>
  <c r="A85" i="27"/>
  <c r="A86" i="27"/>
  <c r="A87" i="27"/>
  <c r="A88" i="27"/>
  <c r="A89" i="27"/>
  <c r="A90" i="27"/>
  <c r="A91" i="27"/>
  <c r="A92" i="27"/>
  <c r="A93" i="27"/>
  <c r="A94" i="27"/>
  <c r="A95" i="27"/>
  <c r="A96" i="27"/>
  <c r="A97" i="27"/>
  <c r="A98" i="27"/>
  <c r="A99" i="27"/>
  <c r="A100" i="27"/>
  <c r="A101" i="27"/>
  <c r="A102" i="27"/>
  <c r="A103" i="27"/>
  <c r="A104" i="27"/>
  <c r="A105" i="27"/>
  <c r="A106" i="27"/>
  <c r="A107" i="27"/>
  <c r="A108" i="27"/>
  <c r="A109" i="27"/>
  <c r="A110" i="27"/>
  <c r="A111" i="27"/>
  <c r="A112" i="27"/>
  <c r="A113" i="27"/>
  <c r="A114" i="27"/>
  <c r="A115" i="27"/>
  <c r="A116" i="27"/>
  <c r="A117" i="27"/>
  <c r="A118" i="27"/>
  <c r="A119" i="27"/>
  <c r="A120" i="27"/>
  <c r="A121" i="27"/>
  <c r="A122" i="27"/>
  <c r="A123" i="27"/>
  <c r="A124" i="27"/>
  <c r="A125" i="27"/>
  <c r="A126" i="27"/>
  <c r="A127" i="27"/>
  <c r="A128" i="27"/>
  <c r="A129" i="27"/>
  <c r="A130" i="27"/>
  <c r="A131" i="27"/>
  <c r="A132" i="27"/>
  <c r="A133" i="27"/>
  <c r="A134" i="27"/>
  <c r="A135" i="27"/>
  <c r="A136" i="27"/>
  <c r="A137" i="27"/>
  <c r="A138" i="27"/>
  <c r="A139" i="27"/>
  <c r="A140" i="27"/>
  <c r="A141" i="27"/>
  <c r="A142" i="27"/>
  <c r="A143" i="27"/>
  <c r="A144" i="27"/>
  <c r="A145" i="27"/>
  <c r="A146" i="27"/>
  <c r="A147" i="27"/>
  <c r="A148" i="27"/>
  <c r="A149" i="27"/>
  <c r="A150" i="27"/>
  <c r="A151" i="27"/>
  <c r="A152" i="27"/>
  <c r="A153" i="27"/>
  <c r="A154" i="27"/>
  <c r="A155" i="27"/>
  <c r="A156" i="27"/>
  <c r="A157" i="27"/>
  <c r="A158" i="27"/>
  <c r="A159" i="27"/>
  <c r="A160" i="27"/>
  <c r="A161" i="27"/>
  <c r="A162" i="27"/>
  <c r="A163" i="27"/>
  <c r="A164" i="27"/>
  <c r="A165" i="27"/>
  <c r="A166" i="27"/>
  <c r="A167" i="27"/>
  <c r="A168" i="27"/>
  <c r="A169" i="27"/>
  <c r="A170" i="27"/>
  <c r="A171" i="27"/>
  <c r="A172" i="27"/>
  <c r="A173" i="27"/>
  <c r="A174" i="27"/>
  <c r="A175" i="27"/>
  <c r="A176" i="27"/>
  <c r="A177" i="27"/>
  <c r="A178" i="27"/>
  <c r="A179" i="27"/>
  <c r="A180" i="27"/>
  <c r="A181" i="27"/>
  <c r="A182" i="27"/>
  <c r="A183" i="27"/>
  <c r="A184" i="27"/>
  <c r="A185" i="27"/>
  <c r="A186" i="27"/>
  <c r="A187" i="27"/>
  <c r="A188" i="27"/>
  <c r="A189" i="27"/>
  <c r="A190" i="27"/>
  <c r="A191" i="27"/>
  <c r="A192" i="27"/>
  <c r="A193" i="27"/>
  <c r="A194" i="27"/>
  <c r="A195" i="27"/>
  <c r="A196" i="27"/>
  <c r="A197" i="27"/>
  <c r="A198" i="27"/>
  <c r="A199" i="27"/>
  <c r="A200" i="27"/>
  <c r="A201" i="27"/>
  <c r="A202" i="27"/>
  <c r="A203" i="27"/>
  <c r="A204" i="27"/>
  <c r="A205" i="27"/>
  <c r="A206" i="27"/>
  <c r="A207" i="27"/>
  <c r="A208" i="27"/>
  <c r="A209" i="27"/>
  <c r="A210" i="27"/>
  <c r="A211" i="27"/>
  <c r="A212" i="27"/>
  <c r="A213" i="27"/>
  <c r="A214" i="27"/>
  <c r="A215" i="27"/>
  <c r="A216" i="27"/>
  <c r="A217" i="27"/>
  <c r="A218" i="27"/>
  <c r="A219" i="27"/>
  <c r="A220" i="27"/>
  <c r="A221" i="27"/>
  <c r="A222" i="27"/>
  <c r="A223" i="27"/>
  <c r="A224" i="27"/>
  <c r="A225" i="27"/>
  <c r="A226" i="27"/>
  <c r="A227" i="27"/>
  <c r="A228" i="27"/>
  <c r="A229" i="27"/>
  <c r="A230" i="27"/>
  <c r="A231" i="27"/>
  <c r="A232" i="27"/>
  <c r="G6" i="4"/>
  <c r="H6" i="4"/>
  <c r="I6" i="4"/>
  <c r="G7" i="4"/>
  <c r="H7" i="4"/>
  <c r="I7" i="4"/>
  <c r="G8" i="4"/>
  <c r="H8" i="4"/>
  <c r="I8" i="4"/>
  <c r="G9" i="4"/>
  <c r="H9" i="4"/>
  <c r="I9" i="4"/>
  <c r="G10" i="4"/>
  <c r="K10" i="4" s="1"/>
  <c r="H10" i="4"/>
  <c r="I10" i="4"/>
  <c r="G11" i="4"/>
  <c r="H11" i="4"/>
  <c r="I11" i="4"/>
  <c r="G12" i="4"/>
  <c r="H12" i="4"/>
  <c r="I12" i="4"/>
  <c r="G13" i="4"/>
  <c r="H13" i="4"/>
  <c r="I13" i="4"/>
  <c r="G14" i="4"/>
  <c r="H14" i="4"/>
  <c r="I14" i="4"/>
  <c r="G15" i="4"/>
  <c r="K15" i="4" s="1"/>
  <c r="H15" i="4"/>
  <c r="I15" i="4"/>
  <c r="G16" i="4"/>
  <c r="H16" i="4"/>
  <c r="I16" i="4"/>
  <c r="G17" i="4"/>
  <c r="H17" i="4"/>
  <c r="I17" i="4"/>
  <c r="G18" i="4"/>
  <c r="K18" i="4" s="1"/>
  <c r="H18" i="4"/>
  <c r="I18" i="4"/>
  <c r="G19" i="4"/>
  <c r="H19" i="4"/>
  <c r="I19" i="4"/>
  <c r="G20" i="4"/>
  <c r="H20" i="4"/>
  <c r="I20" i="4"/>
  <c r="G21" i="4"/>
  <c r="H21" i="4"/>
  <c r="I21" i="4"/>
  <c r="G22" i="4"/>
  <c r="H22" i="4"/>
  <c r="I22" i="4"/>
  <c r="G23" i="4"/>
  <c r="H23" i="4"/>
  <c r="I23" i="4"/>
  <c r="G24" i="4"/>
  <c r="H24" i="4"/>
  <c r="I24" i="4"/>
  <c r="G25" i="4"/>
  <c r="H25" i="4"/>
  <c r="I25" i="4"/>
  <c r="G26" i="4"/>
  <c r="K26" i="4" s="1"/>
  <c r="H26" i="4"/>
  <c r="I26" i="4"/>
  <c r="G27" i="4"/>
  <c r="H27" i="4"/>
  <c r="I27" i="4"/>
  <c r="G28" i="4"/>
  <c r="H28" i="4"/>
  <c r="I28" i="4"/>
  <c r="G29" i="4"/>
  <c r="H29" i="4"/>
  <c r="I29" i="4"/>
  <c r="G30" i="4"/>
  <c r="H30" i="4"/>
  <c r="I30" i="4"/>
  <c r="G31" i="4"/>
  <c r="K31" i="4" s="1"/>
  <c r="H31" i="4"/>
  <c r="I31" i="4"/>
  <c r="G32" i="4"/>
  <c r="H32" i="4"/>
  <c r="I32" i="4"/>
  <c r="G33" i="4"/>
  <c r="H33" i="4"/>
  <c r="I33" i="4"/>
  <c r="G34" i="4"/>
  <c r="H34" i="4"/>
  <c r="I34" i="4"/>
  <c r="G35" i="4"/>
  <c r="H35" i="4"/>
  <c r="I35" i="4"/>
  <c r="G36" i="4"/>
  <c r="H36" i="4"/>
  <c r="I36" i="4"/>
  <c r="G37" i="4"/>
  <c r="H37" i="4"/>
  <c r="I37" i="4"/>
  <c r="G38" i="4"/>
  <c r="H38" i="4"/>
  <c r="I38" i="4"/>
  <c r="G39" i="4"/>
  <c r="H39" i="4"/>
  <c r="I39" i="4"/>
  <c r="G40" i="4"/>
  <c r="H40" i="4"/>
  <c r="I40" i="4"/>
  <c r="G41" i="4"/>
  <c r="H41" i="4"/>
  <c r="I41" i="4"/>
  <c r="G42" i="4"/>
  <c r="K42" i="4" s="1"/>
  <c r="H42" i="4"/>
  <c r="I42" i="4"/>
  <c r="G43" i="4"/>
  <c r="H43" i="4"/>
  <c r="I43" i="4"/>
  <c r="G44" i="4"/>
  <c r="H44" i="4"/>
  <c r="I44" i="4"/>
  <c r="G45" i="4"/>
  <c r="H45" i="4"/>
  <c r="I45" i="4"/>
  <c r="G46" i="4"/>
  <c r="H46" i="4"/>
  <c r="I46" i="4"/>
  <c r="G47" i="4"/>
  <c r="H47" i="4"/>
  <c r="I47" i="4"/>
  <c r="G48" i="4"/>
  <c r="H48" i="4"/>
  <c r="I48" i="4"/>
  <c r="G49" i="4"/>
  <c r="H49" i="4"/>
  <c r="I49" i="4"/>
  <c r="G50" i="4"/>
  <c r="K50" i="4" s="1"/>
  <c r="H50" i="4"/>
  <c r="I50" i="4"/>
  <c r="G51" i="4"/>
  <c r="H51" i="4"/>
  <c r="I51" i="4"/>
  <c r="G52" i="4"/>
  <c r="H52" i="4"/>
  <c r="I52" i="4"/>
  <c r="G53" i="4"/>
  <c r="H53" i="4"/>
  <c r="I53" i="4"/>
  <c r="G54" i="4"/>
  <c r="H54" i="4"/>
  <c r="I54" i="4"/>
  <c r="G55" i="4"/>
  <c r="H55" i="4"/>
  <c r="I55" i="4"/>
  <c r="G56" i="4"/>
  <c r="H56" i="4"/>
  <c r="I56" i="4"/>
  <c r="G57" i="4"/>
  <c r="H57" i="4"/>
  <c r="I57" i="4"/>
  <c r="G58" i="4"/>
  <c r="J58" i="4" s="1"/>
  <c r="H58" i="4"/>
  <c r="I58" i="4"/>
  <c r="G59" i="4"/>
  <c r="H59" i="4"/>
  <c r="I59" i="4"/>
  <c r="G60" i="4"/>
  <c r="H60" i="4"/>
  <c r="I60" i="4"/>
  <c r="G61" i="4"/>
  <c r="H61" i="4"/>
  <c r="I61" i="4"/>
  <c r="G62" i="4"/>
  <c r="H62" i="4"/>
  <c r="I62" i="4"/>
  <c r="G63" i="4"/>
  <c r="J63" i="4" s="1"/>
  <c r="H63" i="4"/>
  <c r="I63" i="4"/>
  <c r="G64" i="4"/>
  <c r="H64" i="4"/>
  <c r="I64" i="4"/>
  <c r="G65" i="4"/>
  <c r="H65" i="4"/>
  <c r="I65" i="4"/>
  <c r="G66" i="4"/>
  <c r="J66" i="4" s="1"/>
  <c r="H66" i="4"/>
  <c r="I66" i="4"/>
  <c r="G67" i="4"/>
  <c r="H67" i="4"/>
  <c r="I67" i="4"/>
  <c r="G68" i="4"/>
  <c r="H68" i="4"/>
  <c r="I68" i="4"/>
  <c r="G69" i="4"/>
  <c r="H69" i="4"/>
  <c r="I69" i="4"/>
  <c r="G70" i="4"/>
  <c r="H70" i="4"/>
  <c r="I70" i="4"/>
  <c r="G71" i="4"/>
  <c r="H71" i="4"/>
  <c r="I71" i="4"/>
  <c r="G72" i="4"/>
  <c r="H72" i="4"/>
  <c r="I72" i="4"/>
  <c r="G73" i="4"/>
  <c r="H73" i="4"/>
  <c r="I73" i="4"/>
  <c r="G74" i="4"/>
  <c r="K74" i="4" s="1"/>
  <c r="H74" i="4"/>
  <c r="I74" i="4"/>
  <c r="G75" i="4"/>
  <c r="H75" i="4"/>
  <c r="I75" i="4"/>
  <c r="G76" i="4"/>
  <c r="H76" i="4"/>
  <c r="I76" i="4"/>
  <c r="G77" i="4"/>
  <c r="H77" i="4"/>
  <c r="I77" i="4"/>
  <c r="G78" i="4"/>
  <c r="H78" i="4"/>
  <c r="I78" i="4"/>
  <c r="G79" i="4"/>
  <c r="K79" i="4" s="1"/>
  <c r="H79" i="4"/>
  <c r="J79" i="4" s="1"/>
  <c r="I79" i="4"/>
  <c r="G80" i="4"/>
  <c r="H80" i="4"/>
  <c r="I80" i="4"/>
  <c r="G81" i="4"/>
  <c r="H81" i="4"/>
  <c r="I81" i="4"/>
  <c r="G82" i="4"/>
  <c r="K82" i="4" s="1"/>
  <c r="H82" i="4"/>
  <c r="I82" i="4"/>
  <c r="G83" i="4"/>
  <c r="H83" i="4"/>
  <c r="I83" i="4"/>
  <c r="G84" i="4"/>
  <c r="H84" i="4"/>
  <c r="I84" i="4"/>
  <c r="G85" i="4"/>
  <c r="H85" i="4"/>
  <c r="I85" i="4"/>
  <c r="G86" i="4"/>
  <c r="H86" i="4"/>
  <c r="I86" i="4"/>
  <c r="G87" i="4"/>
  <c r="H87" i="4"/>
  <c r="I87" i="4"/>
  <c r="G88" i="4"/>
  <c r="H88" i="4"/>
  <c r="I88" i="4"/>
  <c r="G89" i="4"/>
  <c r="H89" i="4"/>
  <c r="I89" i="4"/>
  <c r="G90" i="4"/>
  <c r="K90" i="4" s="1"/>
  <c r="H90" i="4"/>
  <c r="I90" i="4"/>
  <c r="G91" i="4"/>
  <c r="H91" i="4"/>
  <c r="I91" i="4"/>
  <c r="G92" i="4"/>
  <c r="H92" i="4"/>
  <c r="I92" i="4"/>
  <c r="G93" i="4"/>
  <c r="H93" i="4"/>
  <c r="I93" i="4"/>
  <c r="G94" i="4"/>
  <c r="H94" i="4"/>
  <c r="I94" i="4"/>
  <c r="G95" i="4"/>
  <c r="J95" i="4" s="1"/>
  <c r="H95" i="4"/>
  <c r="I95" i="4"/>
  <c r="G96" i="4"/>
  <c r="H96" i="4"/>
  <c r="I96" i="4"/>
  <c r="G97" i="4"/>
  <c r="H97" i="4"/>
  <c r="I97" i="4"/>
  <c r="G98" i="4"/>
  <c r="K98" i="4" s="1"/>
  <c r="H98" i="4"/>
  <c r="I98" i="4"/>
  <c r="G99" i="4"/>
  <c r="H99" i="4"/>
  <c r="I99" i="4"/>
  <c r="G100" i="4"/>
  <c r="H100" i="4"/>
  <c r="I100" i="4"/>
  <c r="G101" i="4"/>
  <c r="H101" i="4"/>
  <c r="I101" i="4"/>
  <c r="G102" i="4"/>
  <c r="H102" i="4"/>
  <c r="I102" i="4"/>
  <c r="G103" i="4"/>
  <c r="H103" i="4"/>
  <c r="I103" i="4"/>
  <c r="G104" i="4"/>
  <c r="H104" i="4"/>
  <c r="I104" i="4"/>
  <c r="G105" i="4"/>
  <c r="H105" i="4"/>
  <c r="I105" i="4"/>
  <c r="G106" i="4"/>
  <c r="K106" i="4" s="1"/>
  <c r="H106" i="4"/>
  <c r="I106" i="4"/>
  <c r="G107" i="4"/>
  <c r="H107" i="4"/>
  <c r="I107" i="4"/>
  <c r="G108" i="4"/>
  <c r="H108" i="4"/>
  <c r="I108" i="4"/>
  <c r="G109" i="4"/>
  <c r="H109" i="4"/>
  <c r="I109" i="4"/>
  <c r="G110" i="4"/>
  <c r="H110" i="4"/>
  <c r="I110" i="4"/>
  <c r="G111" i="4"/>
  <c r="H111" i="4"/>
  <c r="J111" i="4" s="1"/>
  <c r="I111" i="4"/>
  <c r="G112" i="4"/>
  <c r="H112" i="4"/>
  <c r="I112" i="4"/>
  <c r="G113" i="4"/>
  <c r="H113" i="4"/>
  <c r="I113" i="4"/>
  <c r="G114" i="4"/>
  <c r="K114" i="4" s="1"/>
  <c r="H114" i="4"/>
  <c r="I114" i="4"/>
  <c r="G115" i="4"/>
  <c r="H115" i="4"/>
  <c r="I115" i="4"/>
  <c r="G116" i="4"/>
  <c r="H116" i="4"/>
  <c r="I116" i="4"/>
  <c r="G117" i="4"/>
  <c r="H117" i="4"/>
  <c r="I117" i="4"/>
  <c r="G118" i="4"/>
  <c r="H118" i="4"/>
  <c r="I118" i="4"/>
  <c r="G119" i="4"/>
  <c r="H119" i="4"/>
  <c r="I119" i="4"/>
  <c r="G120" i="4"/>
  <c r="H120" i="4"/>
  <c r="I120" i="4"/>
  <c r="G121" i="4"/>
  <c r="H121" i="4"/>
  <c r="I121" i="4"/>
  <c r="G122" i="4"/>
  <c r="K122" i="4" s="1"/>
  <c r="H122" i="4"/>
  <c r="I122" i="4"/>
  <c r="G123" i="4"/>
  <c r="K123" i="4" s="1"/>
  <c r="H123" i="4"/>
  <c r="I123" i="4"/>
  <c r="G124" i="4"/>
  <c r="H124" i="4"/>
  <c r="I124" i="4"/>
  <c r="G125" i="4"/>
  <c r="H125" i="4"/>
  <c r="I125" i="4"/>
  <c r="G126" i="4"/>
  <c r="H126" i="4"/>
  <c r="I126" i="4"/>
  <c r="G127" i="4"/>
  <c r="J127" i="4" s="1"/>
  <c r="H127" i="4"/>
  <c r="I127" i="4"/>
  <c r="G128" i="4"/>
  <c r="H128" i="4"/>
  <c r="I128" i="4"/>
  <c r="G129" i="4"/>
  <c r="H129" i="4"/>
  <c r="I129" i="4"/>
  <c r="G130" i="4"/>
  <c r="H130" i="4"/>
  <c r="I130" i="4"/>
  <c r="G131" i="4"/>
  <c r="H131" i="4"/>
  <c r="I131" i="4"/>
  <c r="G132" i="4"/>
  <c r="H132" i="4"/>
  <c r="J132" i="4" s="1"/>
  <c r="I132" i="4"/>
  <c r="G133" i="4"/>
  <c r="H133" i="4"/>
  <c r="J133" i="4" s="1"/>
  <c r="I133" i="4"/>
  <c r="G134" i="4"/>
  <c r="H134" i="4"/>
  <c r="I134" i="4"/>
  <c r="I5" i="4"/>
  <c r="H5" i="4"/>
  <c r="G5" i="4"/>
  <c r="K27" i="4"/>
  <c r="J32" i="4"/>
  <c r="K43" i="4"/>
  <c r="J47" i="4"/>
  <c r="J48" i="4"/>
  <c r="K59" i="4"/>
  <c r="J64" i="4"/>
  <c r="K75" i="4"/>
  <c r="J80" i="4"/>
  <c r="K91" i="4"/>
  <c r="J96" i="4"/>
  <c r="K107" i="4"/>
  <c r="J112" i="4"/>
  <c r="K120" i="4"/>
  <c r="J131" i="4"/>
  <c r="Y126" i="24" a="1"/>
  <c r="Y126" i="24" s="1"/>
  <c r="Y122" i="24" a="1"/>
  <c r="Y122" i="24" s="1"/>
  <c r="Y117" i="24" a="1"/>
  <c r="Y117" i="24" s="1"/>
  <c r="Y115" i="24" a="1"/>
  <c r="Y115" i="24" s="1"/>
  <c r="Y111" i="24" a="1"/>
  <c r="Y111" i="24" s="1"/>
  <c r="Y107" i="24" a="1"/>
  <c r="Y107" i="24" s="1"/>
  <c r="Y102" i="24" a="1"/>
  <c r="Y102" i="24" s="1"/>
  <c r="Y100" i="24" a="1"/>
  <c r="Y100" i="24" s="1"/>
  <c r="Y86" i="24" a="1"/>
  <c r="Y86" i="24" s="1"/>
  <c r="Y76" i="24" a="1"/>
  <c r="Y76" i="24" s="1"/>
  <c r="Y71" i="24" a="1"/>
  <c r="Y71" i="24" s="1"/>
  <c r="Y70" i="24" a="1"/>
  <c r="Y70" i="24" s="1"/>
  <c r="Y69" i="24" a="1"/>
  <c r="Y69" i="24" s="1"/>
  <c r="Y60" i="24" a="1"/>
  <c r="Y60" i="24" s="1"/>
  <c r="Y37" i="24"/>
  <c r="Y37" i="24" a="1"/>
  <c r="Y22" i="24" a="1"/>
  <c r="Y22" i="24" s="1"/>
  <c r="K5" i="4"/>
  <c r="K134" i="4"/>
  <c r="J134" i="4"/>
  <c r="K133" i="4"/>
  <c r="K132" i="4"/>
  <c r="K131" i="4"/>
  <c r="K130" i="4"/>
  <c r="K129" i="4"/>
  <c r="J129" i="4"/>
  <c r="J128" i="4"/>
  <c r="K128" i="4"/>
  <c r="J126" i="4"/>
  <c r="K126" i="4"/>
  <c r="K125" i="4"/>
  <c r="K124" i="4"/>
  <c r="K121" i="4"/>
  <c r="J121" i="4"/>
  <c r="J120" i="4"/>
  <c r="K119" i="4"/>
  <c r="K118" i="4"/>
  <c r="J118" i="4"/>
  <c r="K117" i="4"/>
  <c r="K116" i="4"/>
  <c r="K115" i="4"/>
  <c r="J115" i="4"/>
  <c r="K113" i="4"/>
  <c r="J113" i="4"/>
  <c r="K112" i="4"/>
  <c r="K111" i="4"/>
  <c r="J110" i="4"/>
  <c r="K110" i="4"/>
  <c r="K109" i="4"/>
  <c r="K108" i="4"/>
  <c r="J108" i="4"/>
  <c r="K105" i="4"/>
  <c r="J105" i="4"/>
  <c r="K104" i="4"/>
  <c r="J104" i="4"/>
  <c r="K103" i="4"/>
  <c r="J102" i="4"/>
  <c r="K102" i="4"/>
  <c r="K101" i="4"/>
  <c r="K100" i="4"/>
  <c r="K99" i="4"/>
  <c r="J99" i="4"/>
  <c r="K97" i="4"/>
  <c r="J97" i="4"/>
  <c r="K96" i="4"/>
  <c r="J94" i="4"/>
  <c r="K94" i="4"/>
  <c r="K93" i="4"/>
  <c r="K92" i="4"/>
  <c r="J92" i="4"/>
  <c r="K89" i="4"/>
  <c r="J89" i="4"/>
  <c r="K88" i="4"/>
  <c r="J88" i="4"/>
  <c r="K87" i="4"/>
  <c r="J86" i="4"/>
  <c r="K86" i="4"/>
  <c r="K85" i="4"/>
  <c r="K84" i="4"/>
  <c r="K83" i="4"/>
  <c r="J83" i="4"/>
  <c r="K81" i="4"/>
  <c r="J81" i="4"/>
  <c r="K80" i="4"/>
  <c r="J78" i="4"/>
  <c r="K78" i="4"/>
  <c r="K77" i="4"/>
  <c r="K76" i="4"/>
  <c r="J76" i="4"/>
  <c r="K73" i="4"/>
  <c r="J73" i="4"/>
  <c r="K72" i="4"/>
  <c r="J72" i="4"/>
  <c r="K71" i="4"/>
  <c r="J70" i="4"/>
  <c r="K70" i="4"/>
  <c r="K69" i="4"/>
  <c r="K68" i="4"/>
  <c r="K67" i="4"/>
  <c r="J67" i="4"/>
  <c r="K65" i="4"/>
  <c r="J65" i="4"/>
  <c r="K64" i="4"/>
  <c r="K63" i="4"/>
  <c r="J62" i="4"/>
  <c r="K62" i="4"/>
  <c r="K61" i="4"/>
  <c r="K60" i="4"/>
  <c r="J60" i="4"/>
  <c r="K57" i="4"/>
  <c r="J57" i="4"/>
  <c r="K56" i="4"/>
  <c r="J56" i="4"/>
  <c r="K55" i="4"/>
  <c r="J54" i="4"/>
  <c r="K54" i="4"/>
  <c r="K53" i="4"/>
  <c r="K52" i="4"/>
  <c r="K51" i="4"/>
  <c r="J51" i="4"/>
  <c r="K49" i="4"/>
  <c r="J49" i="4"/>
  <c r="K48" i="4"/>
  <c r="K47" i="4"/>
  <c r="J46" i="4"/>
  <c r="K46" i="4"/>
  <c r="K45" i="4"/>
  <c r="K44" i="4"/>
  <c r="J44" i="4"/>
  <c r="K41" i="4"/>
  <c r="J41" i="4"/>
  <c r="K40" i="4"/>
  <c r="J40" i="4"/>
  <c r="K39" i="4"/>
  <c r="K38" i="4"/>
  <c r="J38" i="4"/>
  <c r="K37" i="4"/>
  <c r="K36" i="4"/>
  <c r="K35" i="4"/>
  <c r="J35" i="4"/>
  <c r="K34" i="4"/>
  <c r="K33" i="4"/>
  <c r="J33" i="4"/>
  <c r="K32" i="4"/>
  <c r="J30" i="4"/>
  <c r="K30" i="4"/>
  <c r="K29" i="4"/>
  <c r="K28" i="4"/>
  <c r="J28" i="4"/>
  <c r="K25" i="4"/>
  <c r="J25" i="4"/>
  <c r="K24" i="4"/>
  <c r="J24" i="4"/>
  <c r="K23" i="4"/>
  <c r="K22" i="4"/>
  <c r="J22" i="4"/>
  <c r="K21" i="4"/>
  <c r="K20" i="4"/>
  <c r="K19" i="4"/>
  <c r="J19" i="4"/>
  <c r="K17" i="4"/>
  <c r="J17" i="4"/>
  <c r="K16" i="4"/>
  <c r="J14" i="4"/>
  <c r="K14" i="4"/>
  <c r="K13" i="4"/>
  <c r="K12" i="4"/>
  <c r="J12" i="4"/>
  <c r="K11" i="4"/>
  <c r="K9" i="4"/>
  <c r="J9" i="4"/>
  <c r="K8" i="4"/>
  <c r="J8" i="4"/>
  <c r="K6" i="4"/>
  <c r="J6" i="4"/>
  <c r="K2" i="28" l="1"/>
  <c r="K1" i="28" s="1"/>
  <c r="J2" i="28"/>
  <c r="J1" i="28" s="1"/>
  <c r="B53" i="28"/>
  <c r="D47" i="28"/>
  <c r="L21" i="28"/>
  <c r="C42" i="28"/>
  <c r="S134" i="28"/>
  <c r="D31" i="28"/>
  <c r="D111" i="28"/>
  <c r="C26" i="28"/>
  <c r="C106" i="28"/>
  <c r="B21" i="28"/>
  <c r="B101" i="28"/>
  <c r="D15" i="28"/>
  <c r="D95" i="28"/>
  <c r="C90" i="28"/>
  <c r="D79" i="28"/>
  <c r="D128" i="28"/>
  <c r="B85" i="28"/>
  <c r="C74" i="28"/>
  <c r="N15" i="28"/>
  <c r="B69" i="28"/>
  <c r="M58" i="28"/>
  <c r="L53" i="28"/>
  <c r="N63" i="28"/>
  <c r="C10" i="28"/>
  <c r="N47" i="28"/>
  <c r="L85" i="28"/>
  <c r="M26" i="28"/>
  <c r="M10" i="28"/>
  <c r="N79" i="28"/>
  <c r="N31" i="28"/>
  <c r="L5" i="28"/>
  <c r="P5" i="28" s="1"/>
  <c r="L69" i="28"/>
  <c r="C123" i="28"/>
  <c r="M74" i="28"/>
  <c r="B118" i="28"/>
  <c r="M90" i="28"/>
  <c r="D63" i="28"/>
  <c r="L37" i="28"/>
  <c r="C58" i="28"/>
  <c r="M42" i="28"/>
  <c r="N95" i="28"/>
  <c r="L101" i="28"/>
  <c r="M106" i="28"/>
  <c r="N111" i="28"/>
  <c r="L117" i="28"/>
  <c r="P117" i="28" s="1"/>
  <c r="M122" i="28"/>
  <c r="N127" i="28"/>
  <c r="L133" i="28"/>
  <c r="Q7" i="28"/>
  <c r="R12" i="28"/>
  <c r="S17" i="28"/>
  <c r="Q23" i="28"/>
  <c r="U23" i="28" s="1"/>
  <c r="R28" i="28"/>
  <c r="S33" i="28"/>
  <c r="Q39" i="28"/>
  <c r="R44" i="28"/>
  <c r="S49" i="28"/>
  <c r="Q55" i="28"/>
  <c r="R60" i="28"/>
  <c r="S65" i="28"/>
  <c r="Q71" i="28"/>
  <c r="U71" i="28" s="1"/>
  <c r="R76" i="28"/>
  <c r="S81" i="28"/>
  <c r="Q87" i="28"/>
  <c r="U87" i="28" s="1"/>
  <c r="R92" i="28"/>
  <c r="S97" i="28"/>
  <c r="Q103" i="28"/>
  <c r="R108" i="28"/>
  <c r="S113" i="28"/>
  <c r="Q119" i="28"/>
  <c r="R124" i="28"/>
  <c r="S129" i="28"/>
  <c r="C111" i="28"/>
  <c r="B106" i="28"/>
  <c r="D100" i="28"/>
  <c r="C95" i="28"/>
  <c r="B90" i="28"/>
  <c r="D84" i="28"/>
  <c r="C79" i="28"/>
  <c r="B74" i="28"/>
  <c r="D68" i="28"/>
  <c r="C63" i="28"/>
  <c r="B58" i="28"/>
  <c r="D52" i="28"/>
  <c r="C47" i="28"/>
  <c r="B42" i="28"/>
  <c r="D36" i="28"/>
  <c r="C31" i="28"/>
  <c r="B26" i="28"/>
  <c r="D20" i="28"/>
  <c r="C15" i="28"/>
  <c r="B10" i="28"/>
  <c r="D133" i="28"/>
  <c r="C128" i="28"/>
  <c r="B123" i="28"/>
  <c r="F123" i="28" s="1"/>
  <c r="D117" i="28"/>
  <c r="M5" i="28"/>
  <c r="N10" i="28"/>
  <c r="L16" i="28"/>
  <c r="M21" i="28"/>
  <c r="N26" i="28"/>
  <c r="L32" i="28"/>
  <c r="M37" i="28"/>
  <c r="N42" i="28"/>
  <c r="L48" i="28"/>
  <c r="M53" i="28"/>
  <c r="N58" i="28"/>
  <c r="L64" i="28"/>
  <c r="M69" i="28"/>
  <c r="N74" i="28"/>
  <c r="L80" i="28"/>
  <c r="M85" i="28"/>
  <c r="N90" i="28"/>
  <c r="L96" i="28"/>
  <c r="M101" i="28"/>
  <c r="N106" i="28"/>
  <c r="L112" i="28"/>
  <c r="M117" i="28"/>
  <c r="N122" i="28"/>
  <c r="L128" i="28"/>
  <c r="M133" i="28"/>
  <c r="R7" i="28"/>
  <c r="S12" i="28"/>
  <c r="Q18" i="28"/>
  <c r="U18" i="28" s="1"/>
  <c r="R23" i="28"/>
  <c r="S28" i="28"/>
  <c r="Q34" i="28"/>
  <c r="U34" i="28" s="1"/>
  <c r="R39" i="28"/>
  <c r="S44" i="28"/>
  <c r="Q50" i="28"/>
  <c r="U50" i="28" s="1"/>
  <c r="R55" i="28"/>
  <c r="S60" i="28"/>
  <c r="Q66" i="28"/>
  <c r="U66" i="28" s="1"/>
  <c r="R71" i="28"/>
  <c r="S76" i="28"/>
  <c r="Q82" i="28"/>
  <c r="U82" i="28" s="1"/>
  <c r="R87" i="28"/>
  <c r="S92" i="28"/>
  <c r="Q98" i="28"/>
  <c r="U98" i="28" s="1"/>
  <c r="R103" i="28"/>
  <c r="S108" i="28"/>
  <c r="Q114" i="28"/>
  <c r="U114" i="28" s="1"/>
  <c r="R119" i="28"/>
  <c r="S124" i="28"/>
  <c r="Q130" i="28"/>
  <c r="U130" i="28" s="1"/>
  <c r="B111" i="28"/>
  <c r="D105" i="28"/>
  <c r="C100" i="28"/>
  <c r="B95" i="28"/>
  <c r="D89" i="28"/>
  <c r="C84" i="28"/>
  <c r="B79" i="28"/>
  <c r="D73" i="28"/>
  <c r="C68" i="28"/>
  <c r="B63" i="28"/>
  <c r="D57" i="28"/>
  <c r="C52" i="28"/>
  <c r="B47" i="28"/>
  <c r="D41" i="28"/>
  <c r="C36" i="28"/>
  <c r="B31" i="28"/>
  <c r="D25" i="28"/>
  <c r="C20" i="28"/>
  <c r="B15" i="28"/>
  <c r="D9" i="28"/>
  <c r="C133" i="28"/>
  <c r="B128" i="28"/>
  <c r="D122" i="28"/>
  <c r="C117" i="28"/>
  <c r="N5" i="28"/>
  <c r="L11" i="28"/>
  <c r="M16" i="28"/>
  <c r="N21" i="28"/>
  <c r="L27" i="28"/>
  <c r="P27" i="28" s="1"/>
  <c r="M32" i="28"/>
  <c r="N37" i="28"/>
  <c r="L43" i="28"/>
  <c r="P43" i="28" s="1"/>
  <c r="M48" i="28"/>
  <c r="N53" i="28"/>
  <c r="L59" i="28"/>
  <c r="M64" i="28"/>
  <c r="N69" i="28"/>
  <c r="L75" i="28"/>
  <c r="M80" i="28"/>
  <c r="N85" i="28"/>
  <c r="L91" i="28"/>
  <c r="M96" i="28"/>
  <c r="N101" i="28"/>
  <c r="L107" i="28"/>
  <c r="P107" i="28" s="1"/>
  <c r="M112" i="28"/>
  <c r="N117" i="28"/>
  <c r="L123" i="28"/>
  <c r="P123" i="28" s="1"/>
  <c r="M128" i="28"/>
  <c r="N133" i="28"/>
  <c r="S7" i="28"/>
  <c r="Q13" i="28"/>
  <c r="U13" i="28" s="1"/>
  <c r="R18" i="28"/>
  <c r="S23" i="28"/>
  <c r="Q29" i="28"/>
  <c r="U29" i="28" s="1"/>
  <c r="R34" i="28"/>
  <c r="S39" i="28"/>
  <c r="Q45" i="28"/>
  <c r="U45" i="28" s="1"/>
  <c r="R50" i="28"/>
  <c r="S55" i="28"/>
  <c r="Q61" i="28"/>
  <c r="R66" i="28"/>
  <c r="T66" i="28" s="1"/>
  <c r="S71" i="28"/>
  <c r="Q77" i="28"/>
  <c r="R82" i="28"/>
  <c r="T82" i="28" s="1"/>
  <c r="S87" i="28"/>
  <c r="Q93" i="28"/>
  <c r="R98" i="28"/>
  <c r="S103" i="28"/>
  <c r="Q109" i="28"/>
  <c r="U109" i="28" s="1"/>
  <c r="R114" i="28"/>
  <c r="S119" i="28"/>
  <c r="Q125" i="28"/>
  <c r="U125" i="28" s="1"/>
  <c r="R130" i="28"/>
  <c r="D110" i="28"/>
  <c r="C105" i="28"/>
  <c r="B100" i="28"/>
  <c r="F100" i="28" s="1"/>
  <c r="D94" i="28"/>
  <c r="C89" i="28"/>
  <c r="B84" i="28"/>
  <c r="F84" i="28" s="1"/>
  <c r="D78" i="28"/>
  <c r="C73" i="28"/>
  <c r="B68" i="28"/>
  <c r="D62" i="28"/>
  <c r="C57" i="28"/>
  <c r="B52" i="28"/>
  <c r="D46" i="28"/>
  <c r="C41" i="28"/>
  <c r="B36" i="28"/>
  <c r="D30" i="28"/>
  <c r="C25" i="28"/>
  <c r="B20" i="28"/>
  <c r="D14" i="28"/>
  <c r="C9" i="28"/>
  <c r="B133" i="28"/>
  <c r="F133" i="28" s="1"/>
  <c r="D127" i="28"/>
  <c r="C122" i="28"/>
  <c r="B117" i="28"/>
  <c r="L6" i="28"/>
  <c r="M11" i="28"/>
  <c r="N16" i="28"/>
  <c r="L22" i="28"/>
  <c r="M27" i="28"/>
  <c r="N32" i="28"/>
  <c r="L38" i="28"/>
  <c r="M43" i="28"/>
  <c r="N48" i="28"/>
  <c r="L54" i="28"/>
  <c r="M59" i="28"/>
  <c r="N64" i="28"/>
  <c r="L70" i="28"/>
  <c r="M75" i="28"/>
  <c r="N80" i="28"/>
  <c r="L86" i="28"/>
  <c r="M91" i="28"/>
  <c r="N96" i="28"/>
  <c r="L102" i="28"/>
  <c r="P102" i="28" s="1"/>
  <c r="M107" i="28"/>
  <c r="N112" i="28"/>
  <c r="L118" i="28"/>
  <c r="M123" i="28"/>
  <c r="N128" i="28"/>
  <c r="L134" i="28"/>
  <c r="Q8" i="28"/>
  <c r="U8" i="28" s="1"/>
  <c r="R13" i="28"/>
  <c r="T13" i="28" s="1"/>
  <c r="S18" i="28"/>
  <c r="Q24" i="28"/>
  <c r="U24" i="28" s="1"/>
  <c r="R29" i="28"/>
  <c r="T29" i="28" s="1"/>
  <c r="S34" i="28"/>
  <c r="Q40" i="28"/>
  <c r="R45" i="28"/>
  <c r="S50" i="28"/>
  <c r="Q56" i="28"/>
  <c r="R61" i="28"/>
  <c r="S66" i="28"/>
  <c r="Q72" i="28"/>
  <c r="U72" i="28" s="1"/>
  <c r="R77" i="28"/>
  <c r="S82" i="28"/>
  <c r="Q88" i="28"/>
  <c r="U88" i="28" s="1"/>
  <c r="R93" i="28"/>
  <c r="S98" i="28"/>
  <c r="Q104" i="28"/>
  <c r="R109" i="28"/>
  <c r="T109" i="28" s="1"/>
  <c r="S114" i="28"/>
  <c r="Q120" i="28"/>
  <c r="U120" i="28" s="1"/>
  <c r="R125" i="28"/>
  <c r="S130" i="28"/>
  <c r="C110" i="28"/>
  <c r="B105" i="28"/>
  <c r="D99" i="28"/>
  <c r="C94" i="28"/>
  <c r="B89" i="28"/>
  <c r="D83" i="28"/>
  <c r="C78" i="28"/>
  <c r="B73" i="28"/>
  <c r="D67" i="28"/>
  <c r="C62" i="28"/>
  <c r="E62" i="28" s="1"/>
  <c r="B57" i="28"/>
  <c r="D51" i="28"/>
  <c r="C46" i="28"/>
  <c r="E46" i="28" s="1"/>
  <c r="B41" i="28"/>
  <c r="D35" i="28"/>
  <c r="C30" i="28"/>
  <c r="B25" i="28"/>
  <c r="D19" i="28"/>
  <c r="C14" i="28"/>
  <c r="B9" i="28"/>
  <c r="D132" i="28"/>
  <c r="C127" i="28"/>
  <c r="B122" i="28"/>
  <c r="D116" i="28"/>
  <c r="M6" i="28"/>
  <c r="N11" i="28"/>
  <c r="L17" i="28"/>
  <c r="M22" i="28"/>
  <c r="N27" i="28"/>
  <c r="L33" i="28"/>
  <c r="M38" i="28"/>
  <c r="N43" i="28"/>
  <c r="L49" i="28"/>
  <c r="M54" i="28"/>
  <c r="N59" i="28"/>
  <c r="L65" i="28"/>
  <c r="M70" i="28"/>
  <c r="N75" i="28"/>
  <c r="L81" i="28"/>
  <c r="M86" i="28"/>
  <c r="N91" i="28"/>
  <c r="L97" i="28"/>
  <c r="M102" i="28"/>
  <c r="N107" i="28"/>
  <c r="L113" i="28"/>
  <c r="M118" i="28"/>
  <c r="N123" i="28"/>
  <c r="L129" i="28"/>
  <c r="M134" i="28"/>
  <c r="R8" i="28"/>
  <c r="S13" i="28"/>
  <c r="Q19" i="28"/>
  <c r="R24" i="28"/>
  <c r="S29" i="28"/>
  <c r="Q35" i="28"/>
  <c r="R40" i="28"/>
  <c r="S45" i="28"/>
  <c r="Q51" i="28"/>
  <c r="T51" i="28" s="1"/>
  <c r="R56" i="28"/>
  <c r="S61" i="28"/>
  <c r="Q67" i="28"/>
  <c r="R72" i="28"/>
  <c r="T72" i="28" s="1"/>
  <c r="S77" i="28"/>
  <c r="Q83" i="28"/>
  <c r="R88" i="28"/>
  <c r="S93" i="28"/>
  <c r="Q99" i="28"/>
  <c r="R104" i="28"/>
  <c r="S109" i="28"/>
  <c r="Q115" i="28"/>
  <c r="R120" i="28"/>
  <c r="S125" i="28"/>
  <c r="Q131" i="28"/>
  <c r="U131" i="28" s="1"/>
  <c r="B110" i="28"/>
  <c r="F110" i="28" s="1"/>
  <c r="D104" i="28"/>
  <c r="C99" i="28"/>
  <c r="B94" i="28"/>
  <c r="D88" i="28"/>
  <c r="C83" i="28"/>
  <c r="B78" i="28"/>
  <c r="F78" i="28" s="1"/>
  <c r="D72" i="28"/>
  <c r="C67" i="28"/>
  <c r="B62" i="28"/>
  <c r="D56" i="28"/>
  <c r="C51" i="28"/>
  <c r="B46" i="28"/>
  <c r="D40" i="28"/>
  <c r="C35" i="28"/>
  <c r="B30" i="28"/>
  <c r="F30" i="28" s="1"/>
  <c r="D24" i="28"/>
  <c r="C19" i="28"/>
  <c r="B14" i="28"/>
  <c r="F14" i="28" s="1"/>
  <c r="D8" i="28"/>
  <c r="C132" i="28"/>
  <c r="B127" i="28"/>
  <c r="D121" i="28"/>
  <c r="C116" i="28"/>
  <c r="N6" i="28"/>
  <c r="L12" i="28"/>
  <c r="M17" i="28"/>
  <c r="N22" i="28"/>
  <c r="L28" i="28"/>
  <c r="M33" i="28"/>
  <c r="N38" i="28"/>
  <c r="L44" i="28"/>
  <c r="M49" i="28"/>
  <c r="N54" i="28"/>
  <c r="L60" i="28"/>
  <c r="P60" i="28" s="1"/>
  <c r="M65" i="28"/>
  <c r="N70" i="28"/>
  <c r="L76" i="28"/>
  <c r="M81" i="28"/>
  <c r="N86" i="28"/>
  <c r="L92" i="28"/>
  <c r="M97" i="28"/>
  <c r="N102" i="28"/>
  <c r="L108" i="28"/>
  <c r="M113" i="28"/>
  <c r="N118" i="28"/>
  <c r="L124" i="28"/>
  <c r="M129" i="28"/>
  <c r="N134" i="28"/>
  <c r="S8" i="28"/>
  <c r="Q14" i="28"/>
  <c r="R19" i="28"/>
  <c r="S24" i="28"/>
  <c r="Q30" i="28"/>
  <c r="R35" i="28"/>
  <c r="S40" i="28"/>
  <c r="Q46" i="28"/>
  <c r="U46" i="28" s="1"/>
  <c r="R51" i="28"/>
  <c r="S56" i="28"/>
  <c r="Q62" i="28"/>
  <c r="R67" i="28"/>
  <c r="S72" i="28"/>
  <c r="Q78" i="28"/>
  <c r="R83" i="28"/>
  <c r="S88" i="28"/>
  <c r="Q94" i="28"/>
  <c r="U94" i="28" s="1"/>
  <c r="R99" i="28"/>
  <c r="S104" i="28"/>
  <c r="Q110" i="28"/>
  <c r="R115" i="28"/>
  <c r="S120" i="28"/>
  <c r="Q126" i="28"/>
  <c r="U126" i="28" s="1"/>
  <c r="R131" i="28"/>
  <c r="D109" i="28"/>
  <c r="C104" i="28"/>
  <c r="B99" i="28"/>
  <c r="D93" i="28"/>
  <c r="C88" i="28"/>
  <c r="B83" i="28"/>
  <c r="D77" i="28"/>
  <c r="C72" i="28"/>
  <c r="B67" i="28"/>
  <c r="F67" i="28" s="1"/>
  <c r="D61" i="28"/>
  <c r="C56" i="28"/>
  <c r="B51" i="28"/>
  <c r="F51" i="28" s="1"/>
  <c r="D45" i="28"/>
  <c r="C40" i="28"/>
  <c r="B35" i="28"/>
  <c r="D29" i="28"/>
  <c r="C24" i="28"/>
  <c r="B19" i="28"/>
  <c r="D13" i="28"/>
  <c r="C8" i="28"/>
  <c r="B132" i="28"/>
  <c r="D126" i="28"/>
  <c r="C121" i="28"/>
  <c r="B116" i="28"/>
  <c r="F116" i="28" s="1"/>
  <c r="L7" i="28"/>
  <c r="M12" i="28"/>
  <c r="O12" i="28" s="1"/>
  <c r="N17" i="28"/>
  <c r="L23" i="28"/>
  <c r="M28" i="28"/>
  <c r="N33" i="28"/>
  <c r="L39" i="28"/>
  <c r="M44" i="28"/>
  <c r="N49" i="28"/>
  <c r="L55" i="28"/>
  <c r="M60" i="28"/>
  <c r="N65" i="28"/>
  <c r="L71" i="28"/>
  <c r="M76" i="28"/>
  <c r="N81" i="28"/>
  <c r="L87" i="28"/>
  <c r="M92" i="28"/>
  <c r="N97" i="28"/>
  <c r="L103" i="28"/>
  <c r="M108" i="28"/>
  <c r="N113" i="28"/>
  <c r="L119" i="28"/>
  <c r="M124" i="28"/>
  <c r="N129" i="28"/>
  <c r="Q9" i="28"/>
  <c r="U9" i="28" s="1"/>
  <c r="R14" i="28"/>
  <c r="S19" i="28"/>
  <c r="Q25" i="28"/>
  <c r="U25" i="28" s="1"/>
  <c r="R30" i="28"/>
  <c r="S35" i="28"/>
  <c r="Q41" i="28"/>
  <c r="U41" i="28" s="1"/>
  <c r="R46" i="28"/>
  <c r="S51" i="28"/>
  <c r="Q57" i="28"/>
  <c r="R62" i="28"/>
  <c r="S67" i="28"/>
  <c r="Q73" i="28"/>
  <c r="U73" i="28" s="1"/>
  <c r="R78" i="28"/>
  <c r="S83" i="28"/>
  <c r="Q89" i="28"/>
  <c r="R94" i="28"/>
  <c r="S99" i="28"/>
  <c r="Q105" i="28"/>
  <c r="U105" i="28" s="1"/>
  <c r="R110" i="28"/>
  <c r="S115" i="28"/>
  <c r="Q121" i="28"/>
  <c r="U121" i="28" s="1"/>
  <c r="R126" i="28"/>
  <c r="S131" i="28"/>
  <c r="C109" i="28"/>
  <c r="B104" i="28"/>
  <c r="E104" i="28" s="1"/>
  <c r="D98" i="28"/>
  <c r="C93" i="28"/>
  <c r="B88" i="28"/>
  <c r="D82" i="28"/>
  <c r="C77" i="28"/>
  <c r="B72" i="28"/>
  <c r="D66" i="28"/>
  <c r="C61" i="28"/>
  <c r="B56" i="28"/>
  <c r="D50" i="28"/>
  <c r="C45" i="28"/>
  <c r="B40" i="28"/>
  <c r="D34" i="28"/>
  <c r="C29" i="28"/>
  <c r="B24" i="28"/>
  <c r="F24" i="28" s="1"/>
  <c r="D18" i="28"/>
  <c r="C13" i="28"/>
  <c r="B8" i="28"/>
  <c r="F8" i="28" s="1"/>
  <c r="D131" i="28"/>
  <c r="C126" i="28"/>
  <c r="B121" i="28"/>
  <c r="D115" i="28"/>
  <c r="M7" i="28"/>
  <c r="N12" i="28"/>
  <c r="L18" i="28"/>
  <c r="M23" i="28"/>
  <c r="N28" i="28"/>
  <c r="L34" i="28"/>
  <c r="M39" i="28"/>
  <c r="N44" i="28"/>
  <c r="L50" i="28"/>
  <c r="P50" i="28" s="1"/>
  <c r="M55" i="28"/>
  <c r="N60" i="28"/>
  <c r="L66" i="28"/>
  <c r="P66" i="28" s="1"/>
  <c r="M71" i="28"/>
  <c r="N76" i="28"/>
  <c r="L82" i="28"/>
  <c r="M87" i="28"/>
  <c r="N92" i="28"/>
  <c r="L98" i="28"/>
  <c r="M103" i="28"/>
  <c r="N108" i="28"/>
  <c r="L114" i="28"/>
  <c r="M119" i="28"/>
  <c r="N124" i="28"/>
  <c r="L130" i="28"/>
  <c r="P130" i="28" s="1"/>
  <c r="R9" i="28"/>
  <c r="T9" i="28" s="1"/>
  <c r="S14" i="28"/>
  <c r="Q20" i="28"/>
  <c r="U20" i="28" s="1"/>
  <c r="R25" i="28"/>
  <c r="T25" i="28" s="1"/>
  <c r="S30" i="28"/>
  <c r="Q36" i="28"/>
  <c r="R41" i="28"/>
  <c r="S46" i="28"/>
  <c r="Q52" i="28"/>
  <c r="R57" i="28"/>
  <c r="S62" i="28"/>
  <c r="Q68" i="28"/>
  <c r="U68" i="28" s="1"/>
  <c r="R73" i="28"/>
  <c r="S78" i="28"/>
  <c r="Q84" i="28"/>
  <c r="R89" i="28"/>
  <c r="S94" i="28"/>
  <c r="Q100" i="28"/>
  <c r="R105" i="28"/>
  <c r="S110" i="28"/>
  <c r="Q116" i="28"/>
  <c r="R121" i="28"/>
  <c r="S126" i="28"/>
  <c r="Q132" i="28"/>
  <c r="B109" i="28"/>
  <c r="D103" i="28"/>
  <c r="C98" i="28"/>
  <c r="B93" i="28"/>
  <c r="D87" i="28"/>
  <c r="C82" i="28"/>
  <c r="B77" i="28"/>
  <c r="F77" i="28" s="1"/>
  <c r="D71" i="28"/>
  <c r="C66" i="28"/>
  <c r="B61" i="28"/>
  <c r="F61" i="28" s="1"/>
  <c r="D55" i="28"/>
  <c r="C50" i="28"/>
  <c r="B45" i="28"/>
  <c r="D39" i="28"/>
  <c r="C34" i="28"/>
  <c r="B29" i="28"/>
  <c r="F29" i="28" s="1"/>
  <c r="D23" i="28"/>
  <c r="C18" i="28"/>
  <c r="B13" i="28"/>
  <c r="D7" i="28"/>
  <c r="C131" i="28"/>
  <c r="B126" i="28"/>
  <c r="D120" i="28"/>
  <c r="C115" i="28"/>
  <c r="N7" i="28"/>
  <c r="L13" i="28"/>
  <c r="P13" i="28" s="1"/>
  <c r="M18" i="28"/>
  <c r="N23" i="28"/>
  <c r="L29" i="28"/>
  <c r="M34" i="28"/>
  <c r="N39" i="28"/>
  <c r="L45" i="28"/>
  <c r="P45" i="28" s="1"/>
  <c r="M50" i="28"/>
  <c r="N55" i="28"/>
  <c r="L61" i="28"/>
  <c r="M66" i="28"/>
  <c r="N71" i="28"/>
  <c r="L77" i="28"/>
  <c r="M82" i="28"/>
  <c r="N87" i="28"/>
  <c r="L93" i="28"/>
  <c r="P93" i="28" s="1"/>
  <c r="M98" i="28"/>
  <c r="N103" i="28"/>
  <c r="L109" i="28"/>
  <c r="P109" i="28" s="1"/>
  <c r="M114" i="28"/>
  <c r="N119" i="28"/>
  <c r="L125" i="28"/>
  <c r="M130" i="28"/>
  <c r="S9" i="28"/>
  <c r="Q15" i="28"/>
  <c r="R20" i="28"/>
  <c r="S25" i="28"/>
  <c r="Q31" i="28"/>
  <c r="U31" i="28" s="1"/>
  <c r="R36" i="28"/>
  <c r="S41" i="28"/>
  <c r="Q47" i="28"/>
  <c r="U47" i="28" s="1"/>
  <c r="R52" i="28"/>
  <c r="S57" i="28"/>
  <c r="Q63" i="28"/>
  <c r="U63" i="28" s="1"/>
  <c r="R68" i="28"/>
  <c r="T68" i="28" s="1"/>
  <c r="S73" i="28"/>
  <c r="Q79" i="28"/>
  <c r="U79" i="28" s="1"/>
  <c r="R84" i="28"/>
  <c r="S89" i="28"/>
  <c r="Q95" i="28"/>
  <c r="U95" i="28" s="1"/>
  <c r="R100" i="28"/>
  <c r="S105" i="28"/>
  <c r="Q111" i="28"/>
  <c r="U111" i="28" s="1"/>
  <c r="R116" i="28"/>
  <c r="S121" i="28"/>
  <c r="Q127" i="28"/>
  <c r="U127" i="28" s="1"/>
  <c r="R132" i="28"/>
  <c r="D108" i="28"/>
  <c r="C103" i="28"/>
  <c r="B98" i="28"/>
  <c r="D92" i="28"/>
  <c r="C87" i="28"/>
  <c r="B82" i="28"/>
  <c r="D76" i="28"/>
  <c r="C71" i="28"/>
  <c r="B66" i="28"/>
  <c r="D60" i="28"/>
  <c r="C55" i="28"/>
  <c r="B50" i="28"/>
  <c r="D44" i="28"/>
  <c r="C39" i="28"/>
  <c r="B34" i="28"/>
  <c r="D28" i="28"/>
  <c r="C23" i="28"/>
  <c r="B18" i="28"/>
  <c r="D12" i="28"/>
  <c r="C7" i="28"/>
  <c r="E7" i="28" s="1"/>
  <c r="B131" i="28"/>
  <c r="D125" i="28"/>
  <c r="B115" i="28"/>
  <c r="F115" i="28" s="1"/>
  <c r="L8" i="28"/>
  <c r="M13" i="28"/>
  <c r="N18" i="28"/>
  <c r="L24" i="28"/>
  <c r="M29" i="28"/>
  <c r="N34" i="28"/>
  <c r="L40" i="28"/>
  <c r="M45" i="28"/>
  <c r="N50" i="28"/>
  <c r="L56" i="28"/>
  <c r="P56" i="28" s="1"/>
  <c r="M61" i="28"/>
  <c r="N66" i="28"/>
  <c r="L72" i="28"/>
  <c r="M77" i="28"/>
  <c r="N82" i="28"/>
  <c r="L88" i="28"/>
  <c r="P88" i="28" s="1"/>
  <c r="M93" i="28"/>
  <c r="N98" i="28"/>
  <c r="L104" i="28"/>
  <c r="M109" i="28"/>
  <c r="N114" i="28"/>
  <c r="L120" i="28"/>
  <c r="M125" i="28"/>
  <c r="N130" i="28"/>
  <c r="Q10" i="28"/>
  <c r="U10" i="28" s="1"/>
  <c r="R15" i="28"/>
  <c r="T15" i="28" s="1"/>
  <c r="S20" i="28"/>
  <c r="Q26" i="28"/>
  <c r="U26" i="28" s="1"/>
  <c r="R31" i="28"/>
  <c r="S36" i="28"/>
  <c r="Q42" i="28"/>
  <c r="U42" i="28" s="1"/>
  <c r="R47" i="28"/>
  <c r="S52" i="28"/>
  <c r="Q58" i="28"/>
  <c r="R63" i="28"/>
  <c r="S68" i="28"/>
  <c r="Q74" i="28"/>
  <c r="R79" i="28"/>
  <c r="S84" i="28"/>
  <c r="Q90" i="28"/>
  <c r="U90" i="28" s="1"/>
  <c r="R95" i="28"/>
  <c r="T95" i="28" s="1"/>
  <c r="S100" i="28"/>
  <c r="Q106" i="28"/>
  <c r="U106" i="28" s="1"/>
  <c r="R111" i="28"/>
  <c r="T111" i="28" s="1"/>
  <c r="S116" i="28"/>
  <c r="Q122" i="28"/>
  <c r="U122" i="28" s="1"/>
  <c r="R127" i="28"/>
  <c r="S132" i="28"/>
  <c r="B5" i="28"/>
  <c r="C108" i="28"/>
  <c r="B103" i="28"/>
  <c r="D97" i="28"/>
  <c r="C92" i="28"/>
  <c r="B87" i="28"/>
  <c r="D81" i="28"/>
  <c r="C76" i="28"/>
  <c r="B71" i="28"/>
  <c r="D65" i="28"/>
  <c r="C60" i="28"/>
  <c r="B55" i="28"/>
  <c r="D49" i="28"/>
  <c r="C44" i="28"/>
  <c r="B39" i="28"/>
  <c r="D33" i="28"/>
  <c r="C28" i="28"/>
  <c r="B23" i="28"/>
  <c r="D17" i="28"/>
  <c r="C12" i="28"/>
  <c r="B7" i="28"/>
  <c r="F7" i="28" s="1"/>
  <c r="D130" i="28"/>
  <c r="C125" i="28"/>
  <c r="F120" i="28"/>
  <c r="D114" i="28"/>
  <c r="M8" i="28"/>
  <c r="N13" i="28"/>
  <c r="L19" i="28"/>
  <c r="M24" i="28"/>
  <c r="N29" i="28"/>
  <c r="L35" i="28"/>
  <c r="M40" i="28"/>
  <c r="N45" i="28"/>
  <c r="L51" i="28"/>
  <c r="M56" i="28"/>
  <c r="N61" i="28"/>
  <c r="L67" i="28"/>
  <c r="M72" i="28"/>
  <c r="N77" i="28"/>
  <c r="L83" i="28"/>
  <c r="M88" i="28"/>
  <c r="N93" i="28"/>
  <c r="L99" i="28"/>
  <c r="P99" i="28" s="1"/>
  <c r="M104" i="28"/>
  <c r="N109" i="28"/>
  <c r="L115" i="28"/>
  <c r="M120" i="28"/>
  <c r="N125" i="28"/>
  <c r="L131" i="28"/>
  <c r="Q5" i="28"/>
  <c r="R10" i="28"/>
  <c r="S15" i="28"/>
  <c r="Q21" i="28"/>
  <c r="U21" i="28" s="1"/>
  <c r="R26" i="28"/>
  <c r="S31" i="28"/>
  <c r="Q37" i="28"/>
  <c r="U37" i="28" s="1"/>
  <c r="R42" i="28"/>
  <c r="T42" i="28" s="1"/>
  <c r="S47" i="28"/>
  <c r="Q53" i="28"/>
  <c r="U53" i="28" s="1"/>
  <c r="R58" i="28"/>
  <c r="S63" i="28"/>
  <c r="Q69" i="28"/>
  <c r="U69" i="28" s="1"/>
  <c r="R74" i="28"/>
  <c r="S79" i="28"/>
  <c r="Q85" i="28"/>
  <c r="U85" i="28" s="1"/>
  <c r="R90" i="28"/>
  <c r="S95" i="28"/>
  <c r="Q101" i="28"/>
  <c r="U101" i="28" s="1"/>
  <c r="R106" i="28"/>
  <c r="S111" i="28"/>
  <c r="Q117" i="28"/>
  <c r="U117" i="28" s="1"/>
  <c r="R122" i="28"/>
  <c r="S127" i="28"/>
  <c r="Q133" i="28"/>
  <c r="U133" i="28" s="1"/>
  <c r="C5" i="28"/>
  <c r="B108" i="28"/>
  <c r="D102" i="28"/>
  <c r="C97" i="28"/>
  <c r="B92" i="28"/>
  <c r="D86" i="28"/>
  <c r="C81" i="28"/>
  <c r="B76" i="28"/>
  <c r="D70" i="28"/>
  <c r="C65" i="28"/>
  <c r="B60" i="28"/>
  <c r="D54" i="28"/>
  <c r="C49" i="28"/>
  <c r="B44" i="28"/>
  <c r="D38" i="28"/>
  <c r="C33" i="28"/>
  <c r="E33" i="28" s="1"/>
  <c r="B28" i="28"/>
  <c r="D22" i="28"/>
  <c r="C17" i="28"/>
  <c r="B12" i="28"/>
  <c r="D6" i="28"/>
  <c r="C130" i="28"/>
  <c r="B125" i="28"/>
  <c r="D119" i="28"/>
  <c r="C114" i="28"/>
  <c r="N8" i="28"/>
  <c r="L14" i="28"/>
  <c r="P14" i="28" s="1"/>
  <c r="M19" i="28"/>
  <c r="N24" i="28"/>
  <c r="L30" i="28"/>
  <c r="P30" i="28" s="1"/>
  <c r="M35" i="28"/>
  <c r="N40" i="28"/>
  <c r="L46" i="28"/>
  <c r="P46" i="28" s="1"/>
  <c r="M51" i="28"/>
  <c r="N56" i="28"/>
  <c r="L62" i="28"/>
  <c r="P62" i="28" s="1"/>
  <c r="M67" i="28"/>
  <c r="N72" i="28"/>
  <c r="L78" i="28"/>
  <c r="M83" i="28"/>
  <c r="N88" i="28"/>
  <c r="L94" i="28"/>
  <c r="M99" i="28"/>
  <c r="N104" i="28"/>
  <c r="L110" i="28"/>
  <c r="P110" i="28" s="1"/>
  <c r="M115" i="28"/>
  <c r="N120" i="28"/>
  <c r="L126" i="28"/>
  <c r="M131" i="28"/>
  <c r="R5" i="28"/>
  <c r="S10" i="28"/>
  <c r="Q16" i="28"/>
  <c r="R21" i="28"/>
  <c r="S26" i="28"/>
  <c r="Q32" i="28"/>
  <c r="R37" i="28"/>
  <c r="S42" i="28"/>
  <c r="Q48" i="28"/>
  <c r="U48" i="28" s="1"/>
  <c r="R53" i="28"/>
  <c r="S58" i="28"/>
  <c r="Q64" i="28"/>
  <c r="U64" i="28" s="1"/>
  <c r="R69" i="28"/>
  <c r="S74" i="28"/>
  <c r="Q80" i="28"/>
  <c r="R85" i="28"/>
  <c r="S90" i="28"/>
  <c r="Q96" i="28"/>
  <c r="R101" i="28"/>
  <c r="T101" i="28" s="1"/>
  <c r="S106" i="28"/>
  <c r="Q112" i="28"/>
  <c r="U112" i="28" s="1"/>
  <c r="R117" i="28"/>
  <c r="S122" i="28"/>
  <c r="Q128" i="28"/>
  <c r="U128" i="28" s="1"/>
  <c r="R133" i="28"/>
  <c r="D5" i="28"/>
  <c r="D107" i="28"/>
  <c r="C102" i="28"/>
  <c r="B97" i="28"/>
  <c r="F97" i="28" s="1"/>
  <c r="D91" i="28"/>
  <c r="C86" i="28"/>
  <c r="E86" i="28" s="1"/>
  <c r="B81" i="28"/>
  <c r="F81" i="28" s="1"/>
  <c r="D75" i="28"/>
  <c r="C70" i="28"/>
  <c r="B65" i="28"/>
  <c r="E65" i="28" s="1"/>
  <c r="D59" i="28"/>
  <c r="C54" i="28"/>
  <c r="B49" i="28"/>
  <c r="D43" i="28"/>
  <c r="C38" i="28"/>
  <c r="B33" i="28"/>
  <c r="F33" i="28" s="1"/>
  <c r="D27" i="28"/>
  <c r="C22" i="28"/>
  <c r="B17" i="28"/>
  <c r="E17" i="28" s="1"/>
  <c r="D11" i="28"/>
  <c r="C6" i="28"/>
  <c r="B130" i="28"/>
  <c r="F130" i="28" s="1"/>
  <c r="D124" i="28"/>
  <c r="C119" i="28"/>
  <c r="E119" i="28" s="1"/>
  <c r="B114" i="28"/>
  <c r="L9" i="28"/>
  <c r="M14" i="28"/>
  <c r="N19" i="28"/>
  <c r="L25" i="28"/>
  <c r="M30" i="28"/>
  <c r="N35" i="28"/>
  <c r="L41" i="28"/>
  <c r="M46" i="28"/>
  <c r="N51" i="28"/>
  <c r="L57" i="28"/>
  <c r="M62" i="28"/>
  <c r="N67" i="28"/>
  <c r="L73" i="28"/>
  <c r="M78" i="28"/>
  <c r="N83" i="28"/>
  <c r="L89" i="28"/>
  <c r="M94" i="28"/>
  <c r="N99" i="28"/>
  <c r="L105" i="28"/>
  <c r="M110" i="28"/>
  <c r="N115" i="28"/>
  <c r="L121" i="28"/>
  <c r="M126" i="28"/>
  <c r="N131" i="28"/>
  <c r="S5" i="28"/>
  <c r="S2" i="28" s="1"/>
  <c r="Q11" i="28"/>
  <c r="U11" i="28" s="1"/>
  <c r="R16" i="28"/>
  <c r="S21" i="28"/>
  <c r="Q27" i="28"/>
  <c r="U27" i="28" s="1"/>
  <c r="R32" i="28"/>
  <c r="S37" i="28"/>
  <c r="Q43" i="28"/>
  <c r="U43" i="28" s="1"/>
  <c r="R48" i="28"/>
  <c r="T48" i="28" s="1"/>
  <c r="S53" i="28"/>
  <c r="Q59" i="28"/>
  <c r="U59" i="28" s="1"/>
  <c r="R64" i="28"/>
  <c r="S69" i="28"/>
  <c r="Q75" i="28"/>
  <c r="U75" i="28" s="1"/>
  <c r="R80" i="28"/>
  <c r="S85" i="28"/>
  <c r="Q91" i="28"/>
  <c r="U91" i="28" s="1"/>
  <c r="R96" i="28"/>
  <c r="S101" i="28"/>
  <c r="Q107" i="28"/>
  <c r="U107" i="28" s="1"/>
  <c r="R112" i="28"/>
  <c r="S117" i="28"/>
  <c r="Q123" i="28"/>
  <c r="U123" i="28" s="1"/>
  <c r="R128" i="28"/>
  <c r="S133" i="28"/>
  <c r="D112" i="28"/>
  <c r="C107" i="28"/>
  <c r="B102" i="28"/>
  <c r="D96" i="28"/>
  <c r="C91" i="28"/>
  <c r="B86" i="28"/>
  <c r="D80" i="28"/>
  <c r="C75" i="28"/>
  <c r="B70" i="28"/>
  <c r="D64" i="28"/>
  <c r="C59" i="28"/>
  <c r="B54" i="28"/>
  <c r="F54" i="28" s="1"/>
  <c r="D48" i="28"/>
  <c r="C43" i="28"/>
  <c r="B38" i="28"/>
  <c r="D32" i="28"/>
  <c r="C27" i="28"/>
  <c r="B22" i="28"/>
  <c r="D16" i="28"/>
  <c r="C11" i="28"/>
  <c r="B6" i="28"/>
  <c r="D129" i="28"/>
  <c r="C124" i="28"/>
  <c r="B119" i="28"/>
  <c r="D113" i="28"/>
  <c r="M9" i="28"/>
  <c r="N14" i="28"/>
  <c r="L20" i="28"/>
  <c r="M25" i="28"/>
  <c r="N30" i="28"/>
  <c r="L36" i="28"/>
  <c r="M41" i="28"/>
  <c r="N46" i="28"/>
  <c r="L52" i="28"/>
  <c r="M57" i="28"/>
  <c r="N62" i="28"/>
  <c r="L68" i="28"/>
  <c r="M73" i="28"/>
  <c r="N78" i="28"/>
  <c r="L84" i="28"/>
  <c r="M89" i="28"/>
  <c r="N94" i="28"/>
  <c r="L100" i="28"/>
  <c r="M105" i="28"/>
  <c r="N110" i="28"/>
  <c r="L116" i="28"/>
  <c r="M121" i="28"/>
  <c r="N126" i="28"/>
  <c r="L132" i="28"/>
  <c r="Q6" i="28"/>
  <c r="U6" i="28" s="1"/>
  <c r="R11" i="28"/>
  <c r="S16" i="28"/>
  <c r="Q22" i="28"/>
  <c r="R27" i="28"/>
  <c r="S32" i="28"/>
  <c r="Q38" i="28"/>
  <c r="R43" i="28"/>
  <c r="T43" i="28" s="1"/>
  <c r="S48" i="28"/>
  <c r="Q54" i="28"/>
  <c r="U54" i="28" s="1"/>
  <c r="R59" i="28"/>
  <c r="S64" i="28"/>
  <c r="Q70" i="28"/>
  <c r="U70" i="28" s="1"/>
  <c r="R75" i="28"/>
  <c r="S80" i="28"/>
  <c r="Q86" i="28"/>
  <c r="U86" i="28" s="1"/>
  <c r="R91" i="28"/>
  <c r="T91" i="28" s="1"/>
  <c r="S96" i="28"/>
  <c r="Q102" i="28"/>
  <c r="U102" i="28" s="1"/>
  <c r="R107" i="28"/>
  <c r="S112" i="28"/>
  <c r="Q118" i="28"/>
  <c r="U118" i="28" s="1"/>
  <c r="R123" i="28"/>
  <c r="S128" i="28"/>
  <c r="Q134" i="28"/>
  <c r="U134" i="28" s="1"/>
  <c r="C112" i="28"/>
  <c r="B107" i="28"/>
  <c r="F107" i="28" s="1"/>
  <c r="D101" i="28"/>
  <c r="C96" i="28"/>
  <c r="B91" i="28"/>
  <c r="D85" i="28"/>
  <c r="C80" i="28"/>
  <c r="B75" i="28"/>
  <c r="D69" i="28"/>
  <c r="C64" i="28"/>
  <c r="B59" i="28"/>
  <c r="D53" i="28"/>
  <c r="C48" i="28"/>
  <c r="B43" i="28"/>
  <c r="D37" i="28"/>
  <c r="C32" i="28"/>
  <c r="B27" i="28"/>
  <c r="F27" i="28" s="1"/>
  <c r="D21" i="28"/>
  <c r="C16" i="28"/>
  <c r="B11" i="28"/>
  <c r="F11" i="28" s="1"/>
  <c r="C129" i="28"/>
  <c r="B124" i="28"/>
  <c r="D118" i="28"/>
  <c r="N9" i="28"/>
  <c r="L15" i="28"/>
  <c r="M20" i="28"/>
  <c r="N25" i="28"/>
  <c r="L31" i="28"/>
  <c r="P31" i="28" s="1"/>
  <c r="M36" i="28"/>
  <c r="N41" i="28"/>
  <c r="L47" i="28"/>
  <c r="O47" i="28" s="1"/>
  <c r="M52" i="28"/>
  <c r="N57" i="28"/>
  <c r="L63" i="28"/>
  <c r="P63" i="28" s="1"/>
  <c r="M68" i="28"/>
  <c r="N73" i="28"/>
  <c r="L79" i="28"/>
  <c r="P79" i="28" s="1"/>
  <c r="M84" i="28"/>
  <c r="N89" i="28"/>
  <c r="L95" i="28"/>
  <c r="M100" i="28"/>
  <c r="N105" i="28"/>
  <c r="L111" i="28"/>
  <c r="M116" i="28"/>
  <c r="N121" i="28"/>
  <c r="L127" i="28"/>
  <c r="M132" i="28"/>
  <c r="R6" i="28"/>
  <c r="S11" i="28"/>
  <c r="Q17" i="28"/>
  <c r="R22" i="28"/>
  <c r="S27" i="28"/>
  <c r="Q33" i="28"/>
  <c r="R38" i="28"/>
  <c r="S43" i="28"/>
  <c r="Q49" i="28"/>
  <c r="R54" i="28"/>
  <c r="S59" i="28"/>
  <c r="Q65" i="28"/>
  <c r="R70" i="28"/>
  <c r="S75" i="28"/>
  <c r="Q81" i="28"/>
  <c r="U81" i="28" s="1"/>
  <c r="R86" i="28"/>
  <c r="T86" i="28" s="1"/>
  <c r="S91" i="28"/>
  <c r="Q97" i="28"/>
  <c r="U97" i="28" s="1"/>
  <c r="R102" i="28"/>
  <c r="T102" i="28" s="1"/>
  <c r="S107" i="28"/>
  <c r="Q113" i="28"/>
  <c r="U113" i="28" s="1"/>
  <c r="R118" i="28"/>
  <c r="S123" i="28"/>
  <c r="Q129" i="28"/>
  <c r="R134" i="28"/>
  <c r="B112" i="28"/>
  <c r="D106" i="28"/>
  <c r="C101" i="28"/>
  <c r="B96" i="28"/>
  <c r="F96" i="28" s="1"/>
  <c r="D90" i="28"/>
  <c r="C85" i="28"/>
  <c r="B80" i="28"/>
  <c r="F80" i="28" s="1"/>
  <c r="D74" i="28"/>
  <c r="C69" i="28"/>
  <c r="E69" i="28" s="1"/>
  <c r="B64" i="28"/>
  <c r="F64" i="28" s="1"/>
  <c r="D58" i="28"/>
  <c r="C53" i="28"/>
  <c r="B48" i="28"/>
  <c r="F48" i="28" s="1"/>
  <c r="D42" i="28"/>
  <c r="C37" i="28"/>
  <c r="B32" i="28"/>
  <c r="F32" i="28" s="1"/>
  <c r="D26" i="28"/>
  <c r="C21" i="28"/>
  <c r="B16" i="28"/>
  <c r="F16" i="28" s="1"/>
  <c r="D10" i="28"/>
  <c r="B129" i="28"/>
  <c r="D123" i="28"/>
  <c r="C118" i="28"/>
  <c r="F113" i="28"/>
  <c r="L10" i="28"/>
  <c r="M15" i="28"/>
  <c r="N20" i="28"/>
  <c r="L26" i="28"/>
  <c r="M31" i="28"/>
  <c r="N36" i="28"/>
  <c r="L42" i="28"/>
  <c r="M47" i="28"/>
  <c r="N52" i="28"/>
  <c r="L58" i="28"/>
  <c r="M63" i="28"/>
  <c r="N68" i="28"/>
  <c r="L74" i="28"/>
  <c r="M79" i="28"/>
  <c r="N84" i="28"/>
  <c r="L90" i="28"/>
  <c r="M95" i="28"/>
  <c r="N100" i="28"/>
  <c r="L106" i="28"/>
  <c r="P106" i="28" s="1"/>
  <c r="M111" i="28"/>
  <c r="N116" i="28"/>
  <c r="L122" i="28"/>
  <c r="M127" i="28"/>
  <c r="N132" i="28"/>
  <c r="S6" i="28"/>
  <c r="Q12" i="28"/>
  <c r="U12" i="28" s="1"/>
  <c r="R17" i="28"/>
  <c r="S22" i="28"/>
  <c r="Q28" i="28"/>
  <c r="T28" i="28" s="1"/>
  <c r="R33" i="28"/>
  <c r="S38" i="28"/>
  <c r="Q44" i="28"/>
  <c r="U44" i="28" s="1"/>
  <c r="R49" i="28"/>
  <c r="S54" i="28"/>
  <c r="Q60" i="28"/>
  <c r="U60" i="28" s="1"/>
  <c r="R65" i="28"/>
  <c r="S70" i="28"/>
  <c r="Q76" i="28"/>
  <c r="U76" i="28" s="1"/>
  <c r="R81" i="28"/>
  <c r="S86" i="28"/>
  <c r="Q92" i="28"/>
  <c r="U92" i="28" s="1"/>
  <c r="R97" i="28"/>
  <c r="S102" i="28"/>
  <c r="Q108" i="28"/>
  <c r="U108" i="28" s="1"/>
  <c r="R113" i="28"/>
  <c r="T113" i="28" s="1"/>
  <c r="S118" i="28"/>
  <c r="Q124" i="28"/>
  <c r="U124" i="28" s="1"/>
  <c r="R129" i="28"/>
  <c r="U61" i="28"/>
  <c r="U77" i="28"/>
  <c r="U93" i="28"/>
  <c r="T126" i="28"/>
  <c r="T7" i="28"/>
  <c r="U103" i="28"/>
  <c r="U7" i="28"/>
  <c r="T64" i="28"/>
  <c r="U99" i="28"/>
  <c r="T73" i="28"/>
  <c r="T128" i="28"/>
  <c r="U38" i="28"/>
  <c r="U65" i="28"/>
  <c r="T5" i="28"/>
  <c r="T88" i="28"/>
  <c r="U119" i="28"/>
  <c r="U22" i="28"/>
  <c r="U39" i="28"/>
  <c r="T23" i="28"/>
  <c r="T40" i="28"/>
  <c r="T45" i="28"/>
  <c r="T125" i="28"/>
  <c r="U52" i="28"/>
  <c r="T75" i="28"/>
  <c r="T53" i="28"/>
  <c r="T85" i="28"/>
  <c r="T50" i="28"/>
  <c r="T98" i="28"/>
  <c r="U40" i="28"/>
  <c r="U5" i="28"/>
  <c r="U15" i="28"/>
  <c r="U28" i="28"/>
  <c r="T105" i="28"/>
  <c r="T121" i="28"/>
  <c r="T21" i="28"/>
  <c r="T18" i="28"/>
  <c r="T31" i="28"/>
  <c r="P115" i="28"/>
  <c r="F17" i="28"/>
  <c r="F119" i="28"/>
  <c r="P26" i="28"/>
  <c r="F69" i="28"/>
  <c r="F49" i="28"/>
  <c r="F94" i="28"/>
  <c r="F62" i="28"/>
  <c r="F46" i="28"/>
  <c r="P120" i="28"/>
  <c r="F99" i="28"/>
  <c r="F83" i="28"/>
  <c r="F35" i="28"/>
  <c r="P108" i="28"/>
  <c r="P76" i="28"/>
  <c r="P44" i="28"/>
  <c r="P28" i="28"/>
  <c r="P12" i="28"/>
  <c r="E131" i="28"/>
  <c r="F126" i="28"/>
  <c r="F88" i="28"/>
  <c r="F56" i="28"/>
  <c r="F40" i="28"/>
  <c r="P97" i="28"/>
  <c r="P114" i="28"/>
  <c r="F131" i="28"/>
  <c r="F109" i="28"/>
  <c r="F93" i="28"/>
  <c r="F45" i="28"/>
  <c r="F13" i="28"/>
  <c r="P86" i="28"/>
  <c r="P119" i="28"/>
  <c r="P111" i="28"/>
  <c r="P91" i="28"/>
  <c r="P75" i="28"/>
  <c r="P59" i="28"/>
  <c r="P11" i="28"/>
  <c r="P124" i="28"/>
  <c r="P112" i="28"/>
  <c r="P96" i="28"/>
  <c r="P16" i="28"/>
  <c r="F125" i="28"/>
  <c r="F103" i="28"/>
  <c r="P101" i="28"/>
  <c r="P85" i="28"/>
  <c r="P69" i="28"/>
  <c r="P53" i="28"/>
  <c r="O26" i="28"/>
  <c r="P134" i="28"/>
  <c r="P118" i="28"/>
  <c r="F129" i="28"/>
  <c r="F91" i="28"/>
  <c r="F75" i="28"/>
  <c r="F59" i="28"/>
  <c r="F43" i="28"/>
  <c r="P133" i="28"/>
  <c r="P95" i="28"/>
  <c r="F112" i="28"/>
  <c r="E134" i="28"/>
  <c r="F101" i="28"/>
  <c r="F85" i="28"/>
  <c r="F53" i="28"/>
  <c r="F37" i="28"/>
  <c r="F21" i="28"/>
  <c r="P94" i="28"/>
  <c r="P78" i="28"/>
  <c r="P127" i="28"/>
  <c r="F128" i="28"/>
  <c r="P132" i="28"/>
  <c r="E38" i="28"/>
  <c r="F117" i="28"/>
  <c r="P104" i="28"/>
  <c r="P72" i="28"/>
  <c r="P121" i="28"/>
  <c r="F5" i="28"/>
  <c r="F122" i="28"/>
  <c r="F68" i="28"/>
  <c r="F52" i="28"/>
  <c r="P77" i="28"/>
  <c r="P61" i="28"/>
  <c r="P29" i="28"/>
  <c r="P98" i="28"/>
  <c r="P82" i="28"/>
  <c r="P34" i="28"/>
  <c r="O120" i="28"/>
  <c r="O86" i="28"/>
  <c r="O5" i="28"/>
  <c r="O53" i="28"/>
  <c r="O124" i="28"/>
  <c r="O28" i="28"/>
  <c r="F6" i="28"/>
  <c r="E35" i="28"/>
  <c r="E83" i="28"/>
  <c r="F86" i="28"/>
  <c r="F19" i="28"/>
  <c r="E53" i="28"/>
  <c r="K66" i="4"/>
  <c r="K58" i="4"/>
  <c r="K95" i="4"/>
  <c r="J50" i="4"/>
  <c r="J18" i="4"/>
  <c r="J31" i="4"/>
  <c r="K127" i="4"/>
  <c r="H2" i="4"/>
  <c r="J90" i="4"/>
  <c r="J15" i="4"/>
  <c r="J74" i="4"/>
  <c r="H1" i="4"/>
  <c r="I2" i="4"/>
  <c r="G1" i="4"/>
  <c r="G2" i="4"/>
  <c r="J13" i="4"/>
  <c r="J29" i="4"/>
  <c r="J45" i="4"/>
  <c r="J61" i="4"/>
  <c r="J77" i="4"/>
  <c r="J93" i="4"/>
  <c r="J109" i="4"/>
  <c r="J125" i="4"/>
  <c r="J16" i="4"/>
  <c r="J10" i="4"/>
  <c r="J26" i="4"/>
  <c r="J42" i="4"/>
  <c r="J106" i="4"/>
  <c r="J122" i="4"/>
  <c r="J7" i="4"/>
  <c r="J23" i="4"/>
  <c r="J39" i="4"/>
  <c r="J55" i="4"/>
  <c r="J71" i="4"/>
  <c r="J87" i="4"/>
  <c r="J103" i="4"/>
  <c r="J119" i="4"/>
  <c r="K7" i="4"/>
  <c r="K2" i="4" s="1"/>
  <c r="K1" i="4" s="1"/>
  <c r="J20" i="4"/>
  <c r="J36" i="4"/>
  <c r="J52" i="4"/>
  <c r="J68" i="4"/>
  <c r="J84" i="4"/>
  <c r="J100" i="4"/>
  <c r="J116" i="4"/>
  <c r="J11" i="4"/>
  <c r="J27" i="4"/>
  <c r="J43" i="4"/>
  <c r="J59" i="4"/>
  <c r="J75" i="4"/>
  <c r="J91" i="4"/>
  <c r="J107" i="4"/>
  <c r="J123" i="4"/>
  <c r="J5" i="4"/>
  <c r="J21" i="4"/>
  <c r="J37" i="4"/>
  <c r="J53" i="4"/>
  <c r="J69" i="4"/>
  <c r="J85" i="4"/>
  <c r="J101" i="4"/>
  <c r="J117" i="4"/>
  <c r="J34" i="4"/>
  <c r="J82" i="4"/>
  <c r="J98" i="4"/>
  <c r="J114" i="4"/>
  <c r="J130" i="4"/>
  <c r="J124" i="4"/>
  <c r="T119" i="28" l="1"/>
  <c r="T123" i="28"/>
  <c r="E11" i="28"/>
  <c r="O106" i="28"/>
  <c r="T106" i="28"/>
  <c r="E49" i="28"/>
  <c r="T92" i="28"/>
  <c r="T26" i="28"/>
  <c r="T20" i="28"/>
  <c r="T63" i="28"/>
  <c r="T22" i="28"/>
  <c r="T130" i="28"/>
  <c r="T129" i="28"/>
  <c r="O92" i="28"/>
  <c r="T60" i="28"/>
  <c r="T70" i="28"/>
  <c r="T114" i="28"/>
  <c r="T120" i="28"/>
  <c r="T118" i="28"/>
  <c r="E124" i="28"/>
  <c r="E107" i="28"/>
  <c r="O117" i="28"/>
  <c r="T41" i="28"/>
  <c r="U51" i="28"/>
  <c r="E59" i="28"/>
  <c r="E67" i="28"/>
  <c r="T117" i="28"/>
  <c r="T133" i="28"/>
  <c r="T11" i="28"/>
  <c r="T97" i="28"/>
  <c r="E30" i="28"/>
  <c r="F104" i="28"/>
  <c r="T34" i="28"/>
  <c r="T76" i="28"/>
  <c r="T71" i="28"/>
  <c r="P47" i="28"/>
  <c r="T47" i="28"/>
  <c r="T24" i="28"/>
  <c r="T127" i="28"/>
  <c r="E72" i="28"/>
  <c r="T8" i="28"/>
  <c r="T83" i="28"/>
  <c r="L1" i="28"/>
  <c r="M1" i="28"/>
  <c r="T27" i="28"/>
  <c r="O115" i="28"/>
  <c r="T89" i="28"/>
  <c r="U89" i="28"/>
  <c r="N2" i="28"/>
  <c r="U56" i="28"/>
  <c r="T56" i="28"/>
  <c r="F65" i="28"/>
  <c r="T122" i="28"/>
  <c r="T94" i="28"/>
  <c r="T93" i="28"/>
  <c r="T103" i="28"/>
  <c r="E113" i="28"/>
  <c r="E97" i="28"/>
  <c r="E78" i="28"/>
  <c r="T37" i="28"/>
  <c r="T96" i="28"/>
  <c r="U96" i="28"/>
  <c r="T116" i="28"/>
  <c r="U116" i="28"/>
  <c r="U30" i="28"/>
  <c r="T30" i="28"/>
  <c r="F72" i="28"/>
  <c r="E110" i="28"/>
  <c r="U83" i="28"/>
  <c r="R2" i="28"/>
  <c r="R1" i="28"/>
  <c r="U110" i="28"/>
  <c r="T110" i="28"/>
  <c r="M2" i="28"/>
  <c r="U16" i="28"/>
  <c r="T16" i="28"/>
  <c r="U36" i="28"/>
  <c r="T36" i="28"/>
  <c r="T17" i="28"/>
  <c r="U17" i="28"/>
  <c r="U67" i="28"/>
  <c r="T67" i="28"/>
  <c r="T77" i="28"/>
  <c r="T87" i="28"/>
  <c r="T132" i="28"/>
  <c r="U132" i="28"/>
  <c r="T33" i="28"/>
  <c r="U33" i="28"/>
  <c r="E116" i="28"/>
  <c r="T124" i="28"/>
  <c r="T10" i="28"/>
  <c r="T108" i="28"/>
  <c r="U80" i="28"/>
  <c r="T80" i="28"/>
  <c r="T100" i="28"/>
  <c r="U100" i="28"/>
  <c r="T57" i="28"/>
  <c r="U57" i="28"/>
  <c r="T14" i="28"/>
  <c r="U14" i="28"/>
  <c r="L2" i="28"/>
  <c r="U104" i="28"/>
  <c r="T104" i="28"/>
  <c r="T61" i="28"/>
  <c r="T134" i="28"/>
  <c r="T69" i="28"/>
  <c r="T81" i="28"/>
  <c r="T84" i="28"/>
  <c r="U84" i="28"/>
  <c r="T131" i="28"/>
  <c r="T38" i="28"/>
  <c r="U78" i="28"/>
  <c r="T78" i="28"/>
  <c r="T74" i="28"/>
  <c r="U74" i="28"/>
  <c r="U35" i="28"/>
  <c r="T35" i="28"/>
  <c r="U55" i="28"/>
  <c r="T55" i="28"/>
  <c r="F124" i="28"/>
  <c r="T6" i="28"/>
  <c r="T112" i="28"/>
  <c r="P92" i="28"/>
  <c r="T107" i="28"/>
  <c r="T90" i="28"/>
  <c r="T65" i="28"/>
  <c r="U115" i="28"/>
  <c r="T115" i="28"/>
  <c r="T44" i="28"/>
  <c r="T46" i="28"/>
  <c r="U62" i="28"/>
  <c r="T62" i="28"/>
  <c r="T79" i="28"/>
  <c r="T54" i="28"/>
  <c r="Q2" i="28"/>
  <c r="Q1" i="28"/>
  <c r="U58" i="28"/>
  <c r="T58" i="28"/>
  <c r="U19" i="28"/>
  <c r="T19" i="28"/>
  <c r="T39" i="28"/>
  <c r="E24" i="28"/>
  <c r="T12" i="28"/>
  <c r="T59" i="28"/>
  <c r="U129" i="28"/>
  <c r="U49" i="28"/>
  <c r="T49" i="28"/>
  <c r="U32" i="28"/>
  <c r="T32" i="28"/>
  <c r="T52" i="28"/>
  <c r="T99" i="28"/>
  <c r="T2" i="28"/>
  <c r="T1" i="28" s="1"/>
  <c r="U2" i="28"/>
  <c r="U1" i="28" s="1"/>
  <c r="E70" i="28"/>
  <c r="O108" i="28"/>
  <c r="O119" i="28"/>
  <c r="O88" i="28"/>
  <c r="F70" i="28"/>
  <c r="O134" i="28"/>
  <c r="O60" i="28"/>
  <c r="E128" i="28"/>
  <c r="O123" i="28"/>
  <c r="E102" i="28"/>
  <c r="O94" i="28"/>
  <c r="E48" i="28"/>
  <c r="O99" i="28"/>
  <c r="O131" i="28"/>
  <c r="E64" i="28"/>
  <c r="E43" i="28"/>
  <c r="O110" i="28"/>
  <c r="E129" i="28"/>
  <c r="E27" i="28"/>
  <c r="O82" i="28"/>
  <c r="O43" i="28"/>
  <c r="E85" i="28"/>
  <c r="O16" i="28"/>
  <c r="O72" i="28"/>
  <c r="O14" i="28"/>
  <c r="E112" i="28"/>
  <c r="E130" i="28"/>
  <c r="E22" i="28"/>
  <c r="E6" i="28"/>
  <c r="E52" i="28"/>
  <c r="O79" i="28"/>
  <c r="E91" i="28"/>
  <c r="F102" i="28"/>
  <c r="E5" i="28"/>
  <c r="O77" i="28"/>
  <c r="O98" i="28"/>
  <c r="O56" i="28"/>
  <c r="E117" i="28"/>
  <c r="E101" i="28"/>
  <c r="E80" i="28"/>
  <c r="O61" i="28"/>
  <c r="O133" i="28"/>
  <c r="O46" i="28"/>
  <c r="O114" i="28"/>
  <c r="E40" i="28"/>
  <c r="E126" i="28"/>
  <c r="O93" i="28"/>
  <c r="E68" i="28"/>
  <c r="E96" i="28"/>
  <c r="O121" i="28"/>
  <c r="O107" i="28"/>
  <c r="E122" i="28"/>
  <c r="E125" i="28"/>
  <c r="E75" i="28"/>
  <c r="O118" i="28"/>
  <c r="O30" i="28"/>
  <c r="D2" i="28"/>
  <c r="O13" i="28"/>
  <c r="E118" i="28"/>
  <c r="O44" i="28"/>
  <c r="E99" i="28"/>
  <c r="O34" i="28"/>
  <c r="E123" i="28"/>
  <c r="E16" i="28"/>
  <c r="O59" i="28"/>
  <c r="E120" i="28"/>
  <c r="E93" i="28"/>
  <c r="O130" i="28"/>
  <c r="E56" i="28"/>
  <c r="E19" i="28"/>
  <c r="E21" i="28"/>
  <c r="E81" i="28"/>
  <c r="O109" i="28"/>
  <c r="E84" i="28"/>
  <c r="O69" i="28"/>
  <c r="O96" i="28"/>
  <c r="E13" i="28"/>
  <c r="O75" i="28"/>
  <c r="E54" i="28"/>
  <c r="O127" i="28"/>
  <c r="O85" i="28"/>
  <c r="O112" i="28"/>
  <c r="C1" i="28"/>
  <c r="E45" i="28"/>
  <c r="O102" i="28"/>
  <c r="F38" i="28"/>
  <c r="E103" i="28"/>
  <c r="P33" i="28"/>
  <c r="O33" i="28"/>
  <c r="P24" i="28"/>
  <c r="O24" i="28"/>
  <c r="E8" i="28"/>
  <c r="O104" i="28"/>
  <c r="O78" i="28"/>
  <c r="C2" i="28"/>
  <c r="O31" i="28"/>
  <c r="O62" i="28"/>
  <c r="F9" i="28"/>
  <c r="E9" i="28"/>
  <c r="O8" i="28"/>
  <c r="P8" i="28"/>
  <c r="P67" i="28"/>
  <c r="O67" i="28"/>
  <c r="F42" i="28"/>
  <c r="E42" i="28"/>
  <c r="P20" i="28"/>
  <c r="O20" i="28"/>
  <c r="F105" i="28"/>
  <c r="E105" i="28"/>
  <c r="O111" i="28"/>
  <c r="O66" i="28"/>
  <c r="E20" i="28"/>
  <c r="F20" i="28"/>
  <c r="P73" i="28"/>
  <c r="O73" i="28"/>
  <c r="O70" i="28"/>
  <c r="P70" i="28"/>
  <c r="P55" i="28"/>
  <c r="O55" i="28"/>
  <c r="F76" i="28"/>
  <c r="E76" i="28"/>
  <c r="E37" i="28"/>
  <c r="O50" i="28"/>
  <c r="F95" i="28"/>
  <c r="E95" i="28"/>
  <c r="P122" i="28"/>
  <c r="O122" i="28"/>
  <c r="F92" i="28"/>
  <c r="E92" i="28"/>
  <c r="O80" i="28"/>
  <c r="P80" i="28"/>
  <c r="E82" i="28"/>
  <c r="F82" i="28"/>
  <c r="P49" i="28"/>
  <c r="O49" i="28"/>
  <c r="E109" i="28"/>
  <c r="O97" i="28"/>
  <c r="P90" i="28"/>
  <c r="O90" i="28"/>
  <c r="E29" i="28"/>
  <c r="O42" i="28"/>
  <c r="P42" i="28"/>
  <c r="P83" i="28"/>
  <c r="O83" i="28"/>
  <c r="E41" i="28"/>
  <c r="F41" i="28"/>
  <c r="F71" i="28"/>
  <c r="E71" i="28"/>
  <c r="E36" i="28"/>
  <c r="F36" i="28"/>
  <c r="P19" i="28"/>
  <c r="O19" i="28"/>
  <c r="P89" i="28"/>
  <c r="O89" i="28"/>
  <c r="P71" i="28"/>
  <c r="O71" i="28"/>
  <c r="P116" i="28"/>
  <c r="O116" i="28"/>
  <c r="F39" i="28"/>
  <c r="E39" i="28"/>
  <c r="P39" i="28"/>
  <c r="O39" i="28"/>
  <c r="F74" i="28"/>
  <c r="E74" i="28"/>
  <c r="F111" i="28"/>
  <c r="E111" i="28"/>
  <c r="O132" i="28"/>
  <c r="P9" i="28"/>
  <c r="O9" i="28"/>
  <c r="F108" i="28"/>
  <c r="E108" i="28"/>
  <c r="F98" i="28"/>
  <c r="E98" i="28"/>
  <c r="P6" i="28"/>
  <c r="O6" i="28"/>
  <c r="P65" i="28"/>
  <c r="O65" i="28"/>
  <c r="P10" i="28"/>
  <c r="O10" i="28"/>
  <c r="F55" i="28"/>
  <c r="E55" i="28"/>
  <c r="F127" i="28"/>
  <c r="E127" i="28"/>
  <c r="E100" i="28"/>
  <c r="E32" i="28"/>
  <c r="F22" i="28"/>
  <c r="O101" i="28"/>
  <c r="O45" i="28"/>
  <c r="F57" i="28"/>
  <c r="E57" i="28"/>
  <c r="F31" i="28"/>
  <c r="E31" i="28"/>
  <c r="F90" i="28"/>
  <c r="E90" i="28"/>
  <c r="P68" i="28"/>
  <c r="O68" i="28"/>
  <c r="F28" i="28"/>
  <c r="E28" i="28"/>
  <c r="E114" i="28"/>
  <c r="F114" i="28"/>
  <c r="F87" i="28"/>
  <c r="E87" i="28"/>
  <c r="F18" i="28"/>
  <c r="E18" i="28"/>
  <c r="E132" i="28"/>
  <c r="F132" i="28"/>
  <c r="P57" i="28"/>
  <c r="O57" i="28"/>
  <c r="O113" i="28"/>
  <c r="P113" i="28"/>
  <c r="O91" i="28"/>
  <c r="E133" i="28"/>
  <c r="E88" i="28"/>
  <c r="E94" i="28"/>
  <c r="O27" i="28"/>
  <c r="O29" i="28"/>
  <c r="P35" i="28"/>
  <c r="O35" i="28"/>
  <c r="E10" i="28"/>
  <c r="F10" i="28"/>
  <c r="P105" i="28"/>
  <c r="O105" i="28"/>
  <c r="P87" i="28"/>
  <c r="O87" i="28"/>
  <c r="F79" i="28"/>
  <c r="E79" i="28"/>
  <c r="E51" i="28"/>
  <c r="F12" i="28"/>
  <c r="E12" i="28"/>
  <c r="O11" i="28"/>
  <c r="P126" i="28"/>
  <c r="O126" i="28"/>
  <c r="P25" i="28"/>
  <c r="O25" i="28"/>
  <c r="P22" i="28"/>
  <c r="O22" i="28"/>
  <c r="P81" i="28"/>
  <c r="O81" i="28"/>
  <c r="P7" i="28"/>
  <c r="O7" i="28"/>
  <c r="O74" i="28"/>
  <c r="P74" i="28"/>
  <c r="B2" i="28"/>
  <c r="P125" i="28"/>
  <c r="O125" i="28"/>
  <c r="F15" i="28"/>
  <c r="E15" i="28"/>
  <c r="P129" i="28"/>
  <c r="O129" i="28"/>
  <c r="B1" i="28"/>
  <c r="F73" i="28"/>
  <c r="E73" i="28"/>
  <c r="F47" i="28"/>
  <c r="E47" i="28"/>
  <c r="E106" i="28"/>
  <c r="F106" i="28"/>
  <c r="P84" i="28"/>
  <c r="O84" i="28"/>
  <c r="F44" i="28"/>
  <c r="E44" i="28"/>
  <c r="O32" i="28"/>
  <c r="P32" i="28"/>
  <c r="E34" i="28"/>
  <c r="F34" i="28"/>
  <c r="E61" i="28"/>
  <c r="P58" i="28"/>
  <c r="O58" i="28"/>
  <c r="P64" i="28"/>
  <c r="O64" i="28"/>
  <c r="O76" i="28"/>
  <c r="P52" i="28"/>
  <c r="O52" i="28"/>
  <c r="O95" i="28"/>
  <c r="F118" i="28"/>
  <c r="P18" i="28"/>
  <c r="O18" i="28"/>
  <c r="P51" i="28"/>
  <c r="O51" i="28"/>
  <c r="F26" i="28"/>
  <c r="E26" i="28"/>
  <c r="O103" i="28"/>
  <c r="P103" i="28"/>
  <c r="P54" i="28"/>
  <c r="O54" i="28"/>
  <c r="O128" i="28"/>
  <c r="P128" i="28"/>
  <c r="F25" i="28"/>
  <c r="E25" i="28"/>
  <c r="E58" i="28"/>
  <c r="F58" i="28"/>
  <c r="P21" i="28"/>
  <c r="O21" i="28"/>
  <c r="O37" i="28"/>
  <c r="P37" i="28"/>
  <c r="E115" i="28"/>
  <c r="O63" i="28"/>
  <c r="P131" i="28"/>
  <c r="P41" i="28"/>
  <c r="O41" i="28"/>
  <c r="F23" i="28"/>
  <c r="E23" i="28"/>
  <c r="P38" i="28"/>
  <c r="O38" i="28"/>
  <c r="O23" i="28"/>
  <c r="P23" i="28"/>
  <c r="F66" i="28"/>
  <c r="E66" i="28"/>
  <c r="P36" i="28"/>
  <c r="O36" i="28"/>
  <c r="P40" i="28"/>
  <c r="O40" i="28"/>
  <c r="E14" i="28"/>
  <c r="E89" i="28"/>
  <c r="F89" i="28"/>
  <c r="F63" i="28"/>
  <c r="E63" i="28"/>
  <c r="P100" i="28"/>
  <c r="O100" i="28"/>
  <c r="F60" i="28"/>
  <c r="E60" i="28"/>
  <c r="O48" i="28"/>
  <c r="P48" i="28"/>
  <c r="F50" i="28"/>
  <c r="E50" i="28"/>
  <c r="P15" i="28"/>
  <c r="O15" i="28"/>
  <c r="P17" i="28"/>
  <c r="O17" i="28"/>
  <c r="E77" i="28"/>
  <c r="E121" i="28"/>
  <c r="F121" i="28"/>
  <c r="J2" i="4"/>
  <c r="J1" i="4" s="1"/>
  <c r="AA20" i="6" a="1"/>
  <c r="AA20" i="6" s="1"/>
  <c r="AA24" i="6" a="1"/>
  <c r="AA24" i="6" s="1"/>
  <c r="AA31" i="6" a="1"/>
  <c r="AA31" i="6" s="1"/>
  <c r="AA35" i="6" a="1"/>
  <c r="AA35" i="6" s="1"/>
  <c r="AA45" i="6" a="1"/>
  <c r="AA45" i="6" s="1"/>
  <c r="AA56" i="6" a="1"/>
  <c r="AA56" i="6" s="1"/>
  <c r="AA60" i="6" a="1"/>
  <c r="AA60" i="6" s="1"/>
  <c r="AA61" i="6" a="1"/>
  <c r="AA61" i="6" s="1"/>
  <c r="AA62" i="6" a="1"/>
  <c r="AA62" i="6" s="1"/>
  <c r="AA67" i="6" a="1"/>
  <c r="AA67" i="6" s="1"/>
  <c r="AA81" i="6" a="1"/>
  <c r="AA81" i="6" s="1"/>
  <c r="AA86" i="6" a="1"/>
  <c r="AA86" i="6" s="1"/>
  <c r="AA87" i="6" a="1"/>
  <c r="AA87" i="6" s="1"/>
  <c r="AA94" i="6" a="1"/>
  <c r="AA94" i="6" s="1"/>
  <c r="AA95" i="6" a="1"/>
  <c r="AA95" i="6" s="1"/>
  <c r="AA96" i="6" a="1"/>
  <c r="AA96" i="6" s="1"/>
  <c r="AA97" i="6" a="1"/>
  <c r="AA97" i="6" s="1"/>
  <c r="AA104" i="6" a="1"/>
  <c r="AA104" i="6" s="1"/>
  <c r="AA105" i="6" a="1"/>
  <c r="AA105" i="6" s="1"/>
  <c r="AA113" i="6" a="1"/>
  <c r="AA113" i="6" s="1"/>
  <c r="AA116" i="6" a="1"/>
  <c r="AA116" i="6" s="1"/>
  <c r="AA119" i="6" a="1"/>
  <c r="AA119" i="6" s="1"/>
  <c r="M121" i="6" a="1"/>
  <c r="M121" i="6" s="1"/>
  <c r="AA121" i="6" a="1"/>
  <c r="AA121" i="6" s="1"/>
  <c r="AA124" i="6" a="1"/>
  <c r="AA124" i="6" s="1"/>
  <c r="M128" i="6" a="1"/>
  <c r="M128" i="6" s="1"/>
  <c r="Q131" i="4"/>
  <c r="R131" i="4"/>
  <c r="S131" i="4"/>
  <c r="Q132" i="4"/>
  <c r="U132" i="4" s="1"/>
  <c r="R132" i="4"/>
  <c r="S132" i="4"/>
  <c r="Q133" i="4"/>
  <c r="U133" i="4" s="1"/>
  <c r="R133" i="4"/>
  <c r="S133" i="4"/>
  <c r="Q134" i="4"/>
  <c r="R134" i="4"/>
  <c r="S134" i="4"/>
  <c r="R107" i="4"/>
  <c r="S107" i="4"/>
  <c r="Q108" i="4"/>
  <c r="R108" i="4"/>
  <c r="S108" i="4"/>
  <c r="Q109" i="4"/>
  <c r="U109" i="4" s="1"/>
  <c r="R109" i="4"/>
  <c r="S109" i="4"/>
  <c r="Q110" i="4"/>
  <c r="U110" i="4" s="1"/>
  <c r="R110" i="4"/>
  <c r="S110" i="4"/>
  <c r="Q111" i="4"/>
  <c r="U111" i="4" s="1"/>
  <c r="R111" i="4"/>
  <c r="S111" i="4"/>
  <c r="Q112" i="4"/>
  <c r="R112" i="4"/>
  <c r="S112" i="4"/>
  <c r="Q113" i="4"/>
  <c r="U113" i="4" s="1"/>
  <c r="R113" i="4"/>
  <c r="S113" i="4"/>
  <c r="Q114" i="4"/>
  <c r="R114" i="4"/>
  <c r="S114" i="4"/>
  <c r="Q115" i="4"/>
  <c r="U115" i="4" s="1"/>
  <c r="R115" i="4"/>
  <c r="S115" i="4"/>
  <c r="Q116" i="4"/>
  <c r="U116" i="4" s="1"/>
  <c r="R116" i="4"/>
  <c r="S116" i="4"/>
  <c r="Q117" i="4"/>
  <c r="U117" i="4" s="1"/>
  <c r="R117" i="4"/>
  <c r="S117" i="4"/>
  <c r="Q118" i="4"/>
  <c r="U118" i="4" s="1"/>
  <c r="R118" i="4"/>
  <c r="S118" i="4"/>
  <c r="Q119" i="4"/>
  <c r="R119" i="4"/>
  <c r="S119" i="4"/>
  <c r="Q120" i="4"/>
  <c r="U120" i="4" s="1"/>
  <c r="R120" i="4"/>
  <c r="S120" i="4"/>
  <c r="Q121" i="4"/>
  <c r="U121" i="4" s="1"/>
  <c r="R121" i="4"/>
  <c r="S121" i="4"/>
  <c r="Q122" i="4"/>
  <c r="U122" i="4" s="1"/>
  <c r="R122" i="4"/>
  <c r="S122" i="4"/>
  <c r="Q123" i="4"/>
  <c r="U123" i="4" s="1"/>
  <c r="R123" i="4"/>
  <c r="S123" i="4"/>
  <c r="Q124" i="4"/>
  <c r="R124" i="4"/>
  <c r="S124" i="4"/>
  <c r="Q125" i="4"/>
  <c r="U125" i="4" s="1"/>
  <c r="R125" i="4"/>
  <c r="S125" i="4"/>
  <c r="Q126" i="4"/>
  <c r="U126" i="4" s="1"/>
  <c r="R126" i="4"/>
  <c r="S126" i="4"/>
  <c r="Q127" i="4"/>
  <c r="U127" i="4" s="1"/>
  <c r="R127" i="4"/>
  <c r="S127" i="4"/>
  <c r="Q128" i="4"/>
  <c r="U128" i="4" s="1"/>
  <c r="R128" i="4"/>
  <c r="S128" i="4"/>
  <c r="Q129" i="4"/>
  <c r="R129" i="4"/>
  <c r="S129" i="4"/>
  <c r="Q130" i="4"/>
  <c r="R130" i="4"/>
  <c r="S130" i="4"/>
  <c r="Q6" i="4"/>
  <c r="U6" i="4" s="1"/>
  <c r="R6" i="4"/>
  <c r="S6" i="4"/>
  <c r="Q7" i="4"/>
  <c r="U7" i="4" s="1"/>
  <c r="R7" i="4"/>
  <c r="S7" i="4"/>
  <c r="Q8" i="4"/>
  <c r="R8" i="4"/>
  <c r="S8" i="4"/>
  <c r="Q9" i="4"/>
  <c r="U9" i="4" s="1"/>
  <c r="R9" i="4"/>
  <c r="S9" i="4"/>
  <c r="Q10" i="4"/>
  <c r="U10" i="4" s="1"/>
  <c r="R10" i="4"/>
  <c r="S10" i="4"/>
  <c r="Q11" i="4"/>
  <c r="U11" i="4" s="1"/>
  <c r="R11" i="4"/>
  <c r="S11" i="4"/>
  <c r="S12" i="4"/>
  <c r="Q13" i="4"/>
  <c r="U13" i="4" s="1"/>
  <c r="R13" i="4"/>
  <c r="S13" i="4"/>
  <c r="Q14" i="4"/>
  <c r="R14" i="4"/>
  <c r="S14" i="4"/>
  <c r="Q15" i="4"/>
  <c r="U15" i="4" s="1"/>
  <c r="R15" i="4"/>
  <c r="S15" i="4"/>
  <c r="Q16" i="4"/>
  <c r="U16" i="4" s="1"/>
  <c r="R16" i="4"/>
  <c r="S16" i="4"/>
  <c r="Q17" i="4"/>
  <c r="U17" i="4" s="1"/>
  <c r="R17" i="4"/>
  <c r="T17" i="4" s="1"/>
  <c r="S17" i="4"/>
  <c r="Q18" i="4"/>
  <c r="R18" i="4"/>
  <c r="S18" i="4"/>
  <c r="Q19" i="4"/>
  <c r="U19" i="4" s="1"/>
  <c r="R19" i="4"/>
  <c r="S19" i="4"/>
  <c r="Q20" i="4"/>
  <c r="U20" i="4" s="1"/>
  <c r="R20" i="4"/>
  <c r="S20" i="4"/>
  <c r="Q21" i="4"/>
  <c r="R21" i="4"/>
  <c r="S21" i="4"/>
  <c r="Q22" i="4"/>
  <c r="U22" i="4" s="1"/>
  <c r="R22" i="4"/>
  <c r="S22" i="4"/>
  <c r="Q23" i="4"/>
  <c r="U23" i="4" s="1"/>
  <c r="R23" i="4"/>
  <c r="S23" i="4"/>
  <c r="Q24" i="4"/>
  <c r="U24" i="4" s="1"/>
  <c r="R24" i="4"/>
  <c r="S24" i="4"/>
  <c r="Q25" i="4"/>
  <c r="U25" i="4" s="1"/>
  <c r="R25" i="4"/>
  <c r="S25" i="4"/>
  <c r="Q26" i="4"/>
  <c r="U26" i="4" s="1"/>
  <c r="R26" i="4"/>
  <c r="S26" i="4"/>
  <c r="Q27" i="4"/>
  <c r="R27" i="4"/>
  <c r="S27" i="4"/>
  <c r="Q28" i="4"/>
  <c r="U28" i="4" s="1"/>
  <c r="R28" i="4"/>
  <c r="S28" i="4"/>
  <c r="Q29" i="4"/>
  <c r="R29" i="4"/>
  <c r="S29" i="4"/>
  <c r="Q30" i="4"/>
  <c r="U30" i="4" s="1"/>
  <c r="R30" i="4"/>
  <c r="S30" i="4"/>
  <c r="Q31" i="4"/>
  <c r="U31" i="4" s="1"/>
  <c r="R31" i="4"/>
  <c r="S31" i="4"/>
  <c r="Q32" i="4"/>
  <c r="T32" i="4" s="1"/>
  <c r="R32" i="4"/>
  <c r="S32" i="4"/>
  <c r="Q33" i="4"/>
  <c r="U33" i="4" s="1"/>
  <c r="R33" i="4"/>
  <c r="S33" i="4"/>
  <c r="Q34" i="4"/>
  <c r="U34" i="4" s="1"/>
  <c r="R34" i="4"/>
  <c r="S34" i="4"/>
  <c r="Q35" i="4"/>
  <c r="U35" i="4" s="1"/>
  <c r="R35" i="4"/>
  <c r="S35" i="4"/>
  <c r="Q36" i="4"/>
  <c r="U36" i="4" s="1"/>
  <c r="R36" i="4"/>
  <c r="S36" i="4"/>
  <c r="Q37" i="4"/>
  <c r="U37" i="4" s="1"/>
  <c r="R37" i="4"/>
  <c r="S37" i="4"/>
  <c r="Q38" i="4"/>
  <c r="U38" i="4" s="1"/>
  <c r="R38" i="4"/>
  <c r="S38" i="4"/>
  <c r="Q39" i="4"/>
  <c r="U39" i="4" s="1"/>
  <c r="R39" i="4"/>
  <c r="S39" i="4"/>
  <c r="Q40" i="4"/>
  <c r="U40" i="4" s="1"/>
  <c r="R40" i="4"/>
  <c r="S40" i="4"/>
  <c r="Q41" i="4"/>
  <c r="U41" i="4" s="1"/>
  <c r="R41" i="4"/>
  <c r="S41" i="4"/>
  <c r="Q42" i="4"/>
  <c r="U42" i="4" s="1"/>
  <c r="R42" i="4"/>
  <c r="S42" i="4"/>
  <c r="Q43" i="4"/>
  <c r="U43" i="4" s="1"/>
  <c r="R43" i="4"/>
  <c r="S43" i="4"/>
  <c r="Q44" i="4"/>
  <c r="U44" i="4" s="1"/>
  <c r="R44" i="4"/>
  <c r="S44" i="4"/>
  <c r="Q45" i="4"/>
  <c r="U45" i="4" s="1"/>
  <c r="R45" i="4"/>
  <c r="S45" i="4"/>
  <c r="Q46" i="4"/>
  <c r="U46" i="4" s="1"/>
  <c r="R46" i="4"/>
  <c r="S46" i="4"/>
  <c r="Q47" i="4"/>
  <c r="U47" i="4" s="1"/>
  <c r="R47" i="4"/>
  <c r="S47" i="4"/>
  <c r="Q48" i="4"/>
  <c r="T48" i="4" s="1"/>
  <c r="R48" i="4"/>
  <c r="S48" i="4"/>
  <c r="Q49" i="4"/>
  <c r="U49" i="4" s="1"/>
  <c r="R49" i="4"/>
  <c r="S49" i="4"/>
  <c r="Q50" i="4"/>
  <c r="U50" i="4" s="1"/>
  <c r="R50" i="4"/>
  <c r="S50" i="4"/>
  <c r="Q51" i="4"/>
  <c r="U51" i="4" s="1"/>
  <c r="R51" i="4"/>
  <c r="S51" i="4"/>
  <c r="Q52" i="4"/>
  <c r="U52" i="4" s="1"/>
  <c r="R52" i="4"/>
  <c r="S52" i="4"/>
  <c r="Q53" i="4"/>
  <c r="U53" i="4" s="1"/>
  <c r="R53" i="4"/>
  <c r="S53" i="4"/>
  <c r="Q54" i="4"/>
  <c r="U54" i="4" s="1"/>
  <c r="R54" i="4"/>
  <c r="S54" i="4"/>
  <c r="Q55" i="4"/>
  <c r="U55" i="4" s="1"/>
  <c r="R55" i="4"/>
  <c r="S55" i="4"/>
  <c r="Q56" i="4"/>
  <c r="U56" i="4" s="1"/>
  <c r="R56" i="4"/>
  <c r="S56" i="4"/>
  <c r="Q57" i="4"/>
  <c r="R57" i="4"/>
  <c r="S57" i="4"/>
  <c r="Q58" i="4"/>
  <c r="U58" i="4" s="1"/>
  <c r="R58" i="4"/>
  <c r="S58" i="4"/>
  <c r="Q59" i="4"/>
  <c r="R59" i="4"/>
  <c r="S59" i="4"/>
  <c r="Q60" i="4"/>
  <c r="U60" i="4" s="1"/>
  <c r="R60" i="4"/>
  <c r="S60" i="4"/>
  <c r="Q61" i="4"/>
  <c r="U61" i="4" s="1"/>
  <c r="R61" i="4"/>
  <c r="S61" i="4"/>
  <c r="Q62" i="4"/>
  <c r="U62" i="4" s="1"/>
  <c r="R62" i="4"/>
  <c r="S62" i="4"/>
  <c r="Q63" i="4"/>
  <c r="U63" i="4" s="1"/>
  <c r="R63" i="4"/>
  <c r="S63" i="4"/>
  <c r="Q64" i="4"/>
  <c r="R64" i="4"/>
  <c r="S64" i="4"/>
  <c r="Q65" i="4"/>
  <c r="U65" i="4" s="1"/>
  <c r="R65" i="4"/>
  <c r="S65" i="4"/>
  <c r="Q66" i="4"/>
  <c r="U66" i="4" s="1"/>
  <c r="R66" i="4"/>
  <c r="S66" i="4"/>
  <c r="Q67" i="4"/>
  <c r="U67" i="4" s="1"/>
  <c r="R67" i="4"/>
  <c r="S67" i="4"/>
  <c r="Q68" i="4"/>
  <c r="U68" i="4" s="1"/>
  <c r="R68" i="4"/>
  <c r="S68" i="4"/>
  <c r="Q69" i="4"/>
  <c r="U69" i="4" s="1"/>
  <c r="R69" i="4"/>
  <c r="S69" i="4"/>
  <c r="Q70" i="4"/>
  <c r="U70" i="4" s="1"/>
  <c r="R70" i="4"/>
  <c r="S70" i="4"/>
  <c r="Q71" i="4"/>
  <c r="U71" i="4" s="1"/>
  <c r="R71" i="4"/>
  <c r="S71" i="4"/>
  <c r="Q72" i="4"/>
  <c r="U72" i="4" s="1"/>
  <c r="R72" i="4"/>
  <c r="S72" i="4"/>
  <c r="Q73" i="4"/>
  <c r="U73" i="4" s="1"/>
  <c r="R73" i="4"/>
  <c r="S73" i="4"/>
  <c r="Q74" i="4"/>
  <c r="U74" i="4" s="1"/>
  <c r="R74" i="4"/>
  <c r="S74" i="4"/>
  <c r="Q75" i="4"/>
  <c r="R75" i="4"/>
  <c r="S75" i="4"/>
  <c r="Q76" i="4"/>
  <c r="U76" i="4" s="1"/>
  <c r="R76" i="4"/>
  <c r="S76" i="4"/>
  <c r="Q77" i="4"/>
  <c r="R77" i="4"/>
  <c r="S77" i="4"/>
  <c r="Q78" i="4"/>
  <c r="U78" i="4" s="1"/>
  <c r="R78" i="4"/>
  <c r="S78" i="4"/>
  <c r="Q79" i="4"/>
  <c r="U79" i="4" s="1"/>
  <c r="R79" i="4"/>
  <c r="S79" i="4"/>
  <c r="Q80" i="4"/>
  <c r="R80" i="4"/>
  <c r="S80" i="4"/>
  <c r="Q81" i="4"/>
  <c r="U81" i="4" s="1"/>
  <c r="R81" i="4"/>
  <c r="S81" i="4"/>
  <c r="Q82" i="4"/>
  <c r="U82" i="4" s="1"/>
  <c r="R82" i="4"/>
  <c r="S82" i="4"/>
  <c r="Q83" i="4"/>
  <c r="U83" i="4" s="1"/>
  <c r="R83" i="4"/>
  <c r="S83" i="4"/>
  <c r="Q84" i="4"/>
  <c r="U84" i="4" s="1"/>
  <c r="R84" i="4"/>
  <c r="S84" i="4"/>
  <c r="Q85" i="4"/>
  <c r="U85" i="4" s="1"/>
  <c r="R85" i="4"/>
  <c r="S85" i="4"/>
  <c r="Q86" i="4"/>
  <c r="U86" i="4" s="1"/>
  <c r="R86" i="4"/>
  <c r="S86" i="4"/>
  <c r="Q87" i="4"/>
  <c r="U87" i="4" s="1"/>
  <c r="R87" i="4"/>
  <c r="S87" i="4"/>
  <c r="Q88" i="4"/>
  <c r="U88" i="4" s="1"/>
  <c r="R88" i="4"/>
  <c r="S88" i="4"/>
  <c r="Q89" i="4"/>
  <c r="U89" i="4" s="1"/>
  <c r="R89" i="4"/>
  <c r="S89" i="4"/>
  <c r="Q90" i="4"/>
  <c r="U90" i="4" s="1"/>
  <c r="R90" i="4"/>
  <c r="S90" i="4"/>
  <c r="Q91" i="4"/>
  <c r="R91" i="4"/>
  <c r="S91" i="4"/>
  <c r="Q92" i="4"/>
  <c r="U92" i="4" s="1"/>
  <c r="R92" i="4"/>
  <c r="S92" i="4"/>
  <c r="Q93" i="4"/>
  <c r="U93" i="4" s="1"/>
  <c r="R93" i="4"/>
  <c r="S93" i="4"/>
  <c r="Q94" i="4"/>
  <c r="U94" i="4" s="1"/>
  <c r="R94" i="4"/>
  <c r="S94" i="4"/>
  <c r="Q95" i="4"/>
  <c r="U95" i="4" s="1"/>
  <c r="R95" i="4"/>
  <c r="S95" i="4"/>
  <c r="Q96" i="4"/>
  <c r="U96" i="4" s="1"/>
  <c r="R96" i="4"/>
  <c r="S96" i="4"/>
  <c r="Q97" i="4"/>
  <c r="U97" i="4" s="1"/>
  <c r="R97" i="4"/>
  <c r="S97" i="4"/>
  <c r="Q98" i="4"/>
  <c r="U98" i="4" s="1"/>
  <c r="R98" i="4"/>
  <c r="S98" i="4"/>
  <c r="Q99" i="4"/>
  <c r="U99" i="4" s="1"/>
  <c r="R99" i="4"/>
  <c r="S99" i="4"/>
  <c r="Q100" i="4"/>
  <c r="U100" i="4" s="1"/>
  <c r="R100" i="4"/>
  <c r="S100" i="4"/>
  <c r="Q101" i="4"/>
  <c r="U101" i="4" s="1"/>
  <c r="R101" i="4"/>
  <c r="S101" i="4"/>
  <c r="Q102" i="4"/>
  <c r="U102" i="4" s="1"/>
  <c r="R102" i="4"/>
  <c r="S102" i="4"/>
  <c r="Q103" i="4"/>
  <c r="U103" i="4" s="1"/>
  <c r="R103" i="4"/>
  <c r="S103" i="4"/>
  <c r="Q104" i="4"/>
  <c r="U104" i="4" s="1"/>
  <c r="R104" i="4"/>
  <c r="S104" i="4"/>
  <c r="Q105" i="4"/>
  <c r="U105" i="4" s="1"/>
  <c r="R105" i="4"/>
  <c r="S105" i="4"/>
  <c r="Q106" i="4"/>
  <c r="U106" i="4" s="1"/>
  <c r="R106" i="4"/>
  <c r="S106" i="4"/>
  <c r="S5" i="4"/>
  <c r="R5" i="4"/>
  <c r="Q5" i="4"/>
  <c r="U5" i="4" s="1"/>
  <c r="U134" i="4"/>
  <c r="U131" i="4"/>
  <c r="U130" i="4"/>
  <c r="U129" i="4"/>
  <c r="U124" i="4"/>
  <c r="U119" i="4"/>
  <c r="U114" i="4"/>
  <c r="U112" i="4"/>
  <c r="T112" i="4"/>
  <c r="U108" i="4"/>
  <c r="T108" i="4"/>
  <c r="U91" i="4"/>
  <c r="U77" i="4"/>
  <c r="U75" i="4"/>
  <c r="U64" i="4"/>
  <c r="U59" i="4"/>
  <c r="U57" i="4"/>
  <c r="U48" i="4"/>
  <c r="U32" i="4"/>
  <c r="U29" i="4"/>
  <c r="U27" i="4"/>
  <c r="U21" i="4"/>
  <c r="U18" i="4"/>
  <c r="U14" i="4"/>
  <c r="U8" i="4"/>
  <c r="F132" i="4"/>
  <c r="AA21" i="10" a="1"/>
  <c r="AA21" i="10" s="1"/>
  <c r="M28" i="10" a="1"/>
  <c r="M28" i="10" s="1"/>
  <c r="AA28" i="10" a="1"/>
  <c r="AA28" i="10" s="1"/>
  <c r="AA48" i="10" a="1"/>
  <c r="AA48" i="10"/>
  <c r="AA59" i="10" a="1"/>
  <c r="AA59" i="10" s="1"/>
  <c r="AA61" i="10" a="1"/>
  <c r="AA61" i="10" s="1"/>
  <c r="AA73" i="10" a="1"/>
  <c r="AA73" i="10" s="1"/>
  <c r="AA76" i="10" a="1"/>
  <c r="AA76" i="10" s="1"/>
  <c r="AA79" i="10" a="1"/>
  <c r="AA79" i="10" s="1"/>
  <c r="AA95" i="10" a="1"/>
  <c r="AA95" i="10" s="1"/>
  <c r="AA97" i="10" a="1"/>
  <c r="AA97" i="10" s="1"/>
  <c r="AA101" i="10" a="1"/>
  <c r="AA101" i="10" s="1"/>
  <c r="AA110" i="10" a="1"/>
  <c r="AA110" i="10" s="1"/>
  <c r="AA114" i="10" a="1"/>
  <c r="AA114" i="10" s="1"/>
  <c r="AA116" i="10" a="1"/>
  <c r="AA116" i="10" s="1"/>
  <c r="AA119" i="10" a="1"/>
  <c r="AA119" i="10" s="1"/>
  <c r="AA123" i="10" a="1"/>
  <c r="AA123" i="10" s="1"/>
  <c r="AA128" i="10" a="1"/>
  <c r="AA128" i="10" s="1"/>
  <c r="AA129" i="10" a="1"/>
  <c r="AA129" i="10" s="1"/>
  <c r="L90" i="4"/>
  <c r="P90" i="4" s="1"/>
  <c r="L106" i="4"/>
  <c r="P106" i="4" s="1"/>
  <c r="L6" i="4"/>
  <c r="P6" i="4" s="1"/>
  <c r="M6" i="4"/>
  <c r="N6" i="4"/>
  <c r="L7" i="4"/>
  <c r="P7" i="4" s="1"/>
  <c r="M7" i="4"/>
  <c r="N7" i="4"/>
  <c r="L8" i="4"/>
  <c r="P8" i="4" s="1"/>
  <c r="M8" i="4"/>
  <c r="N8" i="4"/>
  <c r="L9" i="4"/>
  <c r="P9" i="4" s="1"/>
  <c r="M9" i="4"/>
  <c r="N9" i="4"/>
  <c r="L10" i="4"/>
  <c r="P10" i="4" s="1"/>
  <c r="M10" i="4"/>
  <c r="N10" i="4"/>
  <c r="L11" i="4"/>
  <c r="P11" i="4" s="1"/>
  <c r="M11" i="4"/>
  <c r="N11" i="4"/>
  <c r="L12" i="4"/>
  <c r="P12" i="4" s="1"/>
  <c r="M12" i="4"/>
  <c r="N12" i="4"/>
  <c r="L13" i="4"/>
  <c r="P13" i="4" s="1"/>
  <c r="M13" i="4"/>
  <c r="N13" i="4"/>
  <c r="L14" i="4"/>
  <c r="P14" i="4" s="1"/>
  <c r="M14" i="4"/>
  <c r="N14" i="4"/>
  <c r="L15" i="4"/>
  <c r="P15" i="4" s="1"/>
  <c r="M15" i="4"/>
  <c r="N15" i="4"/>
  <c r="L16" i="4"/>
  <c r="P16" i="4" s="1"/>
  <c r="M16" i="4"/>
  <c r="N16" i="4"/>
  <c r="L17" i="4"/>
  <c r="P17" i="4" s="1"/>
  <c r="M17" i="4"/>
  <c r="N17" i="4"/>
  <c r="L18" i="4"/>
  <c r="P18" i="4" s="1"/>
  <c r="M18" i="4"/>
  <c r="N18" i="4"/>
  <c r="L19" i="4"/>
  <c r="P19" i="4" s="1"/>
  <c r="M19" i="4"/>
  <c r="N19" i="4"/>
  <c r="L20" i="4"/>
  <c r="P20" i="4" s="1"/>
  <c r="M20" i="4"/>
  <c r="N20" i="4"/>
  <c r="L21" i="4"/>
  <c r="P21" i="4" s="1"/>
  <c r="M21" i="4"/>
  <c r="N21" i="4"/>
  <c r="L22" i="4"/>
  <c r="P22" i="4" s="1"/>
  <c r="M22" i="4"/>
  <c r="N22" i="4"/>
  <c r="L23" i="4"/>
  <c r="P23" i="4" s="1"/>
  <c r="M23" i="4"/>
  <c r="N23" i="4"/>
  <c r="L24" i="4"/>
  <c r="P24" i="4" s="1"/>
  <c r="M24" i="4"/>
  <c r="N24" i="4"/>
  <c r="L25" i="4"/>
  <c r="P25" i="4" s="1"/>
  <c r="M25" i="4"/>
  <c r="N25" i="4"/>
  <c r="L26" i="4"/>
  <c r="P26" i="4" s="1"/>
  <c r="M26" i="4"/>
  <c r="N26" i="4"/>
  <c r="L27" i="4"/>
  <c r="P27" i="4" s="1"/>
  <c r="M27" i="4"/>
  <c r="N27" i="4"/>
  <c r="L28" i="4"/>
  <c r="P28" i="4" s="1"/>
  <c r="M28" i="4"/>
  <c r="N28" i="4"/>
  <c r="L29" i="4"/>
  <c r="P29" i="4" s="1"/>
  <c r="M29" i="4"/>
  <c r="N29" i="4"/>
  <c r="L30" i="4"/>
  <c r="P30" i="4" s="1"/>
  <c r="M30" i="4"/>
  <c r="N30" i="4"/>
  <c r="L31" i="4"/>
  <c r="P31" i="4" s="1"/>
  <c r="M31" i="4"/>
  <c r="N31" i="4"/>
  <c r="L32" i="4"/>
  <c r="P32" i="4" s="1"/>
  <c r="M32" i="4"/>
  <c r="N32" i="4"/>
  <c r="L33" i="4"/>
  <c r="P33" i="4" s="1"/>
  <c r="M33" i="4"/>
  <c r="N33" i="4"/>
  <c r="L34" i="4"/>
  <c r="P34" i="4" s="1"/>
  <c r="M34" i="4"/>
  <c r="N34" i="4"/>
  <c r="L35" i="4"/>
  <c r="P35" i="4" s="1"/>
  <c r="M35" i="4"/>
  <c r="N35" i="4"/>
  <c r="L36" i="4"/>
  <c r="P36" i="4" s="1"/>
  <c r="M36" i="4"/>
  <c r="N36" i="4"/>
  <c r="L37" i="4"/>
  <c r="P37" i="4" s="1"/>
  <c r="M37" i="4"/>
  <c r="N37" i="4"/>
  <c r="L38" i="4"/>
  <c r="P38" i="4" s="1"/>
  <c r="M38" i="4"/>
  <c r="N38" i="4"/>
  <c r="L39" i="4"/>
  <c r="P39" i="4" s="1"/>
  <c r="M39" i="4"/>
  <c r="N39" i="4"/>
  <c r="L40" i="4"/>
  <c r="P40" i="4" s="1"/>
  <c r="M40" i="4"/>
  <c r="N40" i="4"/>
  <c r="L41" i="4"/>
  <c r="P41" i="4" s="1"/>
  <c r="M41" i="4"/>
  <c r="N41" i="4"/>
  <c r="L42" i="4"/>
  <c r="P42" i="4" s="1"/>
  <c r="M42" i="4"/>
  <c r="N42" i="4"/>
  <c r="L43" i="4"/>
  <c r="P43" i="4" s="1"/>
  <c r="M43" i="4"/>
  <c r="N43" i="4"/>
  <c r="L44" i="4"/>
  <c r="P44" i="4" s="1"/>
  <c r="M44" i="4"/>
  <c r="N44" i="4"/>
  <c r="L45" i="4"/>
  <c r="P45" i="4" s="1"/>
  <c r="M45" i="4"/>
  <c r="N45" i="4"/>
  <c r="L46" i="4"/>
  <c r="P46" i="4" s="1"/>
  <c r="M46" i="4"/>
  <c r="N46" i="4"/>
  <c r="L47" i="4"/>
  <c r="P47" i="4" s="1"/>
  <c r="M47" i="4"/>
  <c r="N47" i="4"/>
  <c r="L48" i="4"/>
  <c r="P48" i="4" s="1"/>
  <c r="M48" i="4"/>
  <c r="N48" i="4"/>
  <c r="L49" i="4"/>
  <c r="P49" i="4" s="1"/>
  <c r="M49" i="4"/>
  <c r="N49" i="4"/>
  <c r="L50" i="4"/>
  <c r="P50" i="4" s="1"/>
  <c r="M50" i="4"/>
  <c r="N50" i="4"/>
  <c r="L51" i="4"/>
  <c r="P51" i="4" s="1"/>
  <c r="M51" i="4"/>
  <c r="N51" i="4"/>
  <c r="L52" i="4"/>
  <c r="P52" i="4" s="1"/>
  <c r="M52" i="4"/>
  <c r="N52" i="4"/>
  <c r="L53" i="4"/>
  <c r="P53" i="4" s="1"/>
  <c r="M53" i="4"/>
  <c r="N53" i="4"/>
  <c r="L54" i="4"/>
  <c r="P54" i="4" s="1"/>
  <c r="M54" i="4"/>
  <c r="N54" i="4"/>
  <c r="L55" i="4"/>
  <c r="P55" i="4" s="1"/>
  <c r="M55" i="4"/>
  <c r="N55" i="4"/>
  <c r="L56" i="4"/>
  <c r="P56" i="4" s="1"/>
  <c r="M56" i="4"/>
  <c r="N56" i="4"/>
  <c r="L57" i="4"/>
  <c r="P57" i="4" s="1"/>
  <c r="M57" i="4"/>
  <c r="N57" i="4"/>
  <c r="L58" i="4"/>
  <c r="P58" i="4" s="1"/>
  <c r="M58" i="4"/>
  <c r="N58" i="4"/>
  <c r="L59" i="4"/>
  <c r="P59" i="4" s="1"/>
  <c r="M59" i="4"/>
  <c r="N59" i="4"/>
  <c r="L60" i="4"/>
  <c r="P60" i="4" s="1"/>
  <c r="M60" i="4"/>
  <c r="N60" i="4"/>
  <c r="L61" i="4"/>
  <c r="P61" i="4" s="1"/>
  <c r="M61" i="4"/>
  <c r="N61" i="4"/>
  <c r="L62" i="4"/>
  <c r="P62" i="4" s="1"/>
  <c r="M62" i="4"/>
  <c r="N62" i="4"/>
  <c r="L63" i="4"/>
  <c r="P63" i="4" s="1"/>
  <c r="M63" i="4"/>
  <c r="N63" i="4"/>
  <c r="L64" i="4"/>
  <c r="M64" i="4"/>
  <c r="N64" i="4"/>
  <c r="L65" i="4"/>
  <c r="P65" i="4" s="1"/>
  <c r="M65" i="4"/>
  <c r="N65" i="4"/>
  <c r="L66" i="4"/>
  <c r="P66" i="4" s="1"/>
  <c r="M66" i="4"/>
  <c r="N66" i="4"/>
  <c r="L67" i="4"/>
  <c r="P67" i="4" s="1"/>
  <c r="M67" i="4"/>
  <c r="N67" i="4"/>
  <c r="L68" i="4"/>
  <c r="P68" i="4" s="1"/>
  <c r="M68" i="4"/>
  <c r="N68" i="4"/>
  <c r="L69" i="4"/>
  <c r="P69" i="4" s="1"/>
  <c r="M69" i="4"/>
  <c r="N69" i="4"/>
  <c r="L70" i="4"/>
  <c r="P70" i="4" s="1"/>
  <c r="M70" i="4"/>
  <c r="N70" i="4"/>
  <c r="L71" i="4"/>
  <c r="P71" i="4" s="1"/>
  <c r="M71" i="4"/>
  <c r="N71" i="4"/>
  <c r="L72" i="4"/>
  <c r="P72" i="4" s="1"/>
  <c r="M72" i="4"/>
  <c r="N72" i="4"/>
  <c r="L73" i="4"/>
  <c r="P73" i="4" s="1"/>
  <c r="M73" i="4"/>
  <c r="N73" i="4"/>
  <c r="L74" i="4"/>
  <c r="P74" i="4" s="1"/>
  <c r="M74" i="4"/>
  <c r="N74" i="4"/>
  <c r="L75" i="4"/>
  <c r="P75" i="4" s="1"/>
  <c r="M75" i="4"/>
  <c r="N75" i="4"/>
  <c r="L76" i="4"/>
  <c r="P76" i="4" s="1"/>
  <c r="M76" i="4"/>
  <c r="N76" i="4"/>
  <c r="L77" i="4"/>
  <c r="P77" i="4" s="1"/>
  <c r="M77" i="4"/>
  <c r="N77" i="4"/>
  <c r="L78" i="4"/>
  <c r="P78" i="4" s="1"/>
  <c r="M78" i="4"/>
  <c r="N78" i="4"/>
  <c r="L79" i="4"/>
  <c r="P79" i="4" s="1"/>
  <c r="M79" i="4"/>
  <c r="N79" i="4"/>
  <c r="L80" i="4"/>
  <c r="M80" i="4"/>
  <c r="N80" i="4"/>
  <c r="L81" i="4"/>
  <c r="P81" i="4" s="1"/>
  <c r="M81" i="4"/>
  <c r="N81" i="4"/>
  <c r="L82" i="4"/>
  <c r="P82" i="4" s="1"/>
  <c r="M82" i="4"/>
  <c r="N82" i="4"/>
  <c r="L83" i="4"/>
  <c r="P83" i="4" s="1"/>
  <c r="M83" i="4"/>
  <c r="N83" i="4"/>
  <c r="L84" i="4"/>
  <c r="P84" i="4" s="1"/>
  <c r="M84" i="4"/>
  <c r="N84" i="4"/>
  <c r="L85" i="4"/>
  <c r="P85" i="4" s="1"/>
  <c r="M85" i="4"/>
  <c r="N85" i="4"/>
  <c r="L86" i="4"/>
  <c r="P86" i="4" s="1"/>
  <c r="M86" i="4"/>
  <c r="N86" i="4"/>
  <c r="L87" i="4"/>
  <c r="P87" i="4" s="1"/>
  <c r="M87" i="4"/>
  <c r="N87" i="4"/>
  <c r="L88" i="4"/>
  <c r="P88" i="4" s="1"/>
  <c r="M88" i="4"/>
  <c r="N88" i="4"/>
  <c r="L89" i="4"/>
  <c r="M89" i="4"/>
  <c r="N89" i="4"/>
  <c r="M90" i="4"/>
  <c r="N90" i="4"/>
  <c r="L91" i="4"/>
  <c r="M91" i="4"/>
  <c r="N91" i="4"/>
  <c r="L92" i="4"/>
  <c r="P92" i="4" s="1"/>
  <c r="M92" i="4"/>
  <c r="N92" i="4"/>
  <c r="L93" i="4"/>
  <c r="M93" i="4"/>
  <c r="N93" i="4"/>
  <c r="L94" i="4"/>
  <c r="P94" i="4" s="1"/>
  <c r="M94" i="4"/>
  <c r="N94" i="4"/>
  <c r="L95" i="4"/>
  <c r="P95" i="4" s="1"/>
  <c r="M95" i="4"/>
  <c r="N95" i="4"/>
  <c r="L96" i="4"/>
  <c r="P96" i="4" s="1"/>
  <c r="M96" i="4"/>
  <c r="N96" i="4"/>
  <c r="L97" i="4"/>
  <c r="P97" i="4" s="1"/>
  <c r="M97" i="4"/>
  <c r="N97" i="4"/>
  <c r="L98" i="4"/>
  <c r="P98" i="4" s="1"/>
  <c r="M98" i="4"/>
  <c r="N98" i="4"/>
  <c r="L99" i="4"/>
  <c r="P99" i="4" s="1"/>
  <c r="M99" i="4"/>
  <c r="N99" i="4"/>
  <c r="L100" i="4"/>
  <c r="M100" i="4"/>
  <c r="N100" i="4"/>
  <c r="L101" i="4"/>
  <c r="P101" i="4" s="1"/>
  <c r="M101" i="4"/>
  <c r="N101" i="4"/>
  <c r="L102" i="4"/>
  <c r="P102" i="4" s="1"/>
  <c r="M102" i="4"/>
  <c r="N102" i="4"/>
  <c r="L103" i="4"/>
  <c r="P103" i="4" s="1"/>
  <c r="M103" i="4"/>
  <c r="N103" i="4"/>
  <c r="L104" i="4"/>
  <c r="M104" i="4"/>
  <c r="N104" i="4"/>
  <c r="L105" i="4"/>
  <c r="P105" i="4" s="1"/>
  <c r="M105" i="4"/>
  <c r="N105" i="4"/>
  <c r="M106" i="4"/>
  <c r="N106" i="4"/>
  <c r="L107" i="4"/>
  <c r="M107" i="4"/>
  <c r="N107" i="4"/>
  <c r="L108" i="4"/>
  <c r="P108" i="4" s="1"/>
  <c r="M108" i="4"/>
  <c r="N108" i="4"/>
  <c r="L109" i="4"/>
  <c r="P109" i="4" s="1"/>
  <c r="M109" i="4"/>
  <c r="N109" i="4"/>
  <c r="L110" i="4"/>
  <c r="P110" i="4" s="1"/>
  <c r="M110" i="4"/>
  <c r="N110" i="4"/>
  <c r="L111" i="4"/>
  <c r="P111" i="4" s="1"/>
  <c r="M111" i="4"/>
  <c r="N111" i="4"/>
  <c r="L112" i="4"/>
  <c r="P112" i="4" s="1"/>
  <c r="M112" i="4"/>
  <c r="N112" i="4"/>
  <c r="L113" i="4"/>
  <c r="P113" i="4" s="1"/>
  <c r="M113" i="4"/>
  <c r="N113" i="4"/>
  <c r="L114" i="4"/>
  <c r="P114" i="4" s="1"/>
  <c r="M114" i="4"/>
  <c r="N114" i="4"/>
  <c r="L115" i="4"/>
  <c r="P115" i="4" s="1"/>
  <c r="M115" i="4"/>
  <c r="N115" i="4"/>
  <c r="L116" i="4"/>
  <c r="P116" i="4" s="1"/>
  <c r="M116" i="4"/>
  <c r="N116" i="4"/>
  <c r="L117" i="4"/>
  <c r="P117" i="4" s="1"/>
  <c r="M117" i="4"/>
  <c r="N117" i="4"/>
  <c r="L118" i="4"/>
  <c r="P118" i="4" s="1"/>
  <c r="M118" i="4"/>
  <c r="N118" i="4"/>
  <c r="L119" i="4"/>
  <c r="P119" i="4" s="1"/>
  <c r="M119" i="4"/>
  <c r="N119" i="4"/>
  <c r="L120" i="4"/>
  <c r="P120" i="4" s="1"/>
  <c r="M120" i="4"/>
  <c r="N120" i="4"/>
  <c r="L121" i="4"/>
  <c r="P121" i="4" s="1"/>
  <c r="M121" i="4"/>
  <c r="N121" i="4"/>
  <c r="L122" i="4"/>
  <c r="P122" i="4" s="1"/>
  <c r="M122" i="4"/>
  <c r="N122" i="4"/>
  <c r="L123" i="4"/>
  <c r="M123" i="4"/>
  <c r="N123" i="4"/>
  <c r="L124" i="4"/>
  <c r="P124" i="4" s="1"/>
  <c r="M124" i="4"/>
  <c r="N124" i="4"/>
  <c r="L125" i="4"/>
  <c r="P125" i="4" s="1"/>
  <c r="M125" i="4"/>
  <c r="N125" i="4"/>
  <c r="L126" i="4"/>
  <c r="P126" i="4" s="1"/>
  <c r="M126" i="4"/>
  <c r="N126" i="4"/>
  <c r="L127" i="4"/>
  <c r="P127" i="4" s="1"/>
  <c r="M127" i="4"/>
  <c r="N127" i="4"/>
  <c r="L128" i="4"/>
  <c r="P128" i="4" s="1"/>
  <c r="M128" i="4"/>
  <c r="N128" i="4"/>
  <c r="L129" i="4"/>
  <c r="P129" i="4" s="1"/>
  <c r="M129" i="4"/>
  <c r="N129" i="4"/>
  <c r="L130" i="4"/>
  <c r="P130" i="4" s="1"/>
  <c r="M130" i="4"/>
  <c r="N130" i="4"/>
  <c r="L131" i="4"/>
  <c r="P131" i="4" s="1"/>
  <c r="M131" i="4"/>
  <c r="N131" i="4"/>
  <c r="L132" i="4"/>
  <c r="P132" i="4" s="1"/>
  <c r="M132" i="4"/>
  <c r="N132" i="4"/>
  <c r="L133" i="4"/>
  <c r="P133" i="4" s="1"/>
  <c r="M133" i="4"/>
  <c r="N133" i="4"/>
  <c r="L134" i="4"/>
  <c r="P134" i="4" s="1"/>
  <c r="M134" i="4"/>
  <c r="N134" i="4"/>
  <c r="N5" i="4"/>
  <c r="M5" i="4"/>
  <c r="L5" i="4"/>
  <c r="P5" i="4" s="1"/>
  <c r="O61" i="4"/>
  <c r="O15" i="4"/>
  <c r="AA25" i="13" a="1"/>
  <c r="AA25" i="13" s="1"/>
  <c r="AA28" i="13" a="1"/>
  <c r="AA28" i="13" s="1"/>
  <c r="AA69" i="13" a="1"/>
  <c r="AA69" i="13" s="1"/>
  <c r="AA70" i="13" a="1"/>
  <c r="AA70" i="13" s="1"/>
  <c r="AA71" i="13" a="1"/>
  <c r="AA71" i="13" s="1"/>
  <c r="AA87" i="13" a="1"/>
  <c r="AA87" i="13" s="1"/>
  <c r="AA91" i="13" a="1"/>
  <c r="AA91" i="13" s="1"/>
  <c r="AA100" i="13" a="1"/>
  <c r="AA100" i="13" s="1"/>
  <c r="AA103" i="13" a="1"/>
  <c r="AA103" i="13" s="1"/>
  <c r="AA105" i="13" a="1"/>
  <c r="AA105" i="13" s="1"/>
  <c r="AA109" i="13" a="1"/>
  <c r="AA109" i="13" s="1"/>
  <c r="AA111" i="13" a="1"/>
  <c r="AA111" i="13" s="1"/>
  <c r="AA113" i="13" a="1"/>
  <c r="AA113" i="13" s="1"/>
  <c r="AA118" i="13" a="1"/>
  <c r="AA118" i="13" s="1"/>
  <c r="AA121" i="13" a="1"/>
  <c r="AA121" i="13" s="1"/>
  <c r="AA122" i="13" a="1"/>
  <c r="AA122" i="13" s="1"/>
  <c r="AA124" i="13" a="1"/>
  <c r="AA124" i="13" s="1"/>
  <c r="AA128" i="13" a="1"/>
  <c r="AA128" i="13" s="1"/>
  <c r="AA129" i="13" a="1"/>
  <c r="AA129" i="13" s="1"/>
  <c r="C132" i="4"/>
  <c r="D132" i="4"/>
  <c r="B133" i="4"/>
  <c r="F133" i="4" s="1"/>
  <c r="C133" i="4"/>
  <c r="D133" i="4"/>
  <c r="B134" i="4"/>
  <c r="F134" i="4" s="1"/>
  <c r="C134" i="4"/>
  <c r="D134" i="4"/>
  <c r="B6" i="4"/>
  <c r="F6" i="4" s="1"/>
  <c r="C6" i="4"/>
  <c r="D6" i="4"/>
  <c r="B7" i="4"/>
  <c r="F7" i="4" s="1"/>
  <c r="C7" i="4"/>
  <c r="D7" i="4"/>
  <c r="B8" i="4"/>
  <c r="F8" i="4" s="1"/>
  <c r="C8" i="4"/>
  <c r="D8" i="4"/>
  <c r="B9" i="4"/>
  <c r="F9" i="4" s="1"/>
  <c r="C9" i="4"/>
  <c r="D9" i="4"/>
  <c r="B10" i="4"/>
  <c r="F10" i="4" s="1"/>
  <c r="C10" i="4"/>
  <c r="D10" i="4"/>
  <c r="B11" i="4"/>
  <c r="F11" i="4" s="1"/>
  <c r="C11" i="4"/>
  <c r="D11" i="4"/>
  <c r="B12" i="4"/>
  <c r="F12" i="4" s="1"/>
  <c r="C12" i="4"/>
  <c r="D12" i="4"/>
  <c r="B13" i="4"/>
  <c r="F13" i="4" s="1"/>
  <c r="C13" i="4"/>
  <c r="D13" i="4"/>
  <c r="B14" i="4"/>
  <c r="F14" i="4" s="1"/>
  <c r="C14" i="4"/>
  <c r="D14" i="4"/>
  <c r="B15" i="4"/>
  <c r="F15" i="4" s="1"/>
  <c r="C15" i="4"/>
  <c r="D15" i="4"/>
  <c r="B16" i="4"/>
  <c r="F16" i="4" s="1"/>
  <c r="C16" i="4"/>
  <c r="D16" i="4"/>
  <c r="B17" i="4"/>
  <c r="F17" i="4" s="1"/>
  <c r="C17" i="4"/>
  <c r="D17" i="4"/>
  <c r="B18" i="4"/>
  <c r="F18" i="4" s="1"/>
  <c r="C18" i="4"/>
  <c r="D18" i="4"/>
  <c r="B19" i="4"/>
  <c r="F19" i="4" s="1"/>
  <c r="C19" i="4"/>
  <c r="D19" i="4"/>
  <c r="B20" i="4"/>
  <c r="F20" i="4" s="1"/>
  <c r="C20" i="4"/>
  <c r="D20" i="4"/>
  <c r="B21" i="4"/>
  <c r="F21" i="4" s="1"/>
  <c r="C21" i="4"/>
  <c r="D21" i="4"/>
  <c r="B22" i="4"/>
  <c r="F22" i="4" s="1"/>
  <c r="C22" i="4"/>
  <c r="D22" i="4"/>
  <c r="B23" i="4"/>
  <c r="F23" i="4" s="1"/>
  <c r="C23" i="4"/>
  <c r="D23" i="4"/>
  <c r="B24" i="4"/>
  <c r="F24" i="4" s="1"/>
  <c r="C24" i="4"/>
  <c r="D24" i="4"/>
  <c r="B25" i="4"/>
  <c r="F25" i="4" s="1"/>
  <c r="C25" i="4"/>
  <c r="D25" i="4"/>
  <c r="B26" i="4"/>
  <c r="F26" i="4" s="1"/>
  <c r="C26" i="4"/>
  <c r="D26" i="4"/>
  <c r="B27" i="4"/>
  <c r="F27" i="4" s="1"/>
  <c r="C27" i="4"/>
  <c r="D27" i="4"/>
  <c r="B28" i="4"/>
  <c r="F28" i="4" s="1"/>
  <c r="C28" i="4"/>
  <c r="D28" i="4"/>
  <c r="B29" i="4"/>
  <c r="F29" i="4" s="1"/>
  <c r="C29" i="4"/>
  <c r="D29" i="4"/>
  <c r="B30" i="4"/>
  <c r="F30" i="4" s="1"/>
  <c r="C30" i="4"/>
  <c r="D30" i="4"/>
  <c r="B31" i="4"/>
  <c r="F31" i="4" s="1"/>
  <c r="C31" i="4"/>
  <c r="D31" i="4"/>
  <c r="B32" i="4"/>
  <c r="F32" i="4" s="1"/>
  <c r="C32" i="4"/>
  <c r="D32" i="4"/>
  <c r="B33" i="4"/>
  <c r="F33" i="4" s="1"/>
  <c r="C33" i="4"/>
  <c r="D33" i="4"/>
  <c r="B34" i="4"/>
  <c r="F34" i="4" s="1"/>
  <c r="C34" i="4"/>
  <c r="D34" i="4"/>
  <c r="B35" i="4"/>
  <c r="F35" i="4" s="1"/>
  <c r="C35" i="4"/>
  <c r="D35" i="4"/>
  <c r="B36" i="4"/>
  <c r="F36" i="4" s="1"/>
  <c r="C36" i="4"/>
  <c r="D36" i="4"/>
  <c r="B37" i="4"/>
  <c r="F37" i="4" s="1"/>
  <c r="C37" i="4"/>
  <c r="D37" i="4"/>
  <c r="B38" i="4"/>
  <c r="F38" i="4" s="1"/>
  <c r="C38" i="4"/>
  <c r="D38" i="4"/>
  <c r="B39" i="4"/>
  <c r="F39" i="4" s="1"/>
  <c r="C39" i="4"/>
  <c r="D39" i="4"/>
  <c r="B40" i="4"/>
  <c r="F40" i="4" s="1"/>
  <c r="C40" i="4"/>
  <c r="D40" i="4"/>
  <c r="B41" i="4"/>
  <c r="F41" i="4" s="1"/>
  <c r="C41" i="4"/>
  <c r="D41" i="4"/>
  <c r="B42" i="4"/>
  <c r="F42" i="4" s="1"/>
  <c r="C42" i="4"/>
  <c r="D42" i="4"/>
  <c r="B43" i="4"/>
  <c r="F43" i="4" s="1"/>
  <c r="C43" i="4"/>
  <c r="D43" i="4"/>
  <c r="B44" i="4"/>
  <c r="F44" i="4" s="1"/>
  <c r="C44" i="4"/>
  <c r="D44" i="4"/>
  <c r="B45" i="4"/>
  <c r="F45" i="4" s="1"/>
  <c r="C45" i="4"/>
  <c r="D45" i="4"/>
  <c r="B46" i="4"/>
  <c r="F46" i="4" s="1"/>
  <c r="C46" i="4"/>
  <c r="D46" i="4"/>
  <c r="B47" i="4"/>
  <c r="F47" i="4" s="1"/>
  <c r="C47" i="4"/>
  <c r="D47" i="4"/>
  <c r="B48" i="4"/>
  <c r="F48" i="4" s="1"/>
  <c r="C48" i="4"/>
  <c r="D48" i="4"/>
  <c r="B49" i="4"/>
  <c r="F49" i="4" s="1"/>
  <c r="C49" i="4"/>
  <c r="D49" i="4"/>
  <c r="B50" i="4"/>
  <c r="F50" i="4" s="1"/>
  <c r="C50" i="4"/>
  <c r="D50" i="4"/>
  <c r="B51" i="4"/>
  <c r="F51" i="4" s="1"/>
  <c r="C51" i="4"/>
  <c r="D51" i="4"/>
  <c r="B52" i="4"/>
  <c r="F52" i="4" s="1"/>
  <c r="C52" i="4"/>
  <c r="D52" i="4"/>
  <c r="B53" i="4"/>
  <c r="F53" i="4" s="1"/>
  <c r="C53" i="4"/>
  <c r="D53" i="4"/>
  <c r="B54" i="4"/>
  <c r="F54" i="4" s="1"/>
  <c r="C54" i="4"/>
  <c r="D54" i="4"/>
  <c r="B55" i="4"/>
  <c r="F55" i="4" s="1"/>
  <c r="C55" i="4"/>
  <c r="D55" i="4"/>
  <c r="B56" i="4"/>
  <c r="F56" i="4" s="1"/>
  <c r="C56" i="4"/>
  <c r="D56" i="4"/>
  <c r="B57" i="4"/>
  <c r="F57" i="4" s="1"/>
  <c r="C57" i="4"/>
  <c r="D57" i="4"/>
  <c r="B58" i="4"/>
  <c r="F58" i="4" s="1"/>
  <c r="C58" i="4"/>
  <c r="D58" i="4"/>
  <c r="B59" i="4"/>
  <c r="F59" i="4" s="1"/>
  <c r="C59" i="4"/>
  <c r="D59" i="4"/>
  <c r="B60" i="4"/>
  <c r="F60" i="4" s="1"/>
  <c r="C60" i="4"/>
  <c r="D60" i="4"/>
  <c r="B61" i="4"/>
  <c r="F61" i="4" s="1"/>
  <c r="C61" i="4"/>
  <c r="D61" i="4"/>
  <c r="B62" i="4"/>
  <c r="F62" i="4" s="1"/>
  <c r="C62" i="4"/>
  <c r="D62" i="4"/>
  <c r="B63" i="4"/>
  <c r="F63" i="4" s="1"/>
  <c r="C63" i="4"/>
  <c r="D63" i="4"/>
  <c r="B64" i="4"/>
  <c r="F64" i="4" s="1"/>
  <c r="C64" i="4"/>
  <c r="D64" i="4"/>
  <c r="B65" i="4"/>
  <c r="F65" i="4" s="1"/>
  <c r="C65" i="4"/>
  <c r="D65" i="4"/>
  <c r="B66" i="4"/>
  <c r="F66" i="4" s="1"/>
  <c r="C66" i="4"/>
  <c r="D66" i="4"/>
  <c r="B67" i="4"/>
  <c r="F67" i="4" s="1"/>
  <c r="C67" i="4"/>
  <c r="D67" i="4"/>
  <c r="B68" i="4"/>
  <c r="F68" i="4" s="1"/>
  <c r="C68" i="4"/>
  <c r="D68" i="4"/>
  <c r="B69" i="4"/>
  <c r="F69" i="4" s="1"/>
  <c r="C69" i="4"/>
  <c r="D69" i="4"/>
  <c r="B70" i="4"/>
  <c r="F70" i="4" s="1"/>
  <c r="C70" i="4"/>
  <c r="D70" i="4"/>
  <c r="B71" i="4"/>
  <c r="F71" i="4" s="1"/>
  <c r="C71" i="4"/>
  <c r="D71" i="4"/>
  <c r="B72" i="4"/>
  <c r="F72" i="4" s="1"/>
  <c r="C72" i="4"/>
  <c r="D72" i="4"/>
  <c r="B73" i="4"/>
  <c r="F73" i="4" s="1"/>
  <c r="C73" i="4"/>
  <c r="D73" i="4"/>
  <c r="B74" i="4"/>
  <c r="F74" i="4" s="1"/>
  <c r="C74" i="4"/>
  <c r="D74" i="4"/>
  <c r="B75" i="4"/>
  <c r="F75" i="4" s="1"/>
  <c r="C75" i="4"/>
  <c r="D75" i="4"/>
  <c r="B76" i="4"/>
  <c r="F76" i="4" s="1"/>
  <c r="C76" i="4"/>
  <c r="D76" i="4"/>
  <c r="B77" i="4"/>
  <c r="F77" i="4" s="1"/>
  <c r="C77" i="4"/>
  <c r="D77" i="4"/>
  <c r="B78" i="4"/>
  <c r="F78" i="4" s="1"/>
  <c r="C78" i="4"/>
  <c r="D78" i="4"/>
  <c r="B79" i="4"/>
  <c r="F79" i="4" s="1"/>
  <c r="C79" i="4"/>
  <c r="D79" i="4"/>
  <c r="B80" i="4"/>
  <c r="F80" i="4" s="1"/>
  <c r="C80" i="4"/>
  <c r="D80" i="4"/>
  <c r="B81" i="4"/>
  <c r="F81" i="4" s="1"/>
  <c r="C81" i="4"/>
  <c r="D81" i="4"/>
  <c r="B82" i="4"/>
  <c r="F82" i="4" s="1"/>
  <c r="C82" i="4"/>
  <c r="D82" i="4"/>
  <c r="B83" i="4"/>
  <c r="F83" i="4" s="1"/>
  <c r="C83" i="4"/>
  <c r="D83" i="4"/>
  <c r="B84" i="4"/>
  <c r="F84" i="4" s="1"/>
  <c r="C84" i="4"/>
  <c r="D84" i="4"/>
  <c r="B85" i="4"/>
  <c r="F85" i="4" s="1"/>
  <c r="C85" i="4"/>
  <c r="D85" i="4"/>
  <c r="B86" i="4"/>
  <c r="F86" i="4" s="1"/>
  <c r="C86" i="4"/>
  <c r="D86" i="4"/>
  <c r="B87" i="4"/>
  <c r="F87" i="4" s="1"/>
  <c r="C87" i="4"/>
  <c r="D87" i="4"/>
  <c r="B88" i="4"/>
  <c r="F88" i="4" s="1"/>
  <c r="C88" i="4"/>
  <c r="D88" i="4"/>
  <c r="B89" i="4"/>
  <c r="F89" i="4" s="1"/>
  <c r="C89" i="4"/>
  <c r="D89" i="4"/>
  <c r="B90" i="4"/>
  <c r="F90" i="4" s="1"/>
  <c r="C90" i="4"/>
  <c r="D90" i="4"/>
  <c r="B91" i="4"/>
  <c r="F91" i="4" s="1"/>
  <c r="C91" i="4"/>
  <c r="D91" i="4"/>
  <c r="B92" i="4"/>
  <c r="F92" i="4" s="1"/>
  <c r="C92" i="4"/>
  <c r="D92" i="4"/>
  <c r="B93" i="4"/>
  <c r="F93" i="4" s="1"/>
  <c r="C93" i="4"/>
  <c r="D93" i="4"/>
  <c r="B94" i="4"/>
  <c r="F94" i="4" s="1"/>
  <c r="C94" i="4"/>
  <c r="D94" i="4"/>
  <c r="B95" i="4"/>
  <c r="F95" i="4" s="1"/>
  <c r="C95" i="4"/>
  <c r="D95" i="4"/>
  <c r="B96" i="4"/>
  <c r="F96" i="4" s="1"/>
  <c r="C96" i="4"/>
  <c r="D96" i="4"/>
  <c r="B97" i="4"/>
  <c r="F97" i="4" s="1"/>
  <c r="C97" i="4"/>
  <c r="D97" i="4"/>
  <c r="B98" i="4"/>
  <c r="F98" i="4" s="1"/>
  <c r="C98" i="4"/>
  <c r="D98" i="4"/>
  <c r="B99" i="4"/>
  <c r="F99" i="4" s="1"/>
  <c r="C99" i="4"/>
  <c r="D99" i="4"/>
  <c r="B100" i="4"/>
  <c r="F100" i="4" s="1"/>
  <c r="C100" i="4"/>
  <c r="D100" i="4"/>
  <c r="B101" i="4"/>
  <c r="F101" i="4" s="1"/>
  <c r="C101" i="4"/>
  <c r="D101" i="4"/>
  <c r="B102" i="4"/>
  <c r="F102" i="4" s="1"/>
  <c r="C102" i="4"/>
  <c r="D102" i="4"/>
  <c r="B103" i="4"/>
  <c r="F103" i="4" s="1"/>
  <c r="C103" i="4"/>
  <c r="D103" i="4"/>
  <c r="B104" i="4"/>
  <c r="F104" i="4" s="1"/>
  <c r="C104" i="4"/>
  <c r="D104" i="4"/>
  <c r="B105" i="4"/>
  <c r="F105" i="4" s="1"/>
  <c r="C105" i="4"/>
  <c r="D105" i="4"/>
  <c r="B106" i="4"/>
  <c r="F106" i="4" s="1"/>
  <c r="C106" i="4"/>
  <c r="D106" i="4"/>
  <c r="B107" i="4"/>
  <c r="F107" i="4" s="1"/>
  <c r="C107" i="4"/>
  <c r="D107" i="4"/>
  <c r="B108" i="4"/>
  <c r="F108" i="4" s="1"/>
  <c r="C108" i="4"/>
  <c r="D108" i="4"/>
  <c r="B109" i="4"/>
  <c r="F109" i="4" s="1"/>
  <c r="C109" i="4"/>
  <c r="D109" i="4"/>
  <c r="B110" i="4"/>
  <c r="F110" i="4" s="1"/>
  <c r="C110" i="4"/>
  <c r="D110" i="4"/>
  <c r="B111" i="4"/>
  <c r="F111" i="4" s="1"/>
  <c r="C111" i="4"/>
  <c r="D111" i="4"/>
  <c r="B112" i="4"/>
  <c r="F112" i="4" s="1"/>
  <c r="C112" i="4"/>
  <c r="D112" i="4"/>
  <c r="B113" i="4"/>
  <c r="F113" i="4" s="1"/>
  <c r="C113" i="4"/>
  <c r="D113" i="4"/>
  <c r="B114" i="4"/>
  <c r="F114" i="4" s="1"/>
  <c r="C114" i="4"/>
  <c r="D114" i="4"/>
  <c r="B115" i="4"/>
  <c r="F115" i="4" s="1"/>
  <c r="C115" i="4"/>
  <c r="D115" i="4"/>
  <c r="B116" i="4"/>
  <c r="F116" i="4" s="1"/>
  <c r="C116" i="4"/>
  <c r="D116" i="4"/>
  <c r="B117" i="4"/>
  <c r="F117" i="4" s="1"/>
  <c r="C117" i="4"/>
  <c r="D117" i="4"/>
  <c r="B118" i="4"/>
  <c r="F118" i="4" s="1"/>
  <c r="C118" i="4"/>
  <c r="D118" i="4"/>
  <c r="B119" i="4"/>
  <c r="F119" i="4" s="1"/>
  <c r="C119" i="4"/>
  <c r="D119" i="4"/>
  <c r="B120" i="4"/>
  <c r="F120" i="4" s="1"/>
  <c r="C120" i="4"/>
  <c r="D120" i="4"/>
  <c r="B121" i="4"/>
  <c r="F121" i="4" s="1"/>
  <c r="C121" i="4"/>
  <c r="D121" i="4"/>
  <c r="B122" i="4"/>
  <c r="F122" i="4" s="1"/>
  <c r="C122" i="4"/>
  <c r="D122" i="4"/>
  <c r="B123" i="4"/>
  <c r="F123" i="4" s="1"/>
  <c r="C123" i="4"/>
  <c r="D123" i="4"/>
  <c r="B124" i="4"/>
  <c r="F124" i="4" s="1"/>
  <c r="C124" i="4"/>
  <c r="D124" i="4"/>
  <c r="B125" i="4"/>
  <c r="F125" i="4" s="1"/>
  <c r="C125" i="4"/>
  <c r="D125" i="4"/>
  <c r="B126" i="4"/>
  <c r="F126" i="4" s="1"/>
  <c r="C126" i="4"/>
  <c r="D126" i="4"/>
  <c r="B127" i="4"/>
  <c r="F127" i="4" s="1"/>
  <c r="C127" i="4"/>
  <c r="D127" i="4"/>
  <c r="B128" i="4"/>
  <c r="F128" i="4" s="1"/>
  <c r="C128" i="4"/>
  <c r="D128" i="4"/>
  <c r="B129" i="4"/>
  <c r="F129" i="4" s="1"/>
  <c r="C129" i="4"/>
  <c r="D129" i="4"/>
  <c r="B130" i="4"/>
  <c r="F130" i="4" s="1"/>
  <c r="C130" i="4"/>
  <c r="D130" i="4"/>
  <c r="B131" i="4"/>
  <c r="F131" i="4" s="1"/>
  <c r="C131" i="4"/>
  <c r="D131" i="4"/>
  <c r="D5" i="4"/>
  <c r="C5" i="4"/>
  <c r="B5" i="4"/>
  <c r="F5" i="4" s="1"/>
  <c r="P2" i="28" l="1"/>
  <c r="P1" i="28" s="1"/>
  <c r="O2" i="28"/>
  <c r="O1" i="28" s="1"/>
  <c r="F2" i="28"/>
  <c r="F1" i="28" s="1"/>
  <c r="E2" i="28"/>
  <c r="E1" i="28" s="1"/>
  <c r="T6" i="4"/>
  <c r="T115" i="4"/>
  <c r="T131" i="4"/>
  <c r="T80" i="4"/>
  <c r="O103" i="4"/>
  <c r="T84" i="4"/>
  <c r="T68" i="4"/>
  <c r="T52" i="4"/>
  <c r="T36" i="4"/>
  <c r="O72" i="4"/>
  <c r="O26" i="4"/>
  <c r="O77" i="4"/>
  <c r="O45" i="4"/>
  <c r="O29" i="4"/>
  <c r="O13" i="4"/>
  <c r="T93" i="4"/>
  <c r="T77" i="4"/>
  <c r="T61" i="4"/>
  <c r="T45" i="4"/>
  <c r="T97" i="4"/>
  <c r="T65" i="4"/>
  <c r="T49" i="4"/>
  <c r="T33" i="4"/>
  <c r="O27" i="4"/>
  <c r="O91" i="4"/>
  <c r="O80" i="4"/>
  <c r="O64" i="4"/>
  <c r="T18" i="4"/>
  <c r="T19" i="4"/>
  <c r="T47" i="4"/>
  <c r="O19" i="4"/>
  <c r="U80" i="4"/>
  <c r="O100" i="4"/>
  <c r="O89" i="4"/>
  <c r="T14" i="4"/>
  <c r="O112" i="4"/>
  <c r="O10" i="4"/>
  <c r="T109" i="4"/>
  <c r="T31" i="4"/>
  <c r="T15" i="4"/>
  <c r="T100" i="4"/>
  <c r="T95" i="4"/>
  <c r="O93" i="4"/>
  <c r="T79" i="4"/>
  <c r="T29" i="4"/>
  <c r="T22" i="4"/>
  <c r="T121" i="4"/>
  <c r="O22" i="4"/>
  <c r="O6" i="4"/>
  <c r="T63" i="4"/>
  <c r="T125" i="4"/>
  <c r="O12" i="4"/>
  <c r="T44" i="4"/>
  <c r="T90" i="4"/>
  <c r="T74" i="4"/>
  <c r="T58" i="4"/>
  <c r="T42" i="4"/>
  <c r="T27" i="4"/>
  <c r="O110" i="4"/>
  <c r="O99" i="4"/>
  <c r="O88" i="4"/>
  <c r="O56" i="4"/>
  <c r="O40" i="4"/>
  <c r="O25" i="4"/>
  <c r="O108" i="4"/>
  <c r="O119" i="4"/>
  <c r="O104" i="4"/>
  <c r="P64" i="4"/>
  <c r="P80" i="4"/>
  <c r="T105" i="4"/>
  <c r="O102" i="4"/>
  <c r="T99" i="4"/>
  <c r="T21" i="4"/>
  <c r="O123" i="4"/>
  <c r="O107" i="4"/>
  <c r="P100" i="4"/>
  <c r="P93" i="4"/>
  <c r="O133" i="4"/>
  <c r="O117" i="4"/>
  <c r="O68" i="4"/>
  <c r="O52" i="4"/>
  <c r="T96" i="4"/>
  <c r="T98" i="4"/>
  <c r="T66" i="4"/>
  <c r="T34" i="4"/>
  <c r="P104" i="4"/>
  <c r="T81" i="4"/>
  <c r="T122" i="4"/>
  <c r="P89" i="4"/>
  <c r="R1" i="4"/>
  <c r="O126" i="4"/>
  <c r="P91" i="4"/>
  <c r="P107" i="4"/>
  <c r="P123" i="4"/>
  <c r="S2" i="4"/>
  <c r="T107" i="4"/>
  <c r="U107" i="4"/>
  <c r="T12" i="4"/>
  <c r="U12" i="4"/>
  <c r="T5" i="4"/>
  <c r="R2" i="4"/>
  <c r="T87" i="4"/>
  <c r="T71" i="4"/>
  <c r="T55" i="4"/>
  <c r="T39" i="4"/>
  <c r="T9" i="4"/>
  <c r="T128" i="4"/>
  <c r="T20" i="4"/>
  <c r="T82" i="4"/>
  <c r="T50" i="4"/>
  <c r="Q1" i="4"/>
  <c r="T16" i="4"/>
  <c r="T30" i="4"/>
  <c r="T46" i="4"/>
  <c r="T62" i="4"/>
  <c r="T78" i="4"/>
  <c r="T94" i="4"/>
  <c r="T119" i="4"/>
  <c r="Q2" i="4"/>
  <c r="T13" i="4"/>
  <c r="T28" i="4"/>
  <c r="T43" i="4"/>
  <c r="T59" i="4"/>
  <c r="T75" i="4"/>
  <c r="T91" i="4"/>
  <c r="T106" i="4"/>
  <c r="T116" i="4"/>
  <c r="T132" i="4"/>
  <c r="T10" i="4"/>
  <c r="T25" i="4"/>
  <c r="T40" i="4"/>
  <c r="T56" i="4"/>
  <c r="T72" i="4"/>
  <c r="T88" i="4"/>
  <c r="T103" i="4"/>
  <c r="T113" i="4"/>
  <c r="T129" i="4"/>
  <c r="T7" i="4"/>
  <c r="T23" i="4"/>
  <c r="T37" i="4"/>
  <c r="T53" i="4"/>
  <c r="T69" i="4"/>
  <c r="T85" i="4"/>
  <c r="T101" i="4"/>
  <c r="T110" i="4"/>
  <c r="T126" i="4"/>
  <c r="T123" i="4"/>
  <c r="T120" i="4"/>
  <c r="T60" i="4"/>
  <c r="T76" i="4"/>
  <c r="T92" i="4"/>
  <c r="T117" i="4"/>
  <c r="T133" i="4"/>
  <c r="T11" i="4"/>
  <c r="T26" i="4"/>
  <c r="T41" i="4"/>
  <c r="T57" i="4"/>
  <c r="T73" i="4"/>
  <c r="T89" i="4"/>
  <c r="T104" i="4"/>
  <c r="T114" i="4"/>
  <c r="T130" i="4"/>
  <c r="T8" i="4"/>
  <c r="T24" i="4"/>
  <c r="T38" i="4"/>
  <c r="T54" i="4"/>
  <c r="T70" i="4"/>
  <c r="T86" i="4"/>
  <c r="T102" i="4"/>
  <c r="T111" i="4"/>
  <c r="T127" i="4"/>
  <c r="T35" i="4"/>
  <c r="T51" i="4"/>
  <c r="T67" i="4"/>
  <c r="T83" i="4"/>
  <c r="T124" i="4"/>
  <c r="T64" i="4"/>
  <c r="T118" i="4"/>
  <c r="T134" i="4"/>
  <c r="O132" i="4"/>
  <c r="O116" i="4"/>
  <c r="O105" i="4"/>
  <c r="O79" i="4"/>
  <c r="O47" i="4"/>
  <c r="O17" i="4"/>
  <c r="O73" i="4"/>
  <c r="O57" i="4"/>
  <c r="O11" i="4"/>
  <c r="O83" i="4"/>
  <c r="O67" i="4"/>
  <c r="O129" i="4"/>
  <c r="O113" i="4"/>
  <c r="O76" i="4"/>
  <c r="O14" i="4"/>
  <c r="O59" i="4"/>
  <c r="O43" i="4"/>
  <c r="O28" i="4"/>
  <c r="O48" i="4"/>
  <c r="O32" i="4"/>
  <c r="O18" i="4"/>
  <c r="O24" i="4"/>
  <c r="O127" i="4"/>
  <c r="O111" i="4"/>
  <c r="O101" i="4"/>
  <c r="O74" i="4"/>
  <c r="O58" i="4"/>
  <c r="O42" i="4"/>
  <c r="O41" i="4"/>
  <c r="O90" i="4"/>
  <c r="O38" i="4"/>
  <c r="O87" i="4"/>
  <c r="O55" i="4"/>
  <c r="O39" i="4"/>
  <c r="O8" i="4"/>
  <c r="O54" i="4"/>
  <c r="O60" i="4"/>
  <c r="O44" i="4"/>
  <c r="O121" i="4"/>
  <c r="O82" i="4"/>
  <c r="O92" i="4"/>
  <c r="O81" i="4"/>
  <c r="O65" i="4"/>
  <c r="O49" i="4"/>
  <c r="O33" i="4"/>
  <c r="O97" i="4"/>
  <c r="O86" i="4"/>
  <c r="O75" i="4"/>
  <c r="O70" i="4"/>
  <c r="O122" i="4"/>
  <c r="O106" i="4"/>
  <c r="O96" i="4"/>
  <c r="O85" i="4"/>
  <c r="O69" i="4"/>
  <c r="O53" i="4"/>
  <c r="O37" i="4"/>
  <c r="O23" i="4"/>
  <c r="O7" i="4"/>
  <c r="F2" i="4"/>
  <c r="F1" i="4" s="1"/>
  <c r="O95" i="4"/>
  <c r="O84" i="4"/>
  <c r="O63" i="4"/>
  <c r="O36" i="4"/>
  <c r="O31" i="4"/>
  <c r="O51" i="4"/>
  <c r="L1" i="4"/>
  <c r="B1" i="4"/>
  <c r="C1" i="4"/>
  <c r="M1" i="4"/>
  <c r="O71" i="4"/>
  <c r="O66" i="4"/>
  <c r="O131" i="4"/>
  <c r="O115" i="4"/>
  <c r="O78" i="4"/>
  <c r="O62" i="4"/>
  <c r="O46" i="4"/>
  <c r="O35" i="4"/>
  <c r="O30" i="4"/>
  <c r="O21" i="4"/>
  <c r="O16" i="4"/>
  <c r="N2" i="4"/>
  <c r="O120" i="4"/>
  <c r="O94" i="4"/>
  <c r="O125" i="4"/>
  <c r="O109" i="4"/>
  <c r="O5" i="4"/>
  <c r="O130" i="4"/>
  <c r="O114" i="4"/>
  <c r="O124" i="4"/>
  <c r="O50" i="4"/>
  <c r="O34" i="4"/>
  <c r="O20" i="4"/>
  <c r="M2" i="4"/>
  <c r="O98" i="4"/>
  <c r="O134" i="4"/>
  <c r="O118" i="4"/>
  <c r="O128" i="4"/>
  <c r="O9" i="4"/>
  <c r="L2" i="4"/>
  <c r="U2" i="4" l="1"/>
  <c r="U1" i="4" s="1"/>
  <c r="T2" i="4"/>
  <c r="T1" i="4" s="1"/>
  <c r="P2" i="4"/>
  <c r="P1" i="4" s="1"/>
  <c r="O2" i="4"/>
  <c r="O1" i="4" s="1"/>
  <c r="E132" i="4"/>
  <c r="E133" i="4" l="1"/>
  <c r="E114" i="4"/>
  <c r="E99" i="4"/>
  <c r="E83" i="4"/>
  <c r="E67" i="4"/>
  <c r="E51" i="4"/>
  <c r="E35" i="4"/>
  <c r="E128" i="4"/>
  <c r="E65" i="4"/>
  <c r="E49" i="4"/>
  <c r="E33" i="4"/>
  <c r="E19" i="4"/>
  <c r="E97" i="4"/>
  <c r="E81" i="4"/>
  <c r="E112" i="4"/>
  <c r="E129" i="4"/>
  <c r="E113" i="4"/>
  <c r="E98" i="4"/>
  <c r="E82" i="4"/>
  <c r="E66" i="4"/>
  <c r="E50" i="4"/>
  <c r="E34" i="4"/>
  <c r="E20" i="4"/>
  <c r="E116" i="4"/>
  <c r="E101" i="4"/>
  <c r="E85" i="4"/>
  <c r="E69" i="4"/>
  <c r="E53" i="4"/>
  <c r="E37" i="4"/>
  <c r="E23" i="4"/>
  <c r="E134" i="4"/>
  <c r="E117" i="4"/>
  <c r="E8" i="4"/>
  <c r="E100" i="4"/>
  <c r="E84" i="4"/>
  <c r="E121" i="4"/>
  <c r="E105" i="4"/>
  <c r="E90" i="4"/>
  <c r="E74" i="4"/>
  <c r="E58" i="4"/>
  <c r="E42" i="4"/>
  <c r="E27" i="4"/>
  <c r="E12" i="4"/>
  <c r="E96" i="4"/>
  <c r="E32" i="4"/>
  <c r="E110" i="4"/>
  <c r="E95" i="4"/>
  <c r="E79" i="4"/>
  <c r="E63" i="4"/>
  <c r="E47" i="4"/>
  <c r="E31" i="4"/>
  <c r="E17" i="4"/>
  <c r="E127" i="4"/>
  <c r="E48" i="4"/>
  <c r="E126" i="4"/>
  <c r="E111" i="4"/>
  <c r="E18" i="4"/>
  <c r="E64" i="4"/>
  <c r="E9" i="4"/>
  <c r="E123" i="4"/>
  <c r="E107" i="4"/>
  <c r="E92" i="4"/>
  <c r="E76" i="4"/>
  <c r="E60" i="4"/>
  <c r="E44" i="4"/>
  <c r="E14" i="4"/>
  <c r="E122" i="4"/>
  <c r="E106" i="4"/>
  <c r="E91" i="4"/>
  <c r="E75" i="4"/>
  <c r="E59" i="4"/>
  <c r="E43" i="4"/>
  <c r="E28" i="4"/>
  <c r="E13" i="4"/>
  <c r="E120" i="4"/>
  <c r="E104" i="4"/>
  <c r="E89" i="4"/>
  <c r="E73" i="4"/>
  <c r="E57" i="4"/>
  <c r="E41" i="4"/>
  <c r="E26" i="4"/>
  <c r="E11" i="4"/>
  <c r="E119" i="4"/>
  <c r="E88" i="4"/>
  <c r="E72" i="4"/>
  <c r="E56" i="4"/>
  <c r="E40" i="4"/>
  <c r="E25" i="4"/>
  <c r="E10" i="4"/>
  <c r="E61" i="4"/>
  <c r="E103" i="4"/>
  <c r="E102" i="4"/>
  <c r="E115" i="4"/>
  <c r="E68" i="4"/>
  <c r="E22" i="4"/>
  <c r="B2" i="4"/>
  <c r="E118" i="4"/>
  <c r="E87" i="4"/>
  <c r="E71" i="4"/>
  <c r="E55" i="4"/>
  <c r="E39" i="4"/>
  <c r="E86" i="4"/>
  <c r="E70" i="4"/>
  <c r="E54" i="4"/>
  <c r="E38" i="4"/>
  <c r="E24" i="4"/>
  <c r="E131" i="4"/>
  <c r="E52" i="4"/>
  <c r="E36" i="4"/>
  <c r="E6" i="4"/>
  <c r="E130" i="4"/>
  <c r="E21" i="4"/>
  <c r="E124" i="4"/>
  <c r="E108" i="4"/>
  <c r="E93" i="4"/>
  <c r="E77" i="4"/>
  <c r="E45" i="4"/>
  <c r="C2" i="4"/>
  <c r="E80" i="4"/>
  <c r="D2" i="4"/>
  <c r="E5" i="4"/>
  <c r="E125" i="4"/>
  <c r="E78" i="4"/>
  <c r="E46" i="4"/>
  <c r="E109" i="4"/>
  <c r="E62" i="4"/>
  <c r="E16" i="4"/>
  <c r="E29" i="4"/>
  <c r="E15" i="4"/>
  <c r="E94" i="4"/>
  <c r="E30" i="4"/>
  <c r="E7" i="4"/>
  <c r="E2" i="4" l="1"/>
  <c r="E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<sst xmlns="http://schemas.openxmlformats.org/spreadsheetml/2006/main" count="23500" uniqueCount="2138">
  <si>
    <t>sec</t>
  </si>
  <si>
    <t>expr</t>
  </si>
  <si>
    <t>RMSE</t>
  </si>
  <si>
    <t>R2</t>
  </si>
  <si>
    <t>TestRMSE</t>
  </si>
  <si>
    <t>TestR2</t>
  </si>
  <si>
    <t>RidgeR2</t>
  </si>
  <si>
    <t>SvrR2</t>
  </si>
  <si>
    <t>2.0000)))</t>
  </si>
  <si>
    <t>-1.0000)))</t>
  </si>
  <si>
    <t>-1.0000)))))</t>
  </si>
  <si>
    <t>-2.0000)+(pow(2.7183</t>
  </si>
  <si>
    <t>v2)*pow((pow(v4</t>
  </si>
  <si>
    <t>2.0000)+pow(log(v3)</t>
  </si>
  <si>
    <t>v3))</t>
  </si>
  <si>
    <t>2.0000)</t>
  </si>
  <si>
    <t>(-2.0000*v3)))))</t>
  </si>
  <si>
    <t>size</t>
  </si>
  <si>
    <t>strogatz_vdp2</t>
  </si>
  <si>
    <t>strogatz_glider2</t>
  </si>
  <si>
    <t>strogatz_shearflow2</t>
  </si>
  <si>
    <t>strogatz_barmag1</t>
  </si>
  <si>
    <t>strogatz_bacres2</t>
  </si>
  <si>
    <t>strogatz_shearflow1</t>
  </si>
  <si>
    <t>strogatz_barmag2</t>
  </si>
  <si>
    <t>strogatz_glider1</t>
  </si>
  <si>
    <t>strogatz_bacres1</t>
  </si>
  <si>
    <t>strogatz_lv2</t>
  </si>
  <si>
    <t>strogatz_predprey2</t>
  </si>
  <si>
    <t>strogatz_lv1</t>
  </si>
  <si>
    <t>strogatz_vdp1</t>
  </si>
  <si>
    <t>strogatz_predprey1</t>
  </si>
  <si>
    <t>feynman_I_6_2a</t>
  </si>
  <si>
    <t>feynman_III_12_43</t>
  </si>
  <si>
    <t>feynman_I_34_27</t>
  </si>
  <si>
    <t>feynman_I_25_13</t>
  </si>
  <si>
    <t>feynman_I_12_5</t>
  </si>
  <si>
    <t>feynman_I_12_1</t>
  </si>
  <si>
    <t>feynman_I_29_4</t>
  </si>
  <si>
    <t>feynman_I_39_1</t>
  </si>
  <si>
    <t>feynman_II_38_14</t>
  </si>
  <si>
    <t>feynman_I_14_4</t>
  </si>
  <si>
    <t>feynman_II_8_31</t>
  </si>
  <si>
    <t>feynman_II_27_18</t>
  </si>
  <si>
    <t>feynman_I_6_2</t>
  </si>
  <si>
    <t>feynman_II_11_28</t>
  </si>
  <si>
    <t>feynman_II_3_24</t>
  </si>
  <si>
    <t>feynman_I_26_2</t>
  </si>
  <si>
    <t>feynman_test_10</t>
  </si>
  <si>
    <t>feynman_II_24_17</t>
  </si>
  <si>
    <t>feynman_I_16_6</t>
  </si>
  <si>
    <t>feynman_I_34_14</t>
  </si>
  <si>
    <t>feynman_I_34_1</t>
  </si>
  <si>
    <t>feynman_I_39_11</t>
  </si>
  <si>
    <t>feynman_I_47_23</t>
  </si>
  <si>
    <t>feynman_I_15_10</t>
  </si>
  <si>
    <t>feynman_II_13_34</t>
  </si>
  <si>
    <t>feynman_I_10_7</t>
  </si>
  <si>
    <t>feynman_II_13_23</t>
  </si>
  <si>
    <t>feynman_III_15_27</t>
  </si>
  <si>
    <t>feynman_I_27_6</t>
  </si>
  <si>
    <t>feynman_I_37_4</t>
  </si>
  <si>
    <t>feynman_I_30_5</t>
  </si>
  <si>
    <t>feynman_II_34_2</t>
  </si>
  <si>
    <t>feynman_I_30_3</t>
  </si>
  <si>
    <t>feynman_I_6_2b</t>
  </si>
  <si>
    <t>feynman_II_34_2a</t>
  </si>
  <si>
    <t>feynman_III_15_12</t>
  </si>
  <si>
    <t>feynman_II_10_9</t>
  </si>
  <si>
    <t>feynman_II_15_5</t>
  </si>
  <si>
    <t>feynman_II_15_4</t>
  </si>
  <si>
    <t>feynman_II_34_29a</t>
  </si>
  <si>
    <t>feynman_I_43_31</t>
  </si>
  <si>
    <t>feynman_I_14_3</t>
  </si>
  <si>
    <t>feynman_III_8_54</t>
  </si>
  <si>
    <t>feynman_II_37_1</t>
  </si>
  <si>
    <t>feynman_III_7_38</t>
  </si>
  <si>
    <t>feynman_III_17_37</t>
  </si>
  <si>
    <t>feynman_I_18_12</t>
  </si>
  <si>
    <t>feynman_II_27_16</t>
  </si>
  <si>
    <t>feynman_II_8_7</t>
  </si>
  <si>
    <t>feynman_II_4_23</t>
  </si>
  <si>
    <t>feynman_I_48_2</t>
  </si>
  <si>
    <t>feynman_I_12_4</t>
  </si>
  <si>
    <t>feynman_III_15_14</t>
  </si>
  <si>
    <t>feynman_I_18_4</t>
  </si>
  <si>
    <t>feynman_test_3</t>
  </si>
  <si>
    <t>feynman_test_8</t>
  </si>
  <si>
    <t>feynman_I_29_16</t>
  </si>
  <si>
    <t>feynman_I_8_14</t>
  </si>
  <si>
    <t>feynman_I_43_43</t>
  </si>
  <si>
    <t>feynman_test_11</t>
  </si>
  <si>
    <t>feynman_I_15_3t</t>
  </si>
  <si>
    <t>feynman_I_15_3x</t>
  </si>
  <si>
    <t>feynman_test_5</t>
  </si>
  <si>
    <t>feynman_II_34_11</t>
  </si>
  <si>
    <t>feynman_III_4_33</t>
  </si>
  <si>
    <t>feynman_test_15</t>
  </si>
  <si>
    <t>feynman_III_4_32</t>
  </si>
  <si>
    <t>feynman_I_39_22</t>
  </si>
  <si>
    <t>feynman_I_43_16</t>
  </si>
  <si>
    <t>feynman_II_38_3</t>
  </si>
  <si>
    <t>feynman_I_34_8</t>
  </si>
  <si>
    <t>feynman_III_10_19</t>
  </si>
  <si>
    <t>feynman_I_38_12</t>
  </si>
  <si>
    <t>feynman_I_50_26</t>
  </si>
  <si>
    <t>feynman_I_24_6</t>
  </si>
  <si>
    <t>feynman_I_13_4</t>
  </si>
  <si>
    <t>feynman_I_32_5</t>
  </si>
  <si>
    <t>feynman_III_21_20</t>
  </si>
  <si>
    <t>feynman_I_12_2</t>
  </si>
  <si>
    <t>feynman_I_18_14</t>
  </si>
  <si>
    <t>feynman_II_11_27</t>
  </si>
  <si>
    <t>feynman_II_13_17</t>
  </si>
  <si>
    <t>feynman_III_13_18</t>
  </si>
  <si>
    <t>feynman_II_6_15b</t>
  </si>
  <si>
    <t>feynman_II_6_11</t>
  </si>
  <si>
    <t>feynman_test_4</t>
  </si>
  <si>
    <t>feynman_test_7</t>
  </si>
  <si>
    <t>feynman_III_14_14</t>
  </si>
  <si>
    <t>feynman_II_35_18</t>
  </si>
  <si>
    <t>feynman_II_35_21</t>
  </si>
  <si>
    <t>feynman_II_11_20</t>
  </si>
  <si>
    <t>feynman_test_18</t>
  </si>
  <si>
    <t>feynman_test_12</t>
  </si>
  <si>
    <t>feynman_I_41_16</t>
  </si>
  <si>
    <t>feynman_II_11_3</t>
  </si>
  <si>
    <t>feynman_II_2_42</t>
  </si>
  <si>
    <t>feynman_I_13_12</t>
  </si>
  <si>
    <t>feynman_I_44_4</t>
  </si>
  <si>
    <t>feynman_I_12_11</t>
  </si>
  <si>
    <t>feynman_test_14</t>
  </si>
  <si>
    <t>feynman_test_13</t>
  </si>
  <si>
    <t>feynman_II_34_29b</t>
  </si>
  <si>
    <t>feynman_II_21_32</t>
  </si>
  <si>
    <t>feynman_III_19_51</t>
  </si>
  <si>
    <t>feynman_test_9</t>
  </si>
  <si>
    <t>feynman_I_32_17</t>
  </si>
  <si>
    <t>feynman_I_11_19</t>
  </si>
  <si>
    <t>feynman_test_19</t>
  </si>
  <si>
    <t>feynman_test_16</t>
  </si>
  <si>
    <t>feynman_III_9_52</t>
  </si>
  <si>
    <t>feynman_II_6_15a</t>
  </si>
  <si>
    <t>feynman_test_2</t>
  </si>
  <si>
    <t>feynman_I_40_1</t>
  </si>
  <si>
    <t>feynman_test_17</t>
  </si>
  <si>
    <t>feynman_test_6</t>
  </si>
  <si>
    <t>feynman_test_1</t>
  </si>
  <si>
    <t>feynman_test_20</t>
  </si>
  <si>
    <t>feynman_II_36_38</t>
  </si>
  <si>
    <t>feynman_I_9_18</t>
  </si>
  <si>
    <t>fitCalls</t>
  </si>
  <si>
    <t>mainIt</t>
  </si>
  <si>
    <t>lsIt</t>
  </si>
  <si>
    <t>(-0.1*v0)</t>
  </si>
  <si>
    <t>((1.0*v0)*pow(v1,-1.0))</t>
  </si>
  <si>
    <t>(2.0000000000001*v1)+(-1.0*pow(v1,2.0))+((-1.0*v0)*v1)</t>
  </si>
  <si>
    <t>((1.0*v0)*v1)</t>
  </si>
  <si>
    <t>((1.5*v0)*v1)</t>
  </si>
  <si>
    <t>((0.1591549430919*v0)*v1)</t>
  </si>
  <si>
    <t>(((6.2831853071796*v0)*pow(v1,-1.0))*pow(v2,-1.0))</t>
  </si>
  <si>
    <t>(((0.1591549430919*v0)*v1)*pow(v2,-1.0))</t>
  </si>
  <si>
    <t>(1.0*v0)+(((1.0*v0)*v1)*cos(v2))</t>
  </si>
  <si>
    <t>(((0.0795774715459*v0)*pow(v1,-1.0))*pow(v2,-2.0))</t>
  </si>
  <si>
    <t>((1.0*v0)*v1)+(((1.0*v0)*v1)*v2)</t>
  </si>
  <si>
    <t>(((0.0477464829276*pow(v0,2.0))*pow(v1,-1.0))*pow(v2,-1.0))</t>
  </si>
  <si>
    <t>(((0.0126651479553*pow(v0,2.0))*pow(v1,-1.0))*pow(v2,-2.0))</t>
  </si>
  <si>
    <t>((((0.0795774715459*v0)*v1)*pow(v2,-1.0))*pow(v3,-2.0))</t>
  </si>
  <si>
    <t>((((0.1591549430919*v2)*pow(v0,-1.0))*pow(v1,-2.0))*pow(v3,-1.0))</t>
  </si>
  <si>
    <t>((1.0*v0)*v1)+((((1.0*v0)*v2)*v3)*sin(v4))</t>
  </si>
  <si>
    <t>((((0.0795774715459*v1)*pow(v0,-1.0))*pow(v3,-2.0))*cos(v2))</t>
  </si>
  <si>
    <t>(((((0.3333333333333*v0)*v2)*pow(v1,2.0))*pow(v3,-1.0))*pow(v4,-1.0))</t>
  </si>
  <si>
    <t>((1.0*v0)*pow(v1,2.0))</t>
  </si>
  <si>
    <t>(1.0*v0)+(1.0*v1)+((2.0*pow((v0*v1),0.5))*cos(v2))</t>
  </si>
  <si>
    <t>(((0.0795774715459*v0)*pow(v1,-1.0))*pow(v2,-1.0))</t>
  </si>
  <si>
    <t>((((0.5*v0)*v1)*v2)*pow(v3,-1.0))</t>
  </si>
  <si>
    <t>(-0.5*sin((v0+(-1.0*v1))))+(-1.0*sin(v1))</t>
  </si>
  <si>
    <t>((((1.0*v0)*v1)*v2)*pow(v3,-1.0))</t>
  </si>
  <si>
    <t>(((-1.0*v0)*v1)*cos(v2))</t>
  </si>
  <si>
    <t>((0.1193662073189*pow(v0,-1.0))*pow(v3,2.0))+((((0.1193662073189*v1)*pow(v0,-1.0))*pow(v2,-2.0))*pow(v4,2.0))</t>
  </si>
  <si>
    <t>((((1.0*v0)*v1)*pow(v2,-1.0))*pow(v3,-1.0))+(((((((1.0*v0)*v4)*v7)*pow(v2,-1.0))*pow(v3,-1.0))*pow(v5,-1.0))*pow(v6,-2.0))</t>
  </si>
  <si>
    <t>(((((-0.125*v0)*pow(v1,4.0))*pow(v2,-2.0))*pow(v3,-2.0))*pow(v4,-2.0))</t>
  </si>
  <si>
    <t>(1.0*sin(v0))+((-0.9*pow(sin(v1),2.0))*sin(v0))</t>
  </si>
  <si>
    <t>(0.5*sin((v0+(-1.0*v1))))+(-1.0*sin(v0))</t>
  </si>
  <si>
    <t>(((0.25*v0)*pow(v1,2.0))*pow(v3,2.0))+(((0.25*v0)*pow(v2,2.0))*pow(v3,2.0))</t>
  </si>
  <si>
    <t>((1.0*v0)*cos((v1*v2)))+(((1.0*v0)*v3)*pow(cos((v1*v2)),2.0))</t>
  </si>
  <si>
    <t>(((1.0*v0)*v1)*sin(v2))</t>
  </si>
  <si>
    <t>((((1.0*v0)*v2)*v3)*pow(v4,-1.0))+((((-1.0*v0)*v1)*v3)*pow(v4,-1.0))</t>
  </si>
  <si>
    <t>((1.0*v0)*v3)+((1.0*v1)*v4)+((1.0*v2)*v5)</t>
  </si>
  <si>
    <t>maxTime</t>
  </si>
  <si>
    <t>maxFitCalls</t>
  </si>
  <si>
    <t>seed</t>
  </si>
  <si>
    <t>sizePenalty</t>
  </si>
  <si>
    <t>instance</t>
  </si>
  <si>
    <t>t</t>
  </si>
  <si>
    <t>params</t>
  </si>
  <si>
    <t>counts/averages</t>
  </si>
  <si>
    <t>opt</t>
  </si>
  <si>
    <t>((0.9553684416614*asin(v0))*sin(v1))</t>
  </si>
  <si>
    <t>0.5643405847277+(-0.1786747807229*v0)+(-0.1677202255314*sin(v0))</t>
  </si>
  <si>
    <t>((0.5*v0)*pow((1.0+v1),-1.0))</t>
  </si>
  <si>
    <t>inf</t>
  </si>
  <si>
    <t>((0.079577471546*v0)*pow(v1,-2.0))</t>
  </si>
  <si>
    <t>((((1.0*v0)*v1)*v3)*pow(v2,-1.0))</t>
  </si>
  <si>
    <t>((0.5*v0)*pow(v1,2.0))+((0.5*v0)*pow(v2,2.0))+((0.5*v0)*pow(v3,2.0))</t>
  </si>
  <si>
    <t>((0.5*v0)*pow(v1,2.0))</t>
  </si>
  <si>
    <t>(((0.5*v0)*v1)*v2)</t>
  </si>
  <si>
    <t>(((1.0*v0)*v1)*v2)</t>
  </si>
  <si>
    <t>(((12.5663706143592*v0)*v1)*pow(v2,-1.0))</t>
  </si>
  <si>
    <t>((((-1.0*v0)*v1)*v2)*pow(v3,-1.0))</t>
  </si>
  <si>
    <t>(1.1102071389842*v0)+((-1.0839746762414*v0)*v1)</t>
  </si>
  <si>
    <t>(((0.0795774715459*v0)*v1)*pow(v2,-1.0))</t>
  </si>
  <si>
    <t>((((1.0*v0)*v1)*v2)*sin(v3))</t>
  </si>
  <si>
    <t>((1.0*v0)*pow(cos((v1*v2)),1.0))+(((1.0*v0)*v3)*pow(cos((v1*v2)),2.0))</t>
  </si>
  <si>
    <t>(((((6.2831853071796*v0)*v2)*v3)*v4)*pow(v1,-1.0))</t>
  </si>
  <si>
    <t>0.0060730502046+((1.0012429983797*v0)*pow(v1,-1.0))+(((-5.4156285418331*v1)*pow(v0,-1.0))*pow(v2,-2.0))</t>
  </si>
  <si>
    <t>preturbations</t>
  </si>
  <si>
    <t>(-1.0*sin((1.0*v1)))+(-0.05*pow(v0,2.0))</t>
  </si>
  <si>
    <t>(1.0*v0)+(1e-13*pow(v0,-1.0))+((0.9999999999999*pow(v0,-1.0))*sin((-1.5707963267949+v1)))</t>
  </si>
  <si>
    <t>0.4444444444445+(4.3333333333334*v0)+(-1.0*pow((0.6666666666667+v0),2.0))+((-2.0*v0)*v1)</t>
  </si>
  <si>
    <t>(3.3333333332711*v0)+(9.9999999999996*v1)+(-3.3333333333321*pow(v0,3.0))</t>
  </si>
  <si>
    <t>(-0.0750124875571*pow(v1,2.0))+((0.0107258915237*v1)*log((1.0+v0)))+((3.1092347453532*v1)*sin(((0.3183098861838*v0)*pow((1.0+v0),-1.0))))</t>
  </si>
  <si>
    <t>12.0484988483039+(-0.2439454620184*pow((1.0+(cos(v0)*cos((-1.65+v1)))),2.0))+(-0.4950659565765*cos(v1))+(-2.2484564437308*v0)+(-10.3683435750364*cos(log(v0)))</t>
  </si>
  <si>
    <t>10.0001088807915+(-0.0056323809682*v1)+((2.3523609284247*v1)*pow(v0,-2.0))+((-2.693797519444*v1)*pow(v0,-1.1))</t>
  </si>
  <si>
    <t>25.7708534880419+(0.29875995754*v1)+(0.051919784022*sin(((3.1415926535898*v0)+(v1*pow(2.0,v0)))))+(0.0264056695409*v0)+(-0.2987531253605*pow(v1,-2.0))+(-0.1508721269168*pow(sin((3.1415926535898*v0)),2.0))+(-0.3280112462438*pow((-0.5+sin(v1)),-1.0))+(-25.3147707919161*cos(((0.1673629623111*pow(v0,-1.0))+sin(((0.1673629623111*v1)*pow(v0,-1.0))))))</t>
  </si>
  <si>
    <t>20.0042192622355+(0.0021979363063*v1)+(435461.98005936557*pow(v0,-10.0))+(-1.000310045643*v0)+((-2.0823673822454*v1)*pow((0.5+v0),-1.0))</t>
  </si>
  <si>
    <t>(((1.0*v1)*v2)*pow((-1.0+v0),-1.0))</t>
  </si>
  <si>
    <t>((0.1046318455188*pow(v0,4.0))*cos((1.2566370614359+(3.1415926535898*v1))))+((-0.5952625434404*asin(v0))*cos((1.5707963267949+v1)))+((-0.4142830331276*v0)*cos((1.5707963267949+v1)))</t>
  </si>
  <si>
    <t>(4.2922155878923*pow(v2,-1.0))+(-4.3194689455149*pow((v2+((-1.0*v1)*pow(v0,-1.0))),-1.0))+((1.0001861321902*v0)*pow(v1,-1.0))</t>
  </si>
  <si>
    <t>(((1.0*v0)*v1)*pow(v2,2.0))</t>
  </si>
  <si>
    <t>(1.0000000000001*pow(((v0*v1)*pow(v2,-1.0)),0.5))</t>
  </si>
  <si>
    <t>1.3805727315821+(-0.0830855551236*pow(v0,2.0))+(-0.5245404416599*cos(log(pow(v0,2.0))))+(-0.0198753903495*pow(v2,2.0))+(-0.0566850366791*v1)+((0.2310687644896*v0)*v2)+((0.0946483466837*exp(((0.176992834801*v1)*v2)))*exp(((-0.176992834801*v0)*v1)))+((0.2264696333555*v0)*v1)+(((-0.1514204981683*v1)*v2)*pow(v0,0.25))</t>
  </si>
  <si>
    <t>67.9967270006554+(5.489790913437*v0)+(0.090047968587*sin(v1))+(-2.5918427895446*pow((0.7071067811865+(v0*v1)),0.5))+(-0.9422627907198*pow(v0,2.0))+(-0.1267433316299*v1)+(-66.1517148170977*pow((v1+(-1.0*v0)),-0.01))</t>
  </si>
  <si>
    <t>0.5641630658388+(-0.1676557884345*sin(v0))+(-0.1786203961113*v0)</t>
  </si>
  <si>
    <t>0.0005641989294+((0.9918172317658*v0)*v1)+(((0.0994554668123*v0)*pow(v1,2.0))*pow((v2+(-1.0*v1)),-1.0))+((((0.5073114862156*v0)*pow(v1,2.0))*pow(v2,-1.0))*pow((v1*pow(v2,-1.0)),2.0))</t>
  </si>
  <si>
    <t>(1.0*v2)+(((1.0000000000001*v1)*v2)*pow((v0+(-1.0*v1)),-1.0))</t>
  </si>
  <si>
    <t>(1.0005297450233*v0)+((((0.4819911708734*v0)*pow(v1,2.0))*pow(v2,-2.0))*exp((pow(v1,2.0)*pow(v2,-2.0))))</t>
  </si>
  <si>
    <t>(1.0*asin(((v0*pow(v1,-1.0))*pow(v2,-1.0))))</t>
  </si>
  <si>
    <t>(1.0022790185169*v0)+((0.3672794957397*v0)*pow((v1*pow((-0.8+v2),-1.0)),2.0))+((-0.5471172045329*v3)*pow((v1*pow((-1.0+v2),-1.0)),2.0))+((-1.0012424113211*v1)*v3)+(((-5.83456594e-05*v0)*v1)*v2)</t>
  </si>
  <si>
    <t>(0.9502720169606*pow(((v0*v1)*pow(v2,-1.0)),0.5))+(-0.2395992402744*v0)+((-0.2177729081629*v1)*pow(v2,-1.0))+(((0.0049748913871*v2)*pow(v0,2.0))*pow(v1,-1.0))</t>
  </si>
  <si>
    <t>((((1.0*v1)*v3)*pow(v2,-1.0))*pow((-1.0+v0),-1.0))</t>
  </si>
  <si>
    <t>((((0.0795774715459*v0)*v1)*pow(v2,-1.0))*pow(pow(v3,2.0),-1.0))</t>
  </si>
  <si>
    <t>(0.727695288225*v0)+((0.2725408288637*v0)*exp(((1.8*pow(v1,2.0))*pow(v2,-2.0))))</t>
  </si>
  <si>
    <t>(-0.2924142120622*v2)+((2.0310872926924*v2)*pow(acos((v1*pow(v0,-1.0))),-1.0))+(((0.1698906701316*v1)*v2)*pow(v0,-1.0))</t>
  </si>
  <si>
    <t>(((1.0*v0)*pow(v1,-1.0))*pow((1.0+v2),-1.0))</t>
  </si>
  <si>
    <t>0.1122190632036+(-0.1284637216138*sin(v0))+(-0.0284619787894*pow(v0,2.0))+((0.2663635016339*exp((0.4583440063884*pow(v0,-1.4))))*exp(((-0.4583440063884*pow(v0,-2.64))*pow((v1+(-1.0*v2)),2.0))))</t>
  </si>
  <si>
    <t>(0.9896526196687*v0)+((-0.9950596791222*v0)*v1)+((((-0.7079798768681*v0)*v2)*pow(log(v1),2.0))*sin((pow(v2,-1.0)*asin(pow((v3+(-1.0*v2)),2.0)))))</t>
  </si>
  <si>
    <t>1.4852898593669+(0.3321640137545*v0)+(-1.0535793074655*v2)+((5.0115599229729*pow(v2,-1.0))*cos(((2.0+v1)+(2.0*v2))))+((3.3912637242482*v0)*pow(v1,-1.0))+((-0.9646172993064*v0)*pow(v2,-1.0))+(((0.6834081816481*v0)*v1)*pow(v2,-1.0))+(((0.3658315074151*v1)*v2)*pow(cos((((0.5+(-2.0*v1))+(-2.0*v2))+((1.0*v1)*v2))),2.0))+(((-2.3938548735204*v0)*pow(v1,-1.0))*cos(((2.0*v2)+(3.0*v1))))+(((-0.4717410497838*v0)*v1)*pow(cos(((2.0+v1)+(2.0*v2))),2.0))+((((0.149778607739*v0)*v1)*v2)*pow(cos(((2.0*v1)+(2.0*v2))),2.0))</t>
  </si>
  <si>
    <t>(-0.0416620051705*v0)+((0.4543590865196*v0)*pow(v1,2.0))+((1.0000560296854*v0)*pow(v2,2.0))+((-0.0417828009986*v0)*v1)+(((0.1097725604956*v0)*v1)*exp((pow(v1,2.0)*pow((-0.8414709848079+v2),-1.0))))+((((0.0001644067184*v0)*v1)*v2)*exp(v1))</t>
  </si>
  <si>
    <t>(0.7710322397341*v0)+((0.6749158655578*v0)*v3)+((0.0369678245983*v0)*pow((-1.0+v1),2.0))+((0.6753580681106*v0)*v2)+((2.0507248574407*v0)*pow((0.5+v1),-2.0))+((0.0293662221941*v0)*pow((v2+(-1.0*v3)),2.0))+((7.8323072508483*v0)*pow((v2+v3),-2.0))+((-5.4221408767087*v0)*pow((v2+v3),-1.0))+(((3.3108984109481*v0)*v1)*pow((v2+v3),-1.0))+(((-0.5958510354966*v0)*pow(((v2*pow(v3,-1.0))+(v3*pow(v2,-1.0))),-0.5))*exp(pow(v1,-1.0)))+(((-3.7073764361165*v0)*v1)*pow((v2+v3),-2.0))</t>
  </si>
  <si>
    <t>(0.5303695477587*v0)+(((5.60536e-07*pow(v0,2.0))*pow(v2,2.0))*pow(log(v3),-2.0))+(((((1.1190423551391*v0)*pow(v1,2.42))*pow(v2,2.42))*pow(v3,-2.42))*pow(v4,-2.42))</t>
  </si>
  <si>
    <t>((((1.0*v0)*v1)*v2)*log((v4*pow(v3,-1.0))))</t>
  </si>
  <si>
    <t>0.5727961236223+(-0.3999150986739*pow(v0,-1.0))+((0.171813723062*v1)*pow(v0,-1.0))+((0.5074690585708*pow(sin((((1.0*v2)+(-1.0*v0))+cos(pow(v2,-1.0)))),4.0))*cos(((-1.0*pow(v1,3.1415926535898))+((8.6224939561714*v2)*pow(v0,-1.0)))))+(((-0.3140182943135*pow(log(v2),2.0))*cos((((-0.9*pow(v1,3.1415926535898))+((2.0*v2)*sin(pow(v0,-1.0))))+((v1*v2)*pow(v0,-1.0)))))*sin((v1*pow(v0,-1.0))))</t>
  </si>
  <si>
    <t>(((-0.039788735773*pow(v0,-1.0))*pow(v3,2.0))*pow(v5,2.0))+((((0.0795774715459*v4)*pow(v0,-1.0))*pow(v3,2.0))*pow(v5,2.0))+((((-0.039788735773*v1)*pow(v0,-1.0))*pow(v5,2.0))*pow((v5*pow(v2,-1.0)),2.0))</t>
  </si>
  <si>
    <t>0.3291195220665+(0.9156828749512*v0)+(0.3405979460054*sin((v0+(-1.0*pow((((v0*v1)+(v0*v2))+((v0*v3)*v4)),0.5)))))+((-0.6820733562831*v0)*pow((v1*v2),-0.5))+(((-0.0673791743865*v0)*v3)*v4)</t>
  </si>
  <si>
    <t>((0.9999119775246*v2)*v3)+((-0.0793821966118*v0)*v1)+(((0.0020308527615*pow(v0,2.0))*pow(v1,2.0))*pow((pow(v2,2.0)*pow(v3,2.0)),-0.5))</t>
  </si>
  <si>
    <t>(0.0311173362907*v0)+(0.9058285344884*v3)+((0.0751796305764*v3)*exp(((2.0*v2)*pow((-0.5+v1),-1.0))))+((-0.2179722148615*v0)*asin(((1.4142135623731*pow(v2,0.5))*pow((-1.0+v1),-1.0))))</t>
  </si>
  <si>
    <t>2.0445109263884+(3.1052132252691*sin(((-1.0*pow(v2,-1.0))+(((0.1779632429514*v0)*pow(v2,-1.0))*log(((v1*v2)*pow(v3,-1.1)))))))+(1.7508683995957*pow(v2,-1.0))+(-0.2050266172927*v1)+(-0.7519679717054*v2)+(-0.0792419144726*v3)+((0.0668093991897*v1)*v3)+((0.5438214670591*v2)*pow(v0,0.5))</t>
  </si>
  <si>
    <t>(((((1.0*v0)*v1)*pow(v2,-1.0))*pow((v3+v4),-1.0))*pow((v3+(-1.0*v4)),-1.0))</t>
  </si>
  <si>
    <t>(((((0.2387324146378*v1)*pow(v0,-1.0))*pow(v3,-3.0))*pow(sin(v2),1.0))*cos(v2))</t>
  </si>
  <si>
    <t>(0.9994808592797*v2)+((((0.5482298791382*v2)*pow(v0,-2.0))*pow(v1,2.0))*cos((2.0*v3)))+((((-1.0195324508502*v1)*v2)*pow(v0,-1.0))*cos(v3))</t>
  </si>
  <si>
    <t>0.0077600282378+((((0.1630330747001*pow(v1,-2.0))*pow(v2,2.0))*pow((v0+(0.5*v3)),2.0))*sin(pow(v0,-2.0)))+((((-0.0617825718217*pow(v2,2.0))*pow((-0.5+v1),-1.0))*pow((v3+pow(log(v1),2.0)),-1.0))*log(v0))</t>
  </si>
  <si>
    <t>2e-13+((((12.5663706143592*v0)*v2)*pow(v1,2.0))*pow(v3,-1.0))</t>
  </si>
  <si>
    <t>nan</t>
  </si>
  <si>
    <t>((0.4999999999999*pow(v0,-1.0))*pow(v2,2.0))+(((0.5*v0)*pow(v1,2.0))*pow(v4,2.0))+(((((0.5*v0)*v5)*pow(v1,2.0))*pow(v3,-1.0))*pow(v4,3.0))</t>
  </si>
  <si>
    <t>(((0.0795774715459*v0)*pow(v1,-1.0))*pow(v2,-1.0))+(((((0.0795774715459*v0)*pow(v1,-1.0))*pow(v2,-1.0))*pow(v3,1.0))*pow((v4+(-1.0*v3)),-1.0))</t>
  </si>
  <si>
    <t>((((0.1817466356262*v1)*v5)*pow(v0,-1.0))*pow(v2,-5.0))+(((((0.1648460035559*v1)*v4)*v5)*pow(v0,-1.0))*pow(v2,-5.0))+(((((0.0411088371025*v1)*v5)*pow(v0,-1.0))*pow(v2,-5.0))*pow(v3,2.0))</t>
  </si>
  <si>
    <t>0.0794666805217+(3.1381168995416*sin((((((0.1491004348097*v0)*v3)*v5)*pow(v2,-1.0))*pow(((v1*v4)+(v5*pow(v0,-1.0))),-1.0))))+(-0.0113490190828*v3)+(-0.0950093637306*v0)+(((((0.042497129254*v0)*v5)*pow(v1,-1.2))*pow(v3,0.5))*pow(v4,-1.0))</t>
  </si>
  <si>
    <t>(1.4390153296873*sin((0.0919446314847*pow((pow(v0,-1.0)*pow((1.0+v1),2.0)),2.0))))+(-0.2478434901935*pow((-0.5+v1),-1.0))+(-0.2050949692139*pow(v1,-2.0))</t>
  </si>
  <si>
    <t>2.5184641023179+(0.9922004427249*v0)+(-2.426244577776*cos((((0.2103171806899*v0)*v1)*pow(v2,-1.0))))+((-1.0187579756033*v1)*pow(v3,1.0))</t>
  </si>
  <si>
    <t>(-2.705799655296*v0)+((1.252761142593*v0)*v1)+((1.2533621770485*v0)*v2)+((1.2535443272794*v0)*v3)+((-0.2945632398336*v0)*pow(log(((v1*v2)*v3)),2.2))+((((0.5178584096258*v0)*log(v1))*log(v2))*log(v3))</t>
  </si>
  <si>
    <t>(((0.1591549430919*v2)*pow(v1,-1.0))*pow(((pow(v0,2.0)*pow(v1,2.0))*pow(v3,2.0)),-0.5))</t>
  </si>
  <si>
    <t>((0.1193662073189*v3)*pow((v0*pow(v3,-1.0)),-1.0))+((((0.1193662073189*v1)*pow(v0,-1.0))*pow(v2,-2.0))*pow(v4,2.0))</t>
  </si>
  <si>
    <t>(3.0*v0)+(-1.0*pow(v0,2.0))+((-2.0000000000001*v0)*v1)</t>
  </si>
  <si>
    <t>(((1.0077395733149*v0)*v1)*pow(v2,-2.0))+(((((0.2314441201631*v0)*pow(v1,0.5))*exp((2.0*pow(v2,-1.0))))*sin(v4))*sin(v5))</t>
  </si>
  <si>
    <t>(0.7374838273098*v0)+(((-0.3977485429291*v0)*v2)*pow(v3,-1.0))+((((1.2918263540402*pow(v2,2.42))*pow(v3,-2.4))*pow(v4,-2.2))*pow((pow(v0,2.0)*pow(v1,4.4)),0.5))</t>
  </si>
  <si>
    <t>(3.3333333333333*v0)+(10.0000000000005*v1)+(-3.3333333333334*pow(v0,3.0))</t>
  </si>
  <si>
    <t>0.8666865248381+(-0.4938084842689*cos(v0))+((0.1714086458384*v0)*v2)+((0.1722244572741*v0)*v1)+((-0.1399349929782*v1)*v2)+(((-0.0381569527717*v1)*v2)*cos((3.1415926535898*pow(v0,-1.0))))</t>
  </si>
  <si>
    <t>((1.0*v1)*pow((v2+(v1*pow(v0,-1.0))),-1.0))</t>
  </si>
  <si>
    <t>20.0223230148244+(-1.0015537980995*v0)+((-0.6240761388456*v1)*sin((3.2*pow(v0,-1.0))))</t>
  </si>
  <si>
    <t>9.9996864781193+((-0.5787583602111*v1)*sin((3.4557519189488*pow(v0,-1.0))))</t>
  </si>
  <si>
    <t>0.0047825502628+((0.4872303918405*v0)*sin((2.0*sin(exp(((((-1.0*v3)*v4)*pow(v1,-1.0))*pow(v2,-1.0)))))))</t>
  </si>
  <si>
    <t>((1.0011472693485*v0)*v1)+(((0.591342565611*v0)*v2)*pow(asin((v1*pow(v2,-1.0))),3.1415926535898))</t>
  </si>
  <si>
    <t>((0.9999999999999*v0)*v1)+((((1.0*v0)*v2)*v3)*sin(v4))</t>
  </si>
  <si>
    <t>((1.0023725429621*v0)*v1)+(((0.8280963341654*v0)*v1)*pow((v1*pow(v2,-1.0)),2.4))</t>
  </si>
  <si>
    <t>((0.9998362409665*v0)*pow(v2,2.0))+(((0.0061128238984*v0)*pow(v2,0.5))*exp(v1))+(((0.4663466020644*v0)*pow(v1,2.0))*exp((pow(v1,2.0)*pow(v2,-2.0))))</t>
  </si>
  <si>
    <t>((0.996515618906*v2)*v3)+((-0.0724472118516*v0)*v1)</t>
  </si>
  <si>
    <t>0.00117219856+(0.0821167411444*pow(v0,-1.0))+((0.3096218058542*pow(v0,-1.0))*cos(((v1*pow(v0,-1.0))+((-1.0*v2)*pow(v0,-1.0)))))</t>
  </si>
  <si>
    <t>(-0.5*sin(((1.0*v0)+(-1.0*v1))))+(-1.0*sin(v1))</t>
  </si>
  <si>
    <t>(0.9679943464361*v3)+(0.0438941368361*v0)+(((0.1895834985969*v3)*pow(v1,-1.0))*pow(v2,2.0))+(((-0.3815990476999*v0)*v2)*pow(v1,-1.0))</t>
  </si>
  <si>
    <t>0.0693819767728+(4.5912766460648*v0)+(-0.7466446690363*v1)+(-1.133822005533*pow(v0,2.0))+(-0.4802290173513*pow(v0,0.5))+((0.7393489797466*v1)*pow(0.32,v0))</t>
  </si>
  <si>
    <t>(0.4962495833456*v3)+(0.499983969069*v2)</t>
  </si>
  <si>
    <t>0.5774740676436+(-0.0944242294574*v0)+(-0.1618590307622*v1)+((0.2214140215939*log(v0))*log(v1))+((-0.1092232634115*pow(v0,-1.0))*sin(v1))</t>
  </si>
  <si>
    <t>((1.5606389261609*v2)*v3)+(((-1.767715561347*v2)*v3)*cos((0.5+(v0*v1))))</t>
  </si>
  <si>
    <t>(1.007012983518*v2)+(((0.9294071334562*v1)*v2)*pow((v0+(-0.72*v1)),-1.0))</t>
  </si>
  <si>
    <t>(0.9668658229232*v0)+((0.0236208445272*v0)*exp(((4.1415926535898*v1)*pow(v2,-1.0))))</t>
  </si>
  <si>
    <t>2.6154133553135+(-1.6995083146033*cos((((((0.5472393245141*v0)*v1)*pow(v3,-1.0))*pow(v4,-1.0))*pow(v5,-2.0))))+(((((((0.5404689762016*v0)*v1)*v6)*pow(v2,-1.0))*pow(v3,-1.0))*pow(v4,-1.0))*pow(v5,-2.0))</t>
  </si>
  <si>
    <t>0.0005539638278+(((0.0781219643314*v0)*pow(v2,-1.0))*pow(v4,-1.0))+(((((0.0241013418856*v0)*v1)*pow(v4,-1.0))*pow((v2+v3),-1.0))*cos(v3))</t>
  </si>
  <si>
    <t>((2.5751828051601*v0)*v3)+((-1.224905264375*v0)*log(sin(((2.0*pow(v1,-1.0))*pow(v2,-1.0)))))+((-0.838739840452*v0)*v1)+(((0.0463646848415*v0)*v3)*sin((v1*v2)))+(((-0.3414084134034*v0)*v2)*pow(v3,2.0))+(((-0.1742458651743*v0)*v2)*v3)</t>
  </si>
  <si>
    <t>0.6857921555194+(-0.1050387329095*v0)+((((-0.2818023634164*v2)*pow(v0,-1.0))*pow(v1,-1.0))*cos((((2.2*v0)+(v0*v1))+(((exp(v0)*exp(v1))*exp(pow(v1,0.45)))*exp((-1.0*v2))))))</t>
  </si>
  <si>
    <t>(((((0.1752242271078*v1)*v4)*v5)*pow(v0,-1.0))*pow(v2,-5.0))+(((((0.1687126107485*v1)*v3)*v5)*pow(v0,-1.0))*pow(v2,-5.0))</t>
  </si>
  <si>
    <t>(((-0.1149891952389*pow(v0,2.0))*pow(v4,-2.0))*asin((0.1158362428834*v1)))+(((-0.0002588675518*pow(v0,4.0))*pow(v2,2.0))*pow(v4,-2.0))+((((0.8419313011219*v3)*pow(v0,2.0))*pow(v4,-2.0))*asin((0.1158362428834*v1)))</t>
  </si>
  <si>
    <t>(((((-0.1249999999999*v0)*pow(v1,4.0))*pow(v2,-2.0))*pow(v3,-2.0))*pow(v4,-2.0))</t>
  </si>
  <si>
    <t>(0.9669093147958*v0)+((0.023615565823*v0)*exp(((4.1415926535898*v1)*pow(v2,-1.0))))</t>
  </si>
  <si>
    <t>(2.0*v0)+((2.0*v0)*sin((4.7123889803847+(v2*pow(v1,1.0)))))</t>
  </si>
  <si>
    <t>(((0.0530516476973*pow(v2,-1.0))*pow(v3,-1.0))*pow(((v3*pow(v0,-1.0))*pow(v1,-1.0)),-2.0))</t>
  </si>
  <si>
    <t>(-0.4095001163227*v0)+((1.0145677739207*v0)*v1)+(((0.0465960188252*v0)*v1)*v2)+(((-0.0416597824067*v0)*v3)*v4)+(((((-0.3509790399133*v0)*v3)*pow(v2,-1.0))*log(v1))*log(v4))</t>
  </si>
  <si>
    <t>0.1619385873839+((-0.082501735073*pow(v0,2.0))*pow(v2,-1.0))+(((1.1858922872362*v0)*v1)*pow((v1+(v3*pow(v2,-1.2))),-1.1))</t>
  </si>
  <si>
    <t>(((1.0*v1)*v4)*pow((v3*pow(v0,-1.0)),-1.0))+((((-1.0*v0)*v1)*v4)*pow(v2,-1.0))</t>
  </si>
  <si>
    <t>((1.59457164e-05*pow((v0*pow((v1+v2),-1.0)),-8.0))*asin(((0.7972980076065*pow(v4,-1.98))*pow(v5,-2.0))))+(((0.5177151263762*pow((v0*sin(pow(v2,-1.0))),-2.0))*pow((((-1.0*v0)+(-0.4583333333332*v3))+((0.8333333333334*v1)*v3)),2.0))*asin(((0.7972980076065*pow(v4,-1.8))*pow(v5,-2.0))))+(((1.20151483e-05*pow(v4,-1.8))*pow(v5,-2.0))*pow((((pow(v2,-1.0)+(-1.0*v0))+((0.3183098861838*v0)*pow(v2,-1.0)))+((0.3183098861838*v6)*pow(v2,-1.0))),-2.0))+((((0.7250753020671*v3)*pow(v4,-1.8))*pow(v5,-2.0))*pow(((pow(v2,-1.0)+((0.3183098861838*v0)*pow(v2,-1.0)))+((0.3183098861838*v6)*pow(v2,-1.0))),-2.0))</t>
  </si>
  <si>
    <t>(((0.3719412596681*v0)*v1)*pow(v2,-1.44))+(((8.693e-10*pow(v2,-1.0))*exp((v3*pow(v0,2.0))))*exp(((-1.0*v2)*v3)))+(((-4.581987196429*v5)*pow(((pow((v2+v4),2.0)+(v2*v5))+(v2*log(pow(v5,-1.2)))),-1.2))*sin((v5*pow(v4,-1.0))))+((((0.988826787322*v0)*pow(v2,-1.2))*sin(v4))*sin(v5))+((((3.5873593010299*v0)*v1)*pow(((pow(v2,2.0)+(v2*v5))+(v2*log(pow(v5,-1.2)))),-1.2))*sin((v5*pow(v4,-1.0))))+(((((0.2015365155103*v1)*v4)*pow(v2,-1.2))*sin(v4))*sin(v5))</t>
  </si>
  <si>
    <t>(0.0233140899993*v0)+((0.9362778051603*v0)*v1)+(((0.1952594680925*v0)*pow(v1,2.0))*pow((v2+(-1.0*v1)),-1.0))+(((0.0025526325114*v0)*v1)*v2)</t>
  </si>
  <si>
    <t>1.454297374422+(-0.5467599392732*v4)+((1.0865443123473*v0)*v3)+((0.002072159057*v3)*exp(v4))+((0.6145437430449*v3)*v4)+((0.977775136556*v0)*v1)+((-6.2083367556104*v3)*pow(v4,-1.0))+(((13.3510112763707*v2)*v3)*pow((v4+(5.1415926535898*pow(v4,-1.0))),-1.0))+(((0.0282930715759*v2)*v3)*exp(v4))+(((-1.174209269523*v2)*v3)*v4)+(((-0.3283532547966*v0)*v3)*v4)+((((7.5611041787763*v0)*v2)*v3)*pow((v4+(5.1415926535898*pow(v4,-1.0))),-1.0))+((((-0.486360433206*v0)*v2)*v3)*v4)</t>
  </si>
  <si>
    <t>0.0005243647406+(((0.6328493023594*v2)*v3)*sin((v0*v1)))+((((1.1351828347508*v2)*v3)*exp((v0*v1)))*sin(((0.3183098861838*v0)*v1)))</t>
  </si>
  <si>
    <t>2.6927111332215+(-1.0031321948817*v3)+(-0.160497817206*v1)+((0.7515592041836*v0)*sin(((0.5712846284108*v2)*v3)))+((0.0065331329874*pow(v1,4.0))*pow(v2,-2.0))+((-1.5497818574475*v0)*pow(v2,-1.0))+((-3.8480708264431*pow(v3,-1.0))*pow((2.0+v0),-1.0))+(((0.0025229415501*pow(v1,2.0))*pow(v3,4.1415926535898))*pow(sin(v2),-1.0))+(((2.0570712604985*v0)*v3)*pow(v2,-1.0))+((((-0.1017437670804*v0)*v3)*pow(v1,2.0))*pow(v2,-1.0))+((((-0.0400728573363*v0)*v1)*pow((v1*pow(v2,-1.0)),-1.0))*exp(v3))</t>
  </si>
  <si>
    <t>26.9572971318153+((-9.1631276674142*v0)*v3)+((((-16.8797379225552*pow(2.4,v3))*pow(v0,4.4))*pow(v1,-5.8))*pow(v4,-3.4))+(((((5.8471743554343*pow(v0,4.0))*pow(v1,-3.8))*pow(v3,2.4))*pow((v2+(-0.9272952180016*v4)),2.0))*sin(pow(v4,-4.4)))+(((((13.5703460247537*pow(v0,5.0))*pow(v1,-4.8))*pow(v3,2.4))*pow(v4,-3.52))*pow((-1.0*sin(((0.625*v2)+(-1.0*v4)))),2.0))+(((((-50.0889244678385*pow(v0,4.0))*pow(v1,-4.8))*pow(v3,2.4))*pow(v4,-4.4))*pow((v2+(-0.8*v4)),2.0))</t>
  </si>
  <si>
    <t>(-0.0365995394705*pow((v4*pow(v3,-1.0)),-2.0))+((0.0399200495826*v0)*pow((v4*pow(v3,-1.0)),-2.0))+(((0.5999909499523*pow(v0,2.0))*pow(v4,-2.0))*sin(pow((1.0+v2),-1.0)))+((((0.0883662595559*pow(v0,2.0))*pow(v1,1.28))*pow(v4,-2.0))*pow(log((0.8362690567833+v3)),2.0))+((((-0.0730727449109*pow(v0,2.4))*pow(v1,-1.0))*pow(v4,-2.0))*exp(pow(v2,-1.0)))</t>
  </si>
  <si>
    <t>12.6641302255899+(7.6367535462708*log((v3*pow(((2.0*pow((v2+v3),-1.0))+(v0*pow((v2+v3),-1.0))),-1.0))))+(-6.4602225604961*v3)+((12.1907404968443*v1)*v2)+((-33.0342281299578*pow(v3,-1.0))*pow((((1.0*pow((v1*v2),-1.0))+(1.0*pow((v1+v2),-1.0)))+(v0*pow((v1*v2),-1.0))),-1.0))+(((0.0128620313572*v1)*v3)*pow(((1.0*pow((v2+exp(v3)),-1.0))+(v0*pow((v2+(exp(v2)*exp(v3))),-1.0))),-1.0))+(((-1.7914131084027*v1)*v2)*pow(((1.0*pow((2.0+v0),-1.0))+(v0*pow((v2+exp(v3)),-1.0))),-1.0))+(((-1.6753825394415*v1)*v2)*v3)</t>
  </si>
  <si>
    <t>3.3580426982655+(-3.301888053319*cos((((0.0012323264225*pow(v3,2.0))*pow((v2*pow((v0+pow(v2,0.5)),-1.0)),-1.0))*pow((v4+(0.5*pow(v2,-1.0))),2.0))))+((1.3427588203843*v0)*v1)+((-1.5690624475336*v0)*pow(v2,-0.9))+(((1.237378910658*v0)*pow(v3,-1.0))*pow(v4,-1.0))+((((-0.1792265128879*v0)*v3)*v4)*pow((v2*pow(log((v1*v2)),-1.0)),-1.1))+(((((-0.1703727035662*v0)*v1)*v2)*pow(v3,-1.0))*pow(v4,-1.0))</t>
  </si>
  <si>
    <t>((2.2622316775973*v3)*pow(v1,-2.0))+(((0.2127251769247*v3)*pow(v1,-2.0))*pow((((0.4166666666666+(0.8333333333333*v0))+(0.8333333333333*v2))+(-1.0*pow((-0.5+v2),-1.0))),2.2))+(((-0.862257587039*v3)*pow(v1,-2.0))*sin((1.7600837119468*pow(v0,-1.6))))+((((-0.0893961359488*v3)*pow(v1,-2.0))*pow(v2,2.4))*sin((1.7600837119468*pow(v0,-1.44))))+((((-0.0009948452007*v3)*pow(v1,-2.0))*pow((0.5+sin((-0.5+v2))),2.0))*pow(sin((pow(v0,-1.0)+(1.7600837119468*pow(v0,-2.0)))),-5.0))</t>
  </si>
  <si>
    <t>(((6.6654657079438*v0)*v1)*pow(v3,-1.0))+((((0.9155476260494*v0)*v1)*pow(v3,-1.0))*pow(sin(v2),3.1415926535898))+((((-6.3958952747625*v0)*v1)*pow(v3,-1.0))*pow((0.1145915590262+cos((v4+(-1.0*v5)))),2.0))+((((-2.068335929238*v0)*v1)*v2)*pow(v3,-1.0))+(((((4.2203395021284*v0)*v1)*v2)*pow(v3,-1.0))*pow((0.4349655341112+cos((v4+(-1.0*v5)))),2.0))</t>
  </si>
  <si>
    <t>0.6676554463404+(-0.181468740153*pow((-0.5+v6),-2.0))+(-0.2050700691034*v6)+(((-0.3392852549968*pow(v3,1.0))*pow(v5,-1.0))*cos((((5.2064986194017*pow(v6,-1.0))+((2.0*pow(v3,1.0))*pow(v5,-1.0)))+(((-1.0*pow(v3,1.0))*pow(v5,-1.0))*pow(v6,1.0)))))+((((0.0840166401857*v4)*pow(v3,1.0))*pow(v5,-1.0))*cos((((5.2064986194017*pow(v6,-1.0))+((2.0*pow(v3,1.0))*pow(v5,-1.0)))+(((-1.0*pow(v3,1.0))*pow(v5,-1.0))*pow(v6,1.0)))))+((((((0.2199925054765*v0)*v2)*v4)*pow(v3,1.0))*pow(v5,-1.0))*cos((((5.2064986194017*pow(v6,-1.0))+((2.0*pow(v3,1.0))*pow(v5,-1.0)))+(((-1.0*pow(v3,1.0))*pow(v5,-1.0))*pow(v6,1.0)))))+(((((((0.2963516782609*pow(v0,2.0))*pow(v1,2.0))*pow(v2,2.0))*pow(v3,2.0))*pow(v4,2.0))*pow(v5,-2.0))*pow((-0.5+v6),-2.0))</t>
  </si>
  <si>
    <t>(((-3.0063989520002*v0)*cos(v1))*log((-0.5+v2)))+((((0.0112639648896*v4)*pow(v0,2.0))*pow(v3,2.0))*pow((v1+log(v2)),-1.6))+((((0.0006484241452*v0)*v4)*pow((v1*v3),3.0))*pow((v2+(pow((v1*pow(v3,-1.0)),-100.0)*pow(log(v2),-1.0))),-1.6))+((((0.0237455016202*v2)*v4)*pow(v3,3.0))*pow(((v2*pow(v0,-1.0))+log(v2)),-1.6))+((((-0.0897732834035*v0)*v4)*pow(v3,3.0))*pow((v2+(pow(v1,-100.0)*pow(log(v2),-1.0))),-1.6))</t>
  </si>
  <si>
    <t>(0.9946320313422*v2)+((((-1.0207037161714*v1)*v2)*pow(v0,-1.0))*cos(v3))</t>
  </si>
  <si>
    <t>((((5.0110484821314*v0)*v1)*pow(v2,0.5))*pow(v3,-1.0))</t>
  </si>
  <si>
    <t>(((9.28136366e-05*pow(v4,-2.0))*pow(v5,-2.0))*pow((pow(((v2+v3)+(-0.5*pow(v2,-2.0))),-1.1)*sin((v0*sin(pow((v0+v1),-1.1))))),-4.0))</t>
  </si>
  <si>
    <t>(-0.1424056121711*v0)+((((1.2912748354404*v0)*pow(v1,-1.0))*pow(v2,-0.5))*pow(v4,-1.0))+((((0.0445665105153*v0)*v3)*v5)*pow(v2,-0.5))+(((((-0.0009521451098*v0)*v1)*v3)*v4)*v5)</t>
  </si>
  <si>
    <t>0.1858553597161+(-0.1696662890839*cos((((2.0230028232896*v5)+(4.0460056465792*v4))+(-1.0*v2))))+((((((0.5071142588797*v0)*v2)*v3)*pow(v1,0.5))*pow(log(v4),2.0))*sin(v5))+((((((1.9086341679857*v0)*v1)*v4)*pow(v3,2.0))*pow((v2*pow((v5+(-1.0*v4)),-1.2)),2.0))*log(v4))</t>
  </si>
  <si>
    <t>1.6613488553067+(-1.2060916217075*sin(v6))+(-0.3600744437981*v6)+(((((((0.2965491119096*pow(v0,2.0))*pow(v1,2.0))*pow(v2,2.0))*pow(v3,2.0))*pow(v4,2.0))*pow(v5,-2.0))*pow((-0.5+v6),-2.0))</t>
  </si>
  <si>
    <t>0.0014322981869+(0.0259738813135*v3)+(0.9727266074478*v0)+((0.0045081413281*v0)*pow((v1*pow(v2,-1.0)),-0.5))+((0.0035606929441*v0)*v1)+((-0.0010568388383*v2)*v3)+((-0.9965867873822*v1)*v3)+(((0.1876233806541*v0)*v1)*pow((v2+(-1.0*v1)),-1.2))+(((-0.0879914463927*v3)*asin(pow((v2+(-1.0*v1)),-1.1)))*exp(v1))</t>
  </si>
  <si>
    <t>(0.7367719249107*v0)+((0.0293178243535*v0)*pow((v2+(-1.0*v3)),2.0))+((2.0215815160858*v0)*pow((0.5+v1),-1.8))+((0.0367463721932*v0)*pow((-1.0+v1),2.0))+((8.7524928383622*v0)*pow((v2+v3),-2.0))+((0.6745900612713*v0)*v3)+((0.6748359227896*v0)*v2)+((-5.8452001049804*v0)*pow((v2+v3),-1.0))+(((3.4348839289417*v0)*v1)*pow((v2+v3),-1.0))+(((-0.598785178035*v0)*pow(((v2*pow(v3,-1.0))+(v3*pow(v2,-1.0))),-0.5))*exp(pow(v1,-1.0)))+(((-3.9825600729813*v0)*v1)*pow((v2+v3),-2.0))</t>
  </si>
  <si>
    <t>(0.0093753678933*v0)+(0.8092358285011*v3)+((0.0032201753261*v3)*pow(v2,2.0))+((0.4447033519626*v0)*pow((v1+v2),-2.0))+((0.1177293658952*v0)*pow((v2+(-0.9*v1)),-1.0))+((-0.0800248101589*v3)*pow(((v1+pow(v2,2.0))+(-1.0*v2)),-1.0))+(((0.2019856062763*v1)*v3)*pow((v1+(-1.0*v2)),-1.0))+(((-0.0384506458034*v2)*v3)*pow(v1,-0.2))+(((-0.7412692431911*v0)*v2)*pow(v1,-2.0))</t>
  </si>
  <si>
    <t>(0.4252328268076*pow(v1,-1.0))+(-0.1840544585158*pow(v0,-1.0))+((0.0001803907855*pow(v1,4.0))*pow((-0.25+v0),-4.0))+(((1.2079364831684*pow(v0,-1.0))*exp(((-1.9432503513336*v1)*pow(v0,-1.0))))*log((v1*pow(v0,-1.0))))</t>
  </si>
  <si>
    <t>0.0468708079467+(0.0646227375948*pow(v1,-1.0))+(0.654747444274*sin((1.1415926535898*pow(v0,1.0))))+(1.1653279006363*asin((0.1727035316661*v0)))+(0.0036988592819*pow(sin((0.5226872289307+v1)),-2.0))+(0.1212459847553*pow(v0,-1.0))+((0.0004283625418*pow(v1,4.0))*sin(pow(v0,-1.0)))+((-0.0469906482911*v1)*sin((2.0*pow((3.1415926535898+v0),1.0))))+((-1.363942008344*pow(v0,-1.0))*pow(sin(v1),2.0))+((-0.0148358370508*v1)*sin(pow((-0.424689353675+pow((1.0+v0),2.0)),-1.0)))+((-0.059898075118*v0)*sin(pow((-0.5440954564438+pow((1.0+v0),2.0)),-1.0)))</t>
  </si>
  <si>
    <t>0.1967362905374+(0.0103195142194*v0)+(0.1782336993254*pow(v0,-1.0))+(-0.1569937922759*pow(v1,-2.0))+(-0.0868505858053*pow(v1,-1.0))+(-0.4332241434159*exp((2.0*pow(v1,-1.0))))+(-2.039933221275*cos(v0))+((-1.4447758557678*v1)*cos(v0))+(((0.0350412764985*v1)*exp(sin((2.0*v0))))*sin(v0))+((((-0.0144678240545*pow((v0*pow(v1,-1.0)),2.0))*pow(sin((2.0*v1)),2.0))*exp((-1.0*sin((v0+(-1.0*v1))))))*sin(v0))+(((((0.0050158698285*v1)*pow(v0,2.0))*pow(sin((2.0*v1)),2.0))*exp(sin((2.0*v0))))*sin(v0))+(((((0.0201934505608*pow(v0,2.0))*pow(sin((2.0*v1)),2.0))*exp((-1.0*sin((-2.0+v0)))))*exp((v1*sin((-0.5+v1)))))*sin((2.0*v0)))+(((((0.0108217482317*v1)*pow(v0,2.0))*exp(sin((2.0*v0))))*sin(v0))*sin((2.0*v1)))+(((((-0.0114138728238*v0)*exp((v1*sin(v1))))*exp(sin(v0)))*sin(v0))*sin((2.0*v1)))</t>
  </si>
  <si>
    <t>(2.9999999999999*v0)+(-1.0*pow(v0,2.0))+((-2.0*v0)*v1)</t>
  </si>
  <si>
    <t>0.0770806330328+(0.1279691742598*pow(v2,-1.0))+(-0.0488994157866*cos((((5.3266555834338*v1)*pow(v0,-1.0))*pow(log(v2),-1.0))))+((0.9948699461171*v0)*pow(v1,-1.0))+((-0.1278381228909*v1)*pow(v0,-1.0))+(((-6.8199285395965*v1)*pow(v0,-1.0))*pow(pow(v2,2.0),-1.0))</t>
  </si>
  <si>
    <t>(620125561144.7782*sin((0.0003183098862*v0)))+(9.9999988772851*v1)+(-197392093.46437177*v0)</t>
  </si>
  <si>
    <t>19.9999336143835+(-0.532508060337*v1)+(-0.9999979018746*v0)+((7.5444097604171*v1)*pow((1.0+v0),-1.0))+((3.4141711951838*v1)*cos((2.8284271247462*pow((0.25+pow(v0,-1.0)),0.5))))</t>
  </si>
  <si>
    <t>0.1346550079755+(12.8510340843643*pow(((0.5+v2)+(-1.0*v1)),-10.0))+(0.1634475057357*pow((v2*pow(((0.5+v0)+(-1.0*v1)),-1.0)),-1.0))+(4.5409670487206*pow(v2,-2.4))+(-0.0087349297196*v2)+(-0.4477046016073*pow(((-1.0+v2)+(-1.0*pow(v0,-1.0))),-1.0))+((1.0052543234616*v0)*v1)+((-0.1880539936592*pow(v1,-1.0))*pow((v2*pow((0.5+v0),-1.0)),-1.0))+(((0.5146864349026*pow(v1,4.0))*pow(v2,-2.4))*exp((0.45*v0)))+((((-0.0632123905063*pow(v0,-1.0))*pow(v1,4.0))*pow(v2,-2.2))*exp(v0))</t>
  </si>
  <si>
    <t>10.0000132139715+(-4.5170864780579*v1)+((0.014992186298*v1)*log(v0))+((4.4348138184003*v1)*exp(pow(v0,-0.9)))+((-7.4330624116215*v1)*pow(v0,-1.0))</t>
  </si>
  <si>
    <t>(0.4715359815888*v0)+((-0.0211369880218*v0)*cos((v2+(-1.0*v3))))+((-0.105221646719*v0)*v1)+((-0.2407717939233*v0)*pow(v1,-1.0))+(((-0.9207370023488*v0)*v1)*pow(((0.6435011087933*pow((-1.0+v1),-0.9))+cos((v2+(-1.0*v3)))),-1.0))</t>
  </si>
  <si>
    <t>1.5479991902238+(-0.3015159826653*v0)+(-0.8124682768342*sin(pow(v0,-1.0)))+(-0.5018690829426*sin(log((1.0+pow(v0,2.0)))))</t>
  </si>
  <si>
    <t>((0.9981479530763*v0)*v1)+(((0.8212084347857*v2)*v3)*pow((pow(v4,-1.0)+(0.1944922648242*v4)),-5.0))+(((0.0289354515642*v2)*v3)*exp(v4))+(((-0.7057851272881*v2)*v3)*v4)+((((9.0054962126667*v0)*v2)*v3)*pow((v4+(5.1415926535898*pow(v4,-1.0))),-1.0))+((((-0.5670147847833*v0)*v2)*v3)*v4)</t>
  </si>
  <si>
    <t>0.5735623433268+(0.4263709564583*exp(((1.2389131458394*v0)*v1)))+(0.9477741490791*sin(((0.4994030356802*v0)*v1)))</t>
  </si>
  <si>
    <t>27.0536433066573+((-9.43647668199*v0)*v3)+((((-15.324474398867*pow(2.4,v3))*pow(v0,4.4))*pow(v1,-5.8))*pow(v4,-3.4))+((((-0.9078621048014*pow(2.4,v3))*pow(v0,5.4))*pow(v1,-5.8))*pow(v4,-3.4))+(((((13.9976903117904*pow(v0,5.0))*pow(v1,-4.8))*pow(v3,2.4))*pow(v4,-3.52))*pow((-1.0*sin(((0.625*v2)+(-1.0*v4)))),2.0))+(((((5.9220446107665*pow(v0,4.0))*pow(v1,-3.8))*pow(v3,2.4))*pow((v2+(-0.9272952180016*v4)),2.0))*sin(pow(v4,-4.4)))+(((((-50.2232055908812*pow(v0,4.0))*pow(v1,-4.8))*pow(v3,2.4))*pow(v4,-4.4))*pow((v2+(-0.8*v4)),2.0))</t>
  </si>
  <si>
    <t>0.0953626345312+(0.0544304865791*cos((3.1415926535898*pow(v0,-1.0))))+(-0.0274011361924*v0)+((0.065961199518*cos(log((v2*pow(v1,-1.0)))))*exp(cos(v0)))+((0.5385316943475*pow(v0,-1.0))*pow((v1+v2),-1.0))+(((0.0380294673104*v2)*pow(v0,-1.0))*cos(((3.1415926535898*pow(v0,-1.0))*log((v2*pow(v1,-1.0))))))+((((0.0103539743847*v2)*pow(v0,-1.0))*cos(((3.1415926535898*pow(v0,-1.0))*log((v2*pow(v1,-1.0))))))*sin(v2))+((((-0.0612357604166*pow(v1,-1.0))*cos(((3.1415926535898*pow(v0,-1.0))*log((v2*pow(v1,-1.0))))))*exp(cos(v0)))*sin((v0+(-1.0*v1))))</t>
  </si>
  <si>
    <t>44.9941370260648+(0.8510577049609*cos((3.0798555323196*pow(v1,-1.0))))+(0.7432586860461*v1)+(-0.0744625972958*pow(v1,2.0))+(-1.4297439336676*v0)+(-57.9400654732193*pow(sin((0.4439640239808*pow((pow(v1,-0.8)+(0.4667653390473*v0)),-0.5))),0.275))+((2.6428084050571*v1)*pow((0.4802391339247+(exp(v0)*exp((0.2334711034621*v1)))),-0.9))+((0.3363484716604*v0)*pow((0.4802391339247+exp((-0.2334711034621*v1))),-0.9))</t>
  </si>
  <si>
    <t>2.617800584462+(0.1445861573201*v1)+(0.2968872062346*cos((42.2416971690901*asin(pow(v0,-0.1)))))+(1.425695617859*sin(((0.1228033634222*pow(((0.55+pow(v1,-0.5))+(-0.9*v1)),-1.0))+(0.11052302708*v1))))+(-0.0187504930384*pow(v1,-1.0))+(-0.1914164602167*pow((v0+(-1.0*v1)),-1.0))+(-0.1766293065346*pow(cos(v1),-1.0))+((-0.6207151344909*v0)*pow((0.5+pow((0.5+v1),-0.5)),-1.1))+((-1413.0861342035382*pow(v0,-5.0))*cos((0.33+v1)))</t>
  </si>
  <si>
    <t>1.9595519021324+(0.0917626713183*pow((((v3*v4)*pow(v0,-1.0))*pow(v1,-1.0)),0.5))+(0.0515376679526*log(v5))+(-1.116455222713*cos((((((0.6470922655111*v0)*v1)*pow(v3,-1.0))*pow(v4,-1.0))*pow(v5,-2.0))))+(((-0.9461176751228*pow(v2,-1.1))*pow(v5,-1.0))*asin((0.1785959211594*v6)))+(((((((0.7178388305279*v0)*v1)*v6)*pow(v2,-1.0))*pow(v3,-1.0))*pow(v4,-1.0))*pow(v5,-2.2))</t>
  </si>
  <si>
    <t>5.30297999e-05+(((0.9355909106356*v2)*v3)*sin(((0.7093115107971*v0)*v1)))+((((0.8463999783012*v2)*v3)*exp((v0*v1)))*sin(((0.3968526942051*v0)*v1)))</t>
  </si>
  <si>
    <t>(-0.5*sin((v0+(-1.0*v1))))+(-1.0000000000003*sin(v1))</t>
  </si>
  <si>
    <t>(0.5000065864484*v2)+(0.4997899274189*v3)+((0.2266779380097*pow(sin(pow(((0.6065306597126+v2)+v3),-1.0)),-1.0))*sin((log(((0.5*sin(pow(((-0.5+v2)+(v2*pow(((v2+(-0.5*pow(v2,-2.0)))+(pow(v2,-2.0)*pow(v3,2.0))),-1.0))),-1.0)))+(v3*sin(pow((0.5+v2),-1.0)))))*sin((0.5478787131402*log((v1*pow(v0,-1.0))))))))</t>
  </si>
  <si>
    <t>0.4555795198281+(0.9539946890022*v2)+(1.5903288128528*asin(((-1.0*pow(((-0.5+v0)+v2),-1.0))+(v1*pow(v0,-1.0)))))+((0.0057184130932*cos(v2))*exp(v2))+((0.3196880574086*v0)*asin(((-1.0*pow(((-0.5+v0)+v2),-1.0))+(v1*pow(v0,-1.0)))))+((-0.5281118678793*v2)*asin(((-1.0*pow(((-0.5+v0)+v2),-1.0))+(v1*pow(v0,-1.0)))))+((-0.0706202828867*v1)*v2)+((-0.0044512978551*v1)*exp(v2))+(((-0.1399591800638*v1)*pow(v2,-1.0))*log(v0))+((((0.0007573396765*v0)*v2)*exp(v2))*sin((0.4*v1)))</t>
  </si>
  <si>
    <t>0.0522547755969+(0.0048124094066*pow(v3,1.6))+(-0.0876169509375*pow((v1+(pow(v1,-1.0)*exp(v3))),-1.0))+(-0.0123245418576*pow(v2,-1.0))+(-0.0074364739764*pow(v3,-0.2))+(-0.0213180732886*v3)+(((0.0014066604859*v0)*pow((((pow(v1,-2.0)*pow(v4,2.0))+((-1.0*v3)*v4))+((v2*v3)*v4)),-1.0))*exp(v3))+(((0.0561645030973*v0)*pow(v4,-1.0))*pow(((-3.0+v2)+(1.4142135623731*v3)),-1.0))</t>
  </si>
  <si>
    <t>(0.4005335983377*v2)+(((0.4493939001205*v1)*v2)*pow(v0,-1.0))+((((0.5992824385884*v0)*v2)*pow((v0+(-1.0*v1)),-1.0))*exp(((-0.079577471546*v1)*pow((v0+(-1.0*v1)),-1.0))))</t>
  </si>
  <si>
    <t>1.6484183392953+(-1.1065240972694*v0)+(-0.3411676447537*v1)+(-0.4858968630067*v3)+(-0.8239170833543*pow(v1,-1.0))+((1.179943591175*v0)*sin(((0.5712846284108*v2)*v3)))+(((0.1045575552687*v1)*v3)*pow(sin(v2),-1.0))+(((1.8471530562419*v0)*v3)*pow(v2,-1.0))+(((-0.0329809836434*v1)*v2)*pow(sin(v2),-1.2))+((((0.0170559332298*v0)*v1)*v3)*pow(sin(v2),-1.0))+((((0.1079621245025*v0)*pow(v1,-1.0))*pow(v2,1.0))*pow(v3,-1.0))+((((-0.3959263274097*v0)*v1)*v3)*pow(v2,-1.0))</t>
  </si>
  <si>
    <t>1.3891904317334+(14.8926605985346*pow(v0,-1.1))+(-16.3965934028152*pow(v0,-1.0))+(-0.1126301558194*sin((-2.3578617712552+(1.0*v2))))+((5.3504767907387*pow(((4.9105199311584+((-1.0*pow(v0,-1.1))*pow(v1,-0.5)))+(((4.9105199311584*v2)*pow(v0,-1.1))*pow(v1,-1.0))),-1.0))*pow(((((((-0.1843866912639+(1.0*sin(((4.9105199311584+((-1.0*pow(v0,-1.1))*pow(v1,-0.5)))+(((4.9105199311584*v2)*pow(v0,-1.1))*pow(v1,-1.0))))))+(0.7669968372569*pow(v0,-1.0)))+(0.0815524827718*sin(((1.1789308856276*v1)+(-1.0*v2)))))+(0.0221878423596*v0))+(-1.0*pow(v0,-1.1)))+((0.1250250904778*v1)*pow(v0,-10.0))),2.0))+((0.2004173857949*v1)*pow(v0,-1.0))</t>
  </si>
  <si>
    <t>0.0344657186526+(8.7964157602909*asin(v0))+(4.8764173436923*v0)+(-0.038841269451*pow(v1,-1.0))+(-0.0057135390073*v1)+((0.7893303067514*v0)*sin(v1))+((-7.150863277372*pow((1.0+(0.2*v1)),0.5))*asin(v0))+(((19.2901154298598*v1)*cos((1.5+(1.0*pow(v1,-1.0)))))*sin((0.3183098861838*v0)))+(((5.8936843619232*pow(v1,-1.0))*cos((1.0+(1.0*pow(v1,-1.0)))))*sin((0.3183098861838*asin(v0))))</t>
  </si>
  <si>
    <t>9.0327377751059+(-4.3103372324677*v3)+((1.3742818190008*v3)*pow(((2.0*pow((v2+v3),-1.0))+(v0*pow((v2+v3),-1.0))),-1.0))+((11.6150256198447*v1)*v2)+((-31.6392716476969*pow(v3,-1.0))*pow((((1.0*pow((v1*v2),-1.0))+(1.0*pow((v1+v2),-1.0)))+(v0*pow((v1*v2),-1.0))),-1.0))+(((0.0202520047601*v1)*v3)*pow(((1.0*pow((v2+exp(v3)),-1.0))+(v0*pow((v2+exp(v3)),-1.0))),-1.0))+(((-1.4558505964765*v1)*v2)*pow(((1.0*pow((2.0+v0),-1.0))+(v0*pow((v2+exp(v3)),-1.0))),-1.0))+(((-1.7386819482936*v1)*v2)*v3)</t>
  </si>
  <si>
    <t>0.0853219190762+(0.1048646486631*v0)+(-7.5792998065652*pow((((((1.0*pow(v0,-1.0))+(v1*pow(v0,-1.0)))+(v2*pow(v1,-1.0)))+(v3*pow(v1,-1.0)))+(pow(v1,-1.0)*sin(pow((v0*pow((-1.0+v1),-1.0)),-0.96)))),-1.32))+((15.9908021738567*v0)*pow((((v2+v3)+(0.5*sin(pow((v0*pow(v1,-1.0)),-0.64))))+(v1*pow(v0,-0.8))),-1.0))+((0.7367402286235*pow(v0,2.0))*pow(v1,-0.9))+((-0.0144812470752*v0)*pow(v1,-1.0))</t>
  </si>
  <si>
    <t>(((-18.9446145884228*pow(v3,-1.0))*pow(v4,-2.0))*sin(((-0.0126488602494*pow(v2,-2.0))+((0.0063244301247*pow(v1,2.4))*pow(v2,-2.0)))))+((((0.0002086997821*pow(v3,-2.0))*pow(v4,-2.0))*pow((v2*pow(v1,-1.0)),-2.0))*pow(((((1.0+(0.25*v0))+(0.5*pow(v0,2.0)))+((0.5*pow((v0+v1),2.0))*sin(pow(v0,-1.0))))+exp((0.25*v3))),3.1415926535898))+((((-1.0969226754086*pow(v3,-2.0))*pow(v4,-2.0))*pow(((0.5+v0)+v1),3.1415926535898))*sin(((0.0063244301247*pow(v1,2.4))*pow(v2,-2.0))))</t>
  </si>
  <si>
    <t>0.0819817895+(2.8449372875301*pow(((v2+(v2*sin(pow(v3,-1.0))))+sin((pow((-0.5+v3),-1.2)*log(v0)))),-1.0))+(0.1198400846081*pow(v0,-1.0))+(-4.6210152162198*pow(v2,-0.9))+((0.4699501103069*pow(v2,-1.0))*exp((0.2200459057317*v1)))+(((2.2840819141323*pow(v2,-1.0))*exp((-0.264055086878*v1)))*exp((((0.4068677024479*v1)*pow(v3,-1.0))*pow((v0+(-0.6*pow(v3,-1.0))),0.5))))</t>
  </si>
  <si>
    <t>(0.8446669353521*v0)+(((0.2970339225729*v0)*pow(v1,2.0))*pow(v2,-2.0))+(((-0.1486921909985*v0)*v1)*pow(v2,-1.0))+(((-0.1550459500238*v0)*pow(v2,1.0))*pow((v1+(-1.0*v2)),-1.0))</t>
  </si>
  <si>
    <t>((((0.1418624355344*pow(v1,-2.0))*pow(v2,2.0))*pow((v0+(0.5*v3)),2.0))*sin(pow(v0,-2.0)))+((((0.003546859969*pow(v0,2.0))*pow(v2,2.0))*pow(v3,-2.0))*pow((-0.5+v1),-1.2))+((((-0.7143147976652*pow(v2,2.0))*pow((-0.5+v1),-1.0))*pow(((4.0+v3)+(3.0*v1)),-1.0))*log((v0*sin(pow(v3,-1.0)))))+((((-0.0010683098408*pow(v0,-1.0))*pow(v2,2.0))*pow(v3,2.0))*pow((-0.5+v1),-1.0))</t>
  </si>
  <si>
    <t>1.0206625927125+(0.7087552461529*v0)+(-0.8428153162929*v2)+((3.9663215517112*pow(v2,-1.0))*cos(((2.0+v1)+(2.0*v2))))+((1.411480466886*v0)*pow(v2,-1.0))+((1.9679829931276*v0)*pow(v1,-1.0))+(((0.3324175689651*v1)*v2)*pow(cos((((0.5+(-2.0*v1))+(-2.0*v2))+((1.0*v1)*v2))),2.0))+(((-2.3142407534755*v0)*pow(v1,-1.0))*cos(((2.0*v2)+(3.0*v1))))+(((-0.4496707774604*v0)*v1)*pow(cos(((2.0+v1)+(2.0*v2))),2.0))+((((0.1540858733358*v0)*v1)*v2)*pow(cos(((2.0*v1)+(2.0*v2))),2.0))</t>
  </si>
  <si>
    <t>((2.2400305198756*v3)*pow(v1,-2.0))+(((0.211058942353*v3)*pow(v1,-2.0))*pow((((0.4166666666666+(0.8333333333333*v0))+(0.8333333333333*v2))+(-1.0*pow((-0.5+v2),-1.0))),2.2))+(((-1.0710253630748*v3)*pow(v1,-2.0))*sin((1.7600837119468*pow(v0,-1.6))))+(((-0.0045527114682*pow(v1,-2.0))*pow((0.5+sin((-0.5+v2))),2.0))*pow(sin((pow(v0,-1.0)+(1.7600837119468*pow(v0,-2.0)))),-5.0))+((((-0.0350977495383*v3)*pow(v1,-2.0))*pow(v2,3.0))*sin((1.7600837119468*pow(v0,-1.6))))</t>
  </si>
  <si>
    <t>(((6.4992199911019*v0)*v1)*pow(v3,-1.0))+((((0.995742635352*v0)*v1)*pow(v3,-1.0))*pow(sin(v2),2.0))+((((-2.0838596293585*v0)*v1)*v2)*pow(v3,-1.0))+((((-6.2215144918567*v0)*v1)*pow(v3,-1.0))*pow((0.1273239544735+cos((v4+(-1.0*v5)))),2.0))+(((((4.1409541070483*v0)*v1)*v2)*pow(v3,-1.0))*pow((0.45+cos((v4+(-1.0*v5)))),2.0))</t>
  </si>
  <si>
    <t>((1.34468082e-05*pow((v0*pow((v1+v2),-1.0)),-8.0))*asin(((0.7972980076065*pow(v4,-1.8))*pow(v5,-2.0))))+(((0.5265600216157*pow((v0*sin(pow(v2,-1.0))),-2.0))*pow((((-1.0*v0)+(-0.4583333333332*v3))+((0.8333333333334*v1)*v3)),2.0))*asin(((0.7972980076065*pow(v4,-1.8))*pow(v5,-2.0))))+(((1.0583709e-05*pow(v4,-1.8))*pow(v5,-2.0))*pow((((pow(v2,-1.0)+(-1.0*v0))+((0.3183098861838*v0)*pow(v2,-1.0)))+((0.3183098861838*v6)*pow(v2,-1.0))),-2.0))+((((0.7276933992671*v3)*pow(v4,-1.8))*pow(v5,-2.0))*pow(((pow(v2,-1.0)+((0.3183098861838*v0)*pow(v2,-1.0)))+((0.3183098861838*v6)*pow(v2,-1.0))),-2.0))</t>
  </si>
  <si>
    <t>0.0220730589672+(3.2092159225412*sin((((0.1491004348097*pow(v2,-1.0))*pow(((v1*v4)+(v5*pow(v0,-1.0))),-1.0))+(((((0.1491004348097*v0)*v3)*v5)*pow(v2,-1.0))*pow(((v1*v4)+(v5*pow(v0,-1.0))),-1.0)))))+(-0.1222854163865*v0)+(((((0.0452673035495*v0)*v5)*pow(v1,-1.0))*pow(v3,0.5))*pow(v4,-1.0))+((((((0.0037075803276*v0)*v2)*pow(v1,1.0))*pow(v3,-1.0))*pow(v4,1.0))*pow(v5,-1.0))</t>
  </si>
  <si>
    <t>2.0194947960577+(1.0043084300148*v2)+(-1.9992614226202*log(((2.764601535159+(((0.36*v1)*pow(((v1+(v0*pow(v2,-1.2)))+((-1.7278759594744*v1)*pow(v2,-0.8))),-1.0))*cos(v3)))+(((v1*v2)*pow(v0,-1.0))*cos(v3)))))+(-0.1467875376085*pow(v0,-1.0))+(-1.3132222235612*sin((((0.1241949150962*pow(v0,-2.0))*pow(v1,2.0))*pow(v2,1.8))))+(((0.8029082557991*pow(v0,-1.0))*pow(v2,-1.0))*pow(cos(v3),2.0))</t>
  </si>
  <si>
    <t>24.5930081149827+(1.4166671515214*pow(((v1*pow(v0,-1.0))+((-1.0*v2)*pow(v0,-1.0))),0.5))+(-24.5966331972523*pow(cos((((0.2828076362392*v3)*pow(v4,-1.0))*pow((1.0+(2.0*v0)),-1.0))),-1.0))+(((0.1711528678369*pow((v4*pow(v1,-1.0)),-4.0))*pow((-0.5+v0),-1.0))*pow((v1+(-1.0*v3)),-5.0))+((((-10.9028237482487*v2)*pow((v4*pow(v1,-1.0)),-2.0))*pow((-0.5+v0),-1.0))*pow(((1.0+v1)+(-1.0*v3)),-5.0))+((((-0.0859041639031*v3)*pow((v4*pow(v1,-1.0)),-4.0))*pow((-0.5+v0),-1.0))*pow((v1+(-1.0*v3)),-5.0))</t>
  </si>
  <si>
    <t>0.4377403301573+(0.1476755857925*pow(v0,-1.0))+(0.1661050402575*pow(v4,3.1415926535898))+(-5.556563917179*v4)+((4.4460619259929*pow(((0.8333333333333*v5)+(-1.0*v4)),-2.0))*log(pow((v4+(-1.0*v5)),2.0)))+((0.7861158531058*v4)*v5)+(((0.2814646491274*v2)*v3)*pow(sin(v4),-1.0))+((((0.0685428192132*v2)*v3)*v4)*pow(v1,-1.0))+((((-0.0795771535584*v2)*v3)*v4)*v5)+((((((0.5744630651524*v0)*v1)*pow(v2,2.0))*pow(v3,2.0))*pow(((0.8333333333333*v5)+(-1.0*v4)),-2.0))*log(pow(v4,2.0)))</t>
  </si>
  <si>
    <t>((0.1343049172763*v4)*v6)+((0.4432594727775*pow(v6,-1.0))*pow(sin(v6),3.1415926535898))+((-0.0296989435036*v5)*v6)+((-0.0285140322981*pow(log(v6),-1.0))*sin(((2.7704395522329*exp(pow(v5,-1.0)))*log(v6))))+((-0.5916883263948*pow(v2,-1.0))*pow(v6,-20.0))+(((0.1511518412986*v4)*pow(log(v6),-1.0))*sin(((2.7704395522329*exp(pow(v5,-1.0)))*log(v6))))+(((-1.0143737783916*v4)*pow(v6,-1.0))*pow(sin(v6),3.1415926535898))+(((((((0.2960873902157*pow(v0,2.0))*pow(v1,2.0))*pow(v2,2.0))*pow(v3,2.0))*pow(v4,2.0))*pow(v5,-2.0))*pow((-0.5+v6),-2.0))</t>
  </si>
  <si>
    <t>sizePen=0.0005</t>
  </si>
  <si>
    <t>sizePen=0.001</t>
  </si>
  <si>
    <t>sizePen=0.0001</t>
  </si>
  <si>
    <t>sizePen=0.00001</t>
  </si>
  <si>
    <t>(0.9999999999997*v1)+(-0.0750000000002*pow(v1,2.0))+((-1.0*v1)*pow((1.0+v0),-1.0))</t>
  </si>
  <si>
    <t>(1.0*pow(v1,2.0))+(3.0*v0)+(-1.0*pow((v0+v1),2.0))</t>
  </si>
  <si>
    <t>1.253782870903+(0.3182239970896*v1)+(-0.2655890076184*sin(v1))+(-1.3967156361429*cos(((0.6931471805599*v1)*pow(v0,-1.0))))+(-0.0103186250393*v0)+((0.6537886457244*pow(v1,-1.0))*cos(v0))+((0.0853864057504*pow(v0,-1.0))*pow(v1,-1.0))</t>
  </si>
  <si>
    <t>2.7813180607918+(0.6174764965756*pow(cos(v1),2.0))+(-0.4495031413385*v0)+((-0.1157835354756*v0)*cos(v1))</t>
  </si>
  <si>
    <t>9.9941966503507+(0.0056860870774*v1)+((-2.1755668813237*v1)*pow((0.8+v0),-1.0))</t>
  </si>
  <si>
    <t>20.0006166325105+(3.1918671942672*v1)+(-1.0000788661118*v0)+((-3.791546465031*v1)*sin(exp(pow(v0,-1.0))))</t>
  </si>
  <si>
    <t>0.0065430550785+((1.0011876074818*v0)*pow(v1,-1.0))+(((-5.4154617032079*v1)*pow(v0,-1.0))*pow(v2,-2.0))</t>
  </si>
  <si>
    <t>0.1417390605562+(0.1330952854812*sin(log((v0+(pow(v1,-1.0)*cos(v1))))))+(-0.0444635636395*v1)+((0.117789001812*pow(v1,-1.0))*cos((50.0+v0)))</t>
  </si>
  <si>
    <t>0.0359158744688+(4.3480348915689*v0)+(-1.1357092094665*pow(v0,2.0))+(-0.7435238986623*v1)+((0.7340080327246*v1)*pow(0.32,v0))+((-0.7340080327246*v0)*pow(0.32,v0))</t>
  </si>
  <si>
    <t>(-0.0014680170841*v0)+((0.9557666367991*v0)*v1)+((0.0034178338786*v0)*v2)+(((0.1923644325412*v0)*pow(v1,2.0))*pow((v2+(-1.0*v1)),-1.0))</t>
  </si>
  <si>
    <t>(0.7221777631539*v0)+((0.2779641432407*v0)*exp(((1.7724538509055*pow(v1,2.0))*pow(v2,-2.0))))</t>
  </si>
  <si>
    <t>0.0001875521593+(1.0005459558125*v0)+(((0.4819185204533*v0)*pow((v1*pow(v2,-1.0)),2.0))*exp(pow((v1*pow(v2,-1.0)),2.0)))</t>
  </si>
  <si>
    <t>0.0001442696486+((0.9580028357235*v0)*v1)+((0.0007752496491*v0)*v2)+(((0.0264116491109*v0)*v1)*exp(((4.0*v1)*pow(v2,-1.0))))</t>
  </si>
  <si>
    <t>(0.4807548233898*v0)+((-0.7655070924476*v0)*sin(exp(((((-1.5432977578949*v1)*v2)*pow(v3,-1.0))*pow(v4,-1.0)))))</t>
  </si>
  <si>
    <t>1.1204438465766+(0.9993548154029*v0)+(-1.5892629541558*cos((((0.8+((-0.5*v0)*pow(v2,-2.0)))+((v0*v1)*pow(v2,-2.0)))+(((-1.0*v1)*v3)*pow(v2,-2.0)))))+((-1.004432051102*v1)*v3)</t>
  </si>
  <si>
    <t>((1.3430601665971*v0)*v3)+((-0.0645509723434*v0)*pow(v3,2.0))+((-0.3852778585678*v0)*sin(((1.0+(0.5*v3))+(v2*v3))))+(((0.3976681921142*v0)*pow(v3,2.0))*cos(v2))+(((0.1230440405636*v0)*v1)*cos((v2*v3)))+(((-0.0645509723434*v0)*v2)*v3)+(((-0.2212284640136*v0)*v1)*v3)+((((-0.1584805395654*v0)*v1)*v3)*cos(v2))</t>
  </si>
  <si>
    <t>((1.87475136e-05*pow(v0,2.0))*exp((2.0*v1)))+((4.9064785211259*v0)*asin(pow(v1,-1.2)))+((0.1289184304968*v0)*v2)+((-0.5937504655283*v0)*sin((((2.3557208891082*v0)*pow(v2,-1.0))*asin(pow(v1,-1.0)))))+(((-0.9410230182451*v0)*v2)*pow(v1,-1.2))+(((-1.1690695330838*pow(v0,2.0))*pow(v1,-2.0))*pow(v2,-2.0))</t>
  </si>
  <si>
    <t>0.2117984396927+(-0.0306679716163*v0)+(-0.43377692558*pow(v0,-5.0))+((0.731651505403*pow(v0,-1.0))*pow(((((1.0+(-0.5023935166663*pow(v1,-1.0)))+(-0.4084353412584*v2))+((-0.39054645627*v1)*sin((1.0+log(asin(pow(v2,-1.0)))))))+asin((0.9524664954313*pow(v0,-0.5)))),2.0))</t>
  </si>
  <si>
    <t>(1.3152499138772*v0)+((-1.2376088350626*v0)*v1)+(((0.6862281582611*v0)*pow(log(v1),2.0))*sin(((0.5+((1.0*v3)*asin((v2+(-1.0*v3)))))+((-1.0*v2)*asin((v2+(-1.0*v3)))))))</t>
  </si>
  <si>
    <t>(0.1740589237486*v0)+((0.04584244507*v0)*pow((v2+(-1.0*v3)),2.0))+((0.6742503095952*v0)*v3)+((0.6752429334438*v0)*v2)+((0.0615914158382*v0)*pow((-1.0+v1),2.0))+((-4.4939877221381*v0)*pow((v2+v3),-2.0))+(((1.7285134786037*v0)*v1)*pow((v2+v3),-1.0))</t>
  </si>
  <si>
    <t>4.2542757939173+(6.8961236341792*log((v3*pow((((-2.0*pow((v2+v3),-1.0))+(v0*pow((v2+v3),-1.0)))+(v3*pow((v2+v3),-1.0))),-1.0))))+(-4.0195524586305*v3)+((12.9813039798556*v1)*v2)+((-37.7906173984993*pow(v3,-1.0))*pow((((1.0*pow((v1*v2),-1.0))+(1.0*pow((v1+v2),-1.0)))+(v0*pow((v1*v2),-1.0))),-1.0))+(((0.0131713573111*v1)*v3)*pow(((1.0*pow((v2+exp(v3)),-1.0))+(v0*pow((v2+(exp(v2)*exp(v3))),-1.0))),-1.0))+(((-1.896517818585*v1)*v2)*pow(((1.0*pow((2.0+v0),-1.0))+(v0*pow((v2+exp(v3)),-1.0))),-1.0))+(((-1.7275023967155*v1)*v2)*v3)</t>
  </si>
  <si>
    <t>13.1726718327267+(3.5237904680501*v3)+(0.2973685685407*v5)+(3.6417698866029*v0)+(-11.7621752533963*pow(v0,0.5))+(-0.5424907511424*pow(v1,2.0))+(-9.6392115979289*log((v4*pow(v3,2.0))))+((1.0849815022848*v0)*pow(v1,2.0))+((2.7151938359445*v5)*log(v3))+((1.7155995644387*v3)*v4)+(((0.064194378274*v0)*v3)*v4)+(((0.8026264773744*v1)*v3)*v4)+(((-0.0385431039398*v2)*v3)*v4)+((((-0.0362435037782*v1)*v2)*v3)*v4)+((((-0.1191906727113*v0)*v1)*v3)*v4)</t>
  </si>
  <si>
    <t>0.2612210220835+(0.1345686169789*v1)+((0.0601167359993*pow(v0,2.0))*cos((((1.0+((v1*cos(v0))*exp((v0*log(v1)))))+((((-5.436563656918*v1)*v2)*exp(v0))*exp(((-1.0*v0)*v1))))+exp(v0))))+((-0.1483716452438*pow(v0,2.0))*cos((((1.0+((v1*cos(v0))*exp((v0*log(v1)))))+((((-2.718281828459*v1)*v2)*exp(v0))*exp(((-1.0*v0)*v1))))+exp(v0))))+(((0.1483716452438*v0)*v2)*cos((((1.0+((v1*cos(v0))*exp((v0*log(v1)))))+((((-2.718281828459*v1)*v2)*exp(v0))*exp(((-1.0*v0)*v1))))+exp(v0))))</t>
  </si>
  <si>
    <t>((0.9999119775246*v2)*v3)+((-0.0793821966118*v0)*v1)+((((0.0020308527615*v3)*pow(v0,2.0))*pow(v2,-1.0))*pow((v1*pow(v3,-1.0)),2.0))</t>
  </si>
  <si>
    <t>1.7885630680875+(2.8224968333555*sin(((-1.0*pow(v2,-1.0))+(((0.1783940750838*v0)*pow(v2,-1.0))*log(((v1*v2)*pow(v3,-1.0)))))))+(1.5026527225995*pow(v2,-1.0))+(-0.7313628252434*v2)+(-0.0490013317829*v1)+((0.5427039223132*v2)*pow(v0,0.5))</t>
  </si>
  <si>
    <t>(0.5029777194502*v0)+(((((1.1375864339004*v0)*pow(v1,2.42))*pow(v2,2.42))*pow(v3,-2.42))*pow(v4,-2.42))</t>
  </si>
  <si>
    <t>(((((0.0530516476973*pow(v0,2.0))*pow(v1,2.0))*pow(v2,-1.0))*pow(v3,-2.4))*pow(pow(v3,-1.0),0.6))</t>
  </si>
  <si>
    <t>(0.0629535381301*v0)+(0.9501976318375*v3)+((0.365752001452*v3)*asin((v2*pow(v1,-1.0))))+((-0.5526207899222*v0)*asin((pow(v1,-1.0)*pow(v2,0.5))))</t>
  </si>
  <si>
    <t>((1.2535439435518*v0)*v1)+(((-0.435252988562*v0)*pow(v1,0.5))*pow((v1*v2),-0.2))+(((-0.0111242877217*v0)*v3)*v4)+((((0.0023121880954*v4)*pow(v2,-2.0))*pow(v3,2.0))*pow((v0+v4),2.0))+(((((-0.1818593029594*v0)*v3)*v4)*pow(v1,0.5))*pow(v2,-1.0))</t>
  </si>
  <si>
    <t>0.425733192464+(0.058616682332*v0)+(-3.8611886977879*pow((((v1*pow(v0,-0.8))+(v2*pow(v1,-1.0)))+(v3*pow(v1,-1.0))),-1.0))+((13.8314359507505*v0)*pow(((v2+v3)+(v1*pow(v0,-0.64))),-1.0))+((0.8796935090753*pow(v0,2.0))*pow(v1,-0.9))+((-0.1691443103846*v0)*pow(v1,-1.0))</t>
  </si>
  <si>
    <t>(((((7.2310927998343*v1)*pow(v0,-1.0))*pow((1.0+v3),-5.0))*cos(v2))*sin(v2))</t>
  </si>
  <si>
    <t>0.0009570240418+((((1.5763949236517*v0)*v1)*v2)*v3)+((((-0.3740882236269*v2)*v3)*acos((v0*v1)))*sin((v0*v1)))</t>
  </si>
  <si>
    <t>2.471761901749+(-1.4884066256843*cos((((((0.5472393245141*v0)*v1)*pow(v3,-1.0))*pow(v4,-1.0))*pow(v5,-2.0))))+((-0.0799719782008*v6)*pow(v2,-1.0))+(((((((0.6027613661105*v0)*v1)*v6)*pow(v2,-1.0))*pow(v3,-1.0))*pow(v4,-1.0))*pow(v5,-2.0))</t>
  </si>
  <si>
    <t>0.0057620592502+(((-0.0042544419941*pow(v0,3.6))*pow(v4,-2.0))*pow(log(v2),2.0))+(((-0.0469978352197*pow(v0,2.0))*pow(v4,-2.0))*asin((0.3639102896619+(0.1158362428834*v1))))+((((1.0652211450515*v3)*pow(v0,2.0))*pow(v4,-2.0))*asin((0.0926689943067*v1)))</t>
  </si>
  <si>
    <t>0.0070021189263+(-0.0072503226694*v0)+((((1.0003208149659*v0)*v2)*v3)*pow(v1,-2.0))</t>
  </si>
  <si>
    <t>(((5.348450420212*pow(v4,-1.8))*pow(v5,-2.0))*pow(((v0*pow(v2,-1.0))+(v6*pow(v2,-1.0))),-2.0))+(((0.9845666459907*pow((v0*pow(v2,-1.0)),-2.0))*pow((((-1.0*v0)+(-0.3333333333333*v3))+((0.6666666666667*v1)*v3)),2.0))*asin(((0.7972980076065*pow(v4,-1.8))*pow(v5,-2.0))))</t>
  </si>
  <si>
    <t>(((6.4992199911019*v0)*v1)*pow(v3,-1.0))+((((0.9957426353519*v0)*v1)*pow(v3,-1.0))*pow(sin(v2),2.0))+((((-2.0704770535241*v0)*v1)*v2)*pow(v3,-1.0))+((((-6.2215144918567*v0)*v1)*pow(v3,-1.0))*pow((0.1273239544735+cos((v4+(-1.0*v5)))),2.0))+(((((4.1409541070483*v0)*v1)*v2)*pow(v3,-1.0))*pow((0.45+cos((v4+(-1.0*v5)))),2.0))</t>
  </si>
  <si>
    <t>0.0001047297729+(((0.0873184232554*v0)*pow(v1,-1.0))*pow(v2,-1.0))+((((0.2884409310109*v0)*pow(v1,-1.0))*pow(v2,-1.0))*pow((v4*pow(v3,-1.0)),-2.0))</t>
  </si>
  <si>
    <t>((((((0.1062720917936*pow(v1,2.0))*pow(v2,2.0))*pow(v3,2.0))*pow(v4,2.0))*pow(v5,-2.0))*pow(sin(((-1.0*v0)+((0.5*v0)*v6))),2.0))+(((((((0.2714710613002*pow(v0,2.0))*pow(v1,2.0))*pow(v2,2.0))*pow(v3,2.0))*pow(v4,2.0))*pow(v5,-2.0))*pow((-0.5235987755983+v6),-2.0))</t>
  </si>
  <si>
    <t>(-0.1085251027514*v0)+(((0.033820172395*v0)*v3)*v5)+((((1.3533924540369*v0)*pow(v1,-1.0))*pow(v2,-1.0))*pow(v4,-1.0))+((((0.0261994300076*v0)*v3)*v5)*pow(v4,-1.0))+((((-0.0041194442489*v0)*v2)*v3)*v5)+((((-0.0121314329093*v0)*v3)*v5)*log(v1))</t>
  </si>
  <si>
    <t>((0.0795774715459*v0)*pow(v1,-2.0))</t>
  </si>
  <si>
    <t>(-1.0*sin(v1))+(-0.05*pow(v0,2.0))</t>
  </si>
  <si>
    <t>((-0.5*v0)*pow((-1.0+(-1.0*v1)),-1.0))</t>
  </si>
  <si>
    <t>(((6.2831853071797*v0)*pow(v1,-1.0))*pow(v2,-1.0))</t>
  </si>
  <si>
    <t>(1.0*pow(((v0*v1)*pow(v2,-1.0)),0.5))</t>
  </si>
  <si>
    <t>(((-1.0000000000001*v1)*v2)*pow((1.0+(-1.0*v0)),-1.0))</t>
  </si>
  <si>
    <t>(1.0*v2)+(((0.9999999999999*v1)*v2)*pow((v0+(-1.0*v1)),-1.0))</t>
  </si>
  <si>
    <t>((((12.5663706143592*v0)*v2)*pow(v1,2.0))*pow(v3,-1.0))</t>
  </si>
  <si>
    <t>v0+((v0*v1)*cos(v2))</t>
  </si>
  <si>
    <t>(1.0*v0)+((-1.0*pow(v0,-1.0))*cos(v1))</t>
  </si>
  <si>
    <t>((1.0*v0)*v3)+((1.0*v2)*v5)+((1.0000000000001*v1)*v4)</t>
  </si>
  <si>
    <t>(2.0*v1)+(-1.0*pow(v1,2.0))+((-1.0*v0)*v1)</t>
  </si>
  <si>
    <t>(((((-0.1250000000001*v0)*pow(v1,4.0))*pow(v2,-2.0))*pow(v3,-2.0))*pow(v4,-2.0))</t>
  </si>
  <si>
    <t>(((0.125*v0)*pow(v3,2.0))*pow((v1+v2),2.0))+(((0.125*v0)*pow(v3,2.0))*pow((v2+(-1.0*v1)),2.0))</t>
  </si>
  <si>
    <t>((((0.0530516476973*pow(v0,2.0))*pow(v1,2.0))*pow(v2,-1.0))*pow(v3,-3.0))</t>
  </si>
  <si>
    <t>(((0.0477464829274*pow(v0,2.0))*pow(v1,-1.0))*pow(v2,-1.0))</t>
  </si>
  <si>
    <t>(2.0*v0)+((-2.0*v0)*sin((-4.7123889803847+(v1*v2))))</t>
  </si>
  <si>
    <t>(-0.5*sin((v0+(-1.0*v1))))+(-1.0000000000001*sin(v1))</t>
  </si>
  <si>
    <t>(((0.0795774715459*v1)*pow(v3,-2.0))*pow((v2*pow(v0,-1.0)),-1.0))</t>
  </si>
  <si>
    <t>((1.0000000000001*v0)*v1)+((((1.0*v0)*v2)*v3)*sin(v4))</t>
  </si>
  <si>
    <t>(0.1*sin(v0))+((0.9*pow(cos(v1),2.0))*sin(v0))</t>
  </si>
  <si>
    <t>(0.5*sin((v0+(-1.0*v1))))+(-0.999999999992*sin(v0))</t>
  </si>
  <si>
    <t>((0.5*v0)*pow(v3,2.0))+((0.5000000000003*v0)*pow((v1+v2),2.0))+(((-1.0*v0)*v1)*v2)</t>
  </si>
  <si>
    <t>(((0.1591549430919*pow(v1,-2.0))*pow(v2,1.0))*pow((pow(v0,-1.0)*pow(v3,-1.0)),1.0))</t>
  </si>
  <si>
    <t>(1.0*v0)+(1.0*v1)+(((2.0*pow(v0,0.5))*pow(v1,0.5))*cos(v2))</t>
  </si>
  <si>
    <t>((((0.3183098861838*v3)*pow(v0,-1.0))*pow(v1,-2.0))*pow(v2,2.0))</t>
  </si>
  <si>
    <t>((((0.3333333333332*v0)*v2)*pow(v1,2.0))*pow((v3*v4),-1.0))</t>
  </si>
  <si>
    <t>(((((0.2387324146378*v1)*pow(v0,-1.0))*pow(v3,-3.0))*cos(v2))*sin(v2))</t>
  </si>
  <si>
    <t>19.9676476922136+(0.0060990164974*v1)+(-0.9981052168137*v0)+((-2.1968878782076*v1)*pow((0.9+v0),-1.0))</t>
  </si>
  <si>
    <t>(10.0000000000001*v1)+(3.3333333333331*v0)+(-3.3333333333333*pow(v0,3.0))</t>
  </si>
  <si>
    <t>0.1495542864318+(0.1560598041505*v1)+(9.66634675e-05*pow(v1,10.0))+(-0.0776210444928*pow((v1+pow(v0,-1.0)),-1.0))+(-0.2808106369*pow((-0.5+v1),-1.0))+(-0.1845914738675*pow(v1,-2.0))</t>
  </si>
  <si>
    <t>2e-13+((0.5000000000002*pow(v0,-1.0))*pow(v2,2.0))+(((0.5*v0)*pow(v1,2.0))*pow(v4,2.0))+(((((0.5*v0)*v5)*pow(v1,2.0))*pow(v3,-1.0))*pow(v4,3.0))</t>
  </si>
  <si>
    <t>0.0883328928854+(0.2114902270321*cos((v1*pow(v0,-1.0))))+(-0.1557302792468*log(v0))+((0.0074953880036*pow(v0,-1.0))*exp(v1))</t>
  </si>
  <si>
    <t>(((-0.039788735773*v1)*pow(v0,-1.0))*pow((pow(v2,-1.0)*pow(v5,2.0)),2.0))+(((-0.039788735773*pow(v0,-1.0))*pow(v3,2.0))*pow(v5,2.0))+((((0.0795774715459*v4)*pow(v0,-1.0))*pow(v3,2.0))*pow(v5,2.0))</t>
  </si>
  <si>
    <t>((((((0.0057091707376*pow(v0,-4.0))*pow(v2,2.0))*pow(v3,2.0))*pow(v4,-1.0))*pow(v5,-2.0))*pow(((v0+v1)+log(pow(v4,-1.0))),4.0))+((((((0.0741955269686*pow(v0,-4.0))*pow(v4,-1.0))*pow(v5,-2.0))*pow((((v1+(pow(v0,-1.0)*pow(v4,-1.0)))+(pow(v1,-1.0)*pow(((v0*pow(v6,-1.0))+(v1*pow(v6,-1.0))),0.5)))+log(pow(v4,-1.0))),4.0))*pow(log(v2),2.0))*log(pow(v3,2.0)))</t>
  </si>
  <si>
    <t>9.9916391547609+(0.0069183243302*v1)+((-2.2079086568409*v1)*pow((0.9+v0),-1.0))</t>
  </si>
  <si>
    <t>0.0063856484829+((((0.8627758772836*v0)*v1)*v4)*pow(v3,-1.0))+((((-1.0070349084363*v0)*v4)*pow(((v2*pow(v1,-1.0))+((pow(v1,-1.0)*pow(v3,-1.0))*pow(log((v2+(0.5*pow(v2,-1.0)))),2.0))),-1.0))*cos(((-0.5*pow((v3+pow(v3,-1.0)),-1.0))+((0.4*v2)*pow((0.5+v3),-1.0)))))</t>
  </si>
  <si>
    <t>((0.5*v0)*v3)+((1.0*v0)*cos((v1*v2)))+(((0.5*v0)*v3)*cos(((2.0*v1)*v2)))</t>
  </si>
  <si>
    <t>((0.9851985118459*v0)*v1)+((-0.1504425897587*v0)*pow(log((1.0+v3)),2.0))+((-0.0992666768385*v0)*v2)+(((1.0856902178282*v0)*pow(v2,2.0))*pow((v1+v2),-1.0))+(((1.201339297785*v0)*pow(v3,2.0))*pow(((v1+v2)+v3),-1.0))</t>
  </si>
  <si>
    <t>(-0.070391240809*v0)+((((((0.4661370375567*v0)*v3)*v5)*pow(v1,-1.0))*pow(v2,-1.0))*pow(v4,-1.0))+((((((-0.0604833976919*v0)*pow(v1,-2.0))*pow(v2,-2.0))*pow(v3,2.0))*pow(v4,-2.0))*pow(v5,2.0))</t>
  </si>
  <si>
    <t>(4.8477758145527*pow(((((0.5*pow(v0,2.0))*pow(v1,2.0))*pow(v3,-2.0))+(((pow(v0,2.0)*pow(v1,2.0))*pow(v3,-2.0))*cos(pow(v2,-1.0)))),0.5))+((((6.3620697549869*v0)*v1)*pow(v3,-1.0))*cos((v4+(-1.0*v5))))+((((1.408494946144*v0)*v1)*pow(v3,-1.0))*cos(((2.0*v4)+(-2.0*v5))))+(((((4.4438172895848*v0)*v1)*pow(v3,-1.0))*cos((3.1415926535898*pow(v2,-1.0))))*cos((v4+(-1.0*v5))))+(((((1.408494946144*v0)*v1)*pow(v2,2.0))*pow(v3,-1.0))*cos(((2.0*v4)+(-2.0*v5))))+(((((-3.2212268311216*v0)*v1)*v2)*pow(v3,-1.0))*cos(((2.0*v4)+(-2.0*v5))))</t>
  </si>
  <si>
    <t>1975.4361451208115+(1979.4367715035105*v0)+(-1.0000070373705*pow(v0,2.0))+(-1975.4360817775398*pow((pow((1.0+v0),2.0)+((0.0010132118364*v0)*v1)),0.5))</t>
  </si>
  <si>
    <t>(((((0.0489261969107*pow(v0,2.0))*pow(v2,2.0))*pow(v3,2.0))*pow(v4,2.0))*pow((v5*pow(v1,-1.0)),-2.0))+((((((0.7516314231654*pow(v2,2.0))*pow(v3,2.0))*pow(v4,2.0))*pow(v5,-2.0))*pow((v0*pow(v6,-1.0)),2.0))*pow((((0.3183098861838*v1)+(v1*pow(v6,-1.0)))+((-0.0911890652781*v1)*v6)),2.0))</t>
  </si>
  <si>
    <t>(((0.0390891905016*v0)*v1)*v2)+(((((((23.4251642736595*v0)*v1)*v2)*v4)*v6)*v8)*pow(((v3*v5)*v7),-2.0))</t>
  </si>
  <si>
    <t>(1.0051336002336*v0)+((-1.021778449554*v1)*v3)+(((0.4064418334958*v0)*pow(v1,2.0))*pow(v2,-2.0))</t>
  </si>
  <si>
    <t>((0.4808216471312*v0)*pow(v1,2.0))+((1.0001215845492*v0)*pow(v2,2.0))+(((0.1223070387875*v0)*pow(v1,3.0))*pow((v2+(-1.1*v1)),-1.0))</t>
  </si>
  <si>
    <t>0.3350664528115+(0.1726248132903*v0)+(0.2655059242677*cos((v2*pow(v1,-1.0))))+(0.352739095902*cos(((pow(v1,-1.0)*sin((pow(v0,-2.0)*pow(v1,-2.0))))+((pow(v1,-1.0)*pow((v0+v2),2.0))*sin(pow(v0,-2.0))))))+(((0.7017713735936*cos(((pow(v0,-2.0)*pow((v0+v2),2.0))*pow(sin((2.5+v1)),-1.0))))*log(v1))*sin((v2*pow(v0,-1.0))))</t>
  </si>
  <si>
    <t>((2.9393139153223*pow(v2,-2.0))*log((v0*v1)))</t>
  </si>
  <si>
    <t>(-0.075*pow(v1,2.0))+(((1.0*v0)*v1)*pow((1.0+v0),-1.0))</t>
  </si>
  <si>
    <t>0.0052915242904+((((0.1532250076686*v3)*pow(v0,2.0))*pow(v4,-2.0))*pow(log((1.1+v1)),2.0))+((((-0.0103253794754*v2)*pow(v0,3.0))*pow(v4,-2.0))*log((1.2+sin(log(v1)))))</t>
  </si>
  <si>
    <t>(1.2676978682592*v0)+((-0.2882037810602*v0)*v1)+((((5.4201097347116*v0)*v3)*pow((v1+(v2*v3)),-1.0))*log(v3))+(((((-0.1273622355971*v0)*v2)*v3)*pow((v3+(v2*pow(v1,-1.0))),1.0))*log(v3))</t>
  </si>
  <si>
    <t>0.0112776666267+(0.9992722081387*v0)+(((0.5220773395785*v0)*sin(log((v0*pow(v2,-1.0)))))*sin(log((v1*pow(v0,-1.0)))))</t>
  </si>
  <si>
    <t>(-65.6921964137149*pow(((v0*pow((1.0+v4),-1.0))+(v4*pow(v1,-1.0))),-1.0))+((3.3420182372247*v2)*pow(((v0*pow((1.0+(2.0*v4)),-1.0))+(v4*pow(v1,-1.0))),-1.0))+((1.0003897149993*v3)*v5)+((0.9907657811522*v0)*pow(v1,2.0))+(((8.0341655127728*v3)*v4)*pow((((0.5*pow(v1,-1.0))+(v0*pow((1.0+(0.45*v4)),-1.0)))+(v4*pow(v1,-1.0))),-1.0))+(((71.7314163753589*pow((1.0+(v3*v4)),-1.0))*pow(((v0*pow((1.0+v4),-1.0))+(v4*pow(v1,-1.0))),-1.0))*log(pow((1.0+(v3*v4)),2.0)))+(((-1.5332574935631*v2)*pow(((v0*pow((1.0+v4),-1.0))+(v4*pow(v1,-1.0))),-1.0))*log(pow((1.0+(v3*v4)),2.0)))</t>
  </si>
  <si>
    <t>((1.0055125250094*v0)*v1)+((((0.341273117131*v0)*pow(v1,2.0))*pow(v2,-2.5))*exp(v1))</t>
  </si>
  <si>
    <t>0.3003128377068+(-0.1620500049275*log(v0))</t>
  </si>
  <si>
    <t>(1.0101843390729*v2)+(((-1.2309309682667*v1)*v2)*pow((v1+(-1.35*v0)),-1.0))</t>
  </si>
  <si>
    <t>0.0639111732891+((((0.7996411568523*v0)*v1)*pow(v3,2.0))*pow((((0.6666666666667+(0.4444444444445*pow(v2,-2.0)))+((0.6666666666667*v5)*pow(log(v2),-1.0)))+((-1.0*v4)*pow(log(v2),-1.0))),-2.0))+(((((((0.8698925579945*v0)*v1)*v2)*pow(v3,2.0))*pow(v4,6.0))*pow((-0.5+v5),-2.0))*pow(((-0.5+v5)+(-0.55*v2)),-2.0))</t>
  </si>
  <si>
    <t>(1.1110726254351*v0)+((-1.0746269313881*v0)*v1)</t>
  </si>
  <si>
    <t>((1.6612581507428*v0)*pow(v1,-2.0))+((0.4803548140811*v0)*pow(v1,-1.0))+((0.0075869558525*v0)*exp(v1))+(((0.0376822832508*v0)*pow(2.0,v1))*sin((4.7123889803847+(v1*v2))))+((((-1.956966655085*v0)*pow(v1,-5.0))*pow((1.0+log(v1)),4.0))*sin((-4.7123889803847+(v1*v2))))</t>
  </si>
  <si>
    <t>(6.2831853071792*pow(((pow(v0,3.0)*pow(v1,-1.0))*pow((v2+v3),-1.0)),0.5))</t>
  </si>
  <si>
    <t>0.0010527641805+(((((0.171087612465*v1)*v5)*pow(v0,-1.0))*pow(v2,-5.0))*pow((v3+v4),1.0))</t>
  </si>
  <si>
    <t>(1.0075777895033*v2)</t>
  </si>
  <si>
    <t>((-0.9999999999999*v0)*v1)+(((2.0*v0)*v1)*pow((-1.0*sin((0.5*v2))),2.0))</t>
  </si>
  <si>
    <t>3.631012330952+(-2.8468367634742*cos((19333.689074435537+(((((((1.2*v0)*v1)*v6)*pow(v3,-1.0))*pow(v4,-1.0))*pow(v5,-2.0))*pow(((1.0+(0.254647908947*v6))+(0.3183098861838*v2)),-2.0)))))</t>
  </si>
  <si>
    <t>0.0007049572384+(((0.0721524231548*v0)*pow(v4,-1.0))*pow((v2+((-1.0*v1)*cos(v3))),-1.0))</t>
  </si>
  <si>
    <t>(((-0.9976711130318*v0)*v2)*cos(v1))+((((-0.0064791148983*pow(v2,-2.0))*pow((v3+pow(v0,2.0)),2.0))*cos(v1))*log(v4))+(((((0.0960416764116*pow(v2,-2.0))*pow(v3,2.0))*pow((v0+v3),2.0))*cos(v1))*log(v4))+(((((-0.0047436875482*v4)*pow(v2,-2.0))*pow(v3,5.0))*cos(v1))*sin(pow((-0.55+v0),-1.0)))</t>
  </si>
  <si>
    <t>(((((-0.0795774715459*v0)*v4)*pow(v1,-1.0))*pow(v2,-1.0))*pow((v3+(-1.0*v4)),-1.0))</t>
  </si>
  <si>
    <t>(((((-1.0*v0)*v1)*pow(v2,-1.0))*pow((v3+v4),-1.0))*pow((v4+(-1.0*v3)),-1.0))</t>
  </si>
  <si>
    <t>(((v0*v2)*v3)*pow(v1,-2.0))</t>
  </si>
  <si>
    <t>((((1.0*v0)*v1)*v2)*pow((pow(v2,2.0)+(-1.0*pow(v1,2.0))),-0.5))</t>
  </si>
  <si>
    <t>0.0066490383656+(((0.5219724001258*v2)*v3)*pow((v0*v1),2.0))+((((0.9404454343733*v0)*v1)*v2)*v3)</t>
  </si>
  <si>
    <t>(0.499837767427*v2)+(0.499837767427*v3)</t>
  </si>
  <si>
    <t>((1.0*v0)*v3)+((1.0*v1)*v4)+((0.9999999999999*v2)*v5)</t>
  </si>
  <si>
    <t>19.9755292437157+(0.0061523140625*v1)+(-0.9986153859208*v0)+((-2.1978462524662*v1)*pow((0.9+v0),-1.0))</t>
  </si>
  <si>
    <t>0.2181915461718+(0.0006964991664*pow((0.5+cos((v0*pow(v1,-1.0)))),20.0))+(-3.6072689772062*sin((0.0362389345528*pow(v1,-3.0))))+(-0.4892993365007*pow(v1,-2.0))+(-0.1956199148472*sin(pow(sin((0.5*pow(v1,-1.0))),-1.0)))</t>
  </si>
  <si>
    <t>5.2064284828694+(-1.2841763908755*cos((0.7311358672523*pow(pow((v3+(-1.0*v2)),2.0),0.5))))+(-3.8533729281315*cos((0.5+(0.25*pow(pow((v1+(-1.0*v0)),2.0),0.5)))))</t>
  </si>
  <si>
    <t>(((0.25*v0)*pow(v2,2.0))*pow(v3,2.0))+(((0.25*pow(v0,1.0))*pow(v1,2.0))*pow(v3,2.0))</t>
  </si>
  <si>
    <t>0.0065655726791+((1.0011806319015*v0)*pow(v1,-1.0))+(((-5.4278829703272*v1)*pow(v0,-1.0))*pow(v2,-2.0))</t>
  </si>
  <si>
    <t>0.0083148662953+(0.9956674376969*v3)+(((0.6208220855546*v3)*pow(v1,-2.0))*pow(v2,2.0))+(((-1.1344194470264*v0)*v2)*pow(v1,-2.0))</t>
  </si>
  <si>
    <t>(1.0*v0)+((-1.0*pow(v0,-1.0))*sin((-4.7123889803847+v1)))</t>
  </si>
  <si>
    <t>(-0.25543087075*v0)+((-1.2768567421208*v0)*sin((-0.4583318263432+((((0.4583318263432*pow(v1,2.0))*pow(v2,2.0))*pow(v3,-2.0))*pow(v4,-2.0)))))+(((((1.970525979781*v0)*pow(v1,2.0))*pow(v2,2.0))*pow(v3,-2.0))*pow(v4,-2.0))</t>
  </si>
  <si>
    <t>(0.9826370447395*v0)+(((-0.1344839134004*v0)*v1)*pow((v1+(-0.9*v2)),-1.0))</t>
  </si>
  <si>
    <t>0.5648505675847+(-0.1788222094161*v0)+(-0.1679670753042*sin(v0))</t>
  </si>
  <si>
    <t>(((1.0000000000001*v1)*v2)*pow((-1.0+v0),-1.0))</t>
  </si>
  <si>
    <t>(((-0.1155446614919*v1)*pow(v0,-1.0))*pow(v3,-3.0))+((((0.7550055066934*v1)*pow(v0,-1.0))*pow(v3,-3.0))*log(pow(sin((0.8414709848079+pow(log(v2),2.0))),-1.0)))</t>
  </si>
  <si>
    <t>((((0.3333333333333*v0)*v2)*pow((v1*pow(v4,-1.0)),2.0))*pow((v3*pow(v4,-1.0)),-1.0))</t>
  </si>
  <si>
    <t>(1.0*pow(v1,2.0))+(3.0000000000001*v0)+(-1.0*pow(log((exp(v0)*exp(v1))),2.0))</t>
  </si>
  <si>
    <t>(3.3333333333333*v0)+(9.9999999999999*v1)+(-3.3333333333333*pow(v0,3.0))</t>
  </si>
  <si>
    <t>1.9491526607004+(0.1283560024721*log(v0))+(-1.9776507899557*cos((0.5641895835478*pow((((((v0*v3)*v5)*pow(v1,-1.0))*pow(v2,-1.0))*pow(v4,-1.0)),0.5))))+((-0.2567120049442*cos((((((2.0*v3)*v5)*pow(v1,-1.0))*pow(v2,-1.0))*pow(v4,-1.0))))*log(v0))</t>
  </si>
  <si>
    <t>(((-0.0320642590066*pow((v0*v1),2.0))*pow((v2*v4),2.0))*pow((v5*pow(v3,-1.0)),-2.0))+((((0.025379536693*pow((v0*v1),2.0))*pow((v2*v4),2.0))*pow((v5*pow(v3,-1.0)),-2.0))*log(pow(v6,2.0)))+(((((((0.194371432118*pow(v0,2.0))*pow(v1,2.0))*pow(v2,2.0))*pow(v3,2.0))*pow(v4,2.0))*pow(v5,-2.0))*pow(log((1.0+v6)),-5.0))</t>
  </si>
  <si>
    <t>(-0.0499173253681*v0)+((1.1130458202386*v0)*pow((2.0+(pow((v1*v2),-2.0)*pow((v3*v4),2.0))),-1.0))</t>
  </si>
  <si>
    <t>((0.9968333248823*v2)*v3)+((-0.0726765945373*v0)*v1)</t>
  </si>
  <si>
    <t>(1.0*v0)+((1.0*v0)*v1)+(((-2.0*v0)*v1)*pow(sin((0.5*v2)),2.0))</t>
  </si>
  <si>
    <t>((((-1.0*v0)*v1)*v2)*log((v3*pow(v4,-1.0))))</t>
  </si>
  <si>
    <t>8.0811975097792+(1.4195119770809*pow(v0,2.0))+(-8.0702268526452*v0)+((3.0050564516721*v2)*pow(v0,-1.0))+(((0.7371875265633*pow(v1,2.0))*pow(v4,2.0))*pow(log((1.2+v0)),2.0))+((((-0.1244035747199*v5)*pow(v3,-1.0))*pow((v1*v4),2.0))*pow((v0+(-1.0*v4)),2.0))+(((((0.1250236711138*v5)*pow(v1,2.0))*pow(v3,-1.0))*pow(v4,2.0))*pow((v0+v4),2.0))</t>
  </si>
  <si>
    <t>0.0268720817107+(0.2386000720197*v3)+((0.7103827943476*v0)*v2)+((0.7106871141665*v0)*v1)+((-0.2967704191851*v3)*pow(v0,0.5))+(((1.1992645736642*v0)*pow(v3,2.0))*pow(((v1+v2)+v3),-1.0))+(((1.177443904749*pow((v1+(-1.0*v2)),2.0))*pow(((v1+v2)+v3),-1.0))*log(v0))</t>
  </si>
  <si>
    <t>((((-0.0537046248029*pow(v2,2.0))*pow(v3,2.0))*log(v1))*sin(pow((v5+(pow(v0,2.0)*pow(v1,-2.0))),-2.0)))+((((((0.1583099988516*pow(v0,-2.0))*pow(v2,2.0))*pow(v3,2.0))*pow((-1.0+(1.4142135623731*v4)),-1.0))*pow((-0.6+v1),2.0))*sin(pow(v5,-2.0)))</t>
  </si>
  <si>
    <t>9.993446814231+(0.0067300406569*v1)+((-2.2057401825708*v1)*pow((0.9+v0),-1.0))</t>
  </si>
  <si>
    <t>(((5.8755914619235*v0)*v1)*pow(v3,-1.0))+((((6.3567617273295*v0)*v1)*pow(v3,-1.0))*cos((v4+(-1.0*v5))))+((((-0.9570237063409*v0)*v1)*pow(v2,-2.0))*pow(v3,-1.0))+((((-0.586815508329*v0)*v1)*pow(v3,-1.0))*cos(((2.0*v4)+(-2.0*v5))))+(((((4.3592579168907*v0)*v1)*pow(v3,-1.0))*cos((3.1415926535898*pow(v2,-1.0))))*cos((v4+(-1.0*v5))))+(((((1.2459694043711*v0)*v1)*pow(v3,-1.0))*pow((-1.0+v2),2.0))*cos(((2.0*v4)+(-2.0*v5))))</t>
  </si>
  <si>
    <t>0.1312999319497+(0.957847982021*v0)+(-0.0936556731506*v3)+((-0.0627124814842*v0)*pow(v1,2.0))+(((((-3.4771910843229*v0)*v3)*pow((v1+v2),-1.0))*log(v3))*sin(((2.2+v2)+v3)))</t>
  </si>
  <si>
    <t>(4.0*v0)+(-1.0*v1)+(-1.0*pow(v0,2.0))+((1.0*v1)*pow((1.0+v0),-1.0))</t>
  </si>
  <si>
    <t>(1.0030405483494*v0)+((-1.0030405483494*v1)*v3)+((((0.3247528744872*v0)*pow(v1,2.0))*pow(v2,-2.0))*pow(((v2*v3)*pow(v0,-1.0)),-0.5))</t>
  </si>
  <si>
    <t>((1.0050694252832*v0)*v1)+(((3.4011581602007*v0)*pow(v1,3.5))*pow((1.0+v2),-3.0))</t>
  </si>
  <si>
    <t>(0.9825160589695*v0)+(((-0.1350205259491*v0)*v1)*pow((v1+(-0.9*v2)),-1.0))</t>
  </si>
  <si>
    <t>((((20.8986260276255*v1)*v2)*pow(pow((v3+v5),2.0),-1.0))*pow((((((v4*v6)*v8)*pow(v0,2.0))*pow(v7,-2.0))*pow((v3+v5),-1.0)),0.5))</t>
  </si>
  <si>
    <t>(((0.594197552889*v0)*v1)*sin((-1.0+v2)))+(((-0.5941975528891*v0)*v1)*sin((1.0+v2)))</t>
  </si>
  <si>
    <t>(((((-0.1986130590928*v0)*v1)*v4)*pow((1.0+log(v2)),-1.0))*log((v3*pow(v2,-1.0))))+(((((-0.401318459241*v0)*v1)*v4)*log((v3*pow(v2,-1.0))))*sin((0.7071067811865*pow(v3,-1.0))))+((((((-0.8843677392213*v0)*v1)*v4)*pow(v3,-0.5))*log((v3*pow(v2,-1.0))))*sin(pow((0.5+v2),-1.0)))</t>
  </si>
  <si>
    <t>(((-0.0070802032992*v2)*pow(v0,3.0))*pow(v4,-2.0))+((((0.1005869116413*v1)*v3)*pow(v0,2.0))*pow(v4,-2.0))</t>
  </si>
  <si>
    <t>0.1286199719915+(0.3427129251424*cos(v0))+(3.4014352007501*cos((1.0+v1)))+(-0.0011978578441*exp(v0))+((-0.4799546873063*v0)*cos((0.9486832980505+v1)))</t>
  </si>
  <si>
    <t>0.4782020072234+((0.4721321496438*cos((2.0*pow(v2,-4.0))))*sin(((((pow(v0,2.0)+(2.0*v0))+(4.0*v1))+((v0*v1)*pow(4.0,sin(v2))))+((v1*pow((0.8414709848079+(-1.0*v2)),-2.0))*sin((-2.7699111843078+(3.1415926535898*v2)))))))</t>
  </si>
  <si>
    <t>0.1833946393942+(0.8249034472365*v0)+(-0.1731400469631*pow(v0,2.0))+((0.2115066008616*v0)*v2)+((0.011658997119*pow(0.5,v0))*pow((v1*v2),2.0))+((0.2118609643925*v0)*v1)+((-0.2301941160899*v1)*v2)</t>
  </si>
  <si>
    <t>0.0082991001332+(0.3796114380871*pow(v0,-1.0))+((-0.122479651605*pow(v0,-2.5))*pow((v1+(-1.0*v2)),2.0))</t>
  </si>
  <si>
    <t>1.7608809986215+(1.0825396388145*v1)+(-0.4391759183726*v2)+((0.9855948274549*v0)*pow(v1,2.0))+((1.0017076561526*v3)*v5)+((1.3512515197756*v1)*cos((pow((v3*v4),0.5)+(3.1415926535898*pow((v2+pow(v2,-1.0)),-1.0)))))+(((0.2708117426594*pow(v3,2.0))*pow(v4,2.0))*pow((((v0+pow(v1,-1.0))+(v2*pow(v1,-1.0)))+((v4*pow(v1,-2.0))*pow(v2,-1.0))),-1.0))</t>
  </si>
  <si>
    <t>(6.2831853071797*pow(((pow(v0,3.0)*pow(v1,-1.0))*pow((v2+v3),-1.0)),0.5))</t>
  </si>
  <si>
    <t>(((((0.1707681226369*v1)*v4)*v5)*pow(v0,-1.0))*pow(v2,-5.0))+(((((0.1726741429437*v1)*v3)*v5)*pow(v0,-1.0))*pow(v2,-5.0))</t>
  </si>
  <si>
    <t>(1.0072030798105*v2)+(((0.928649293492*v1)*v2)*pow((v0+(-0.72*v1)),-1.0))</t>
  </si>
  <si>
    <t>0.8874153810925+(-0.1947530604076*v5)+(-0.4226132097499*v1)+(((0.8779213837626*v0)*v1)*pow((v2+v5),-1.0))+(((1.7646242759905*v1)*pow(v2,-2.0))*pow(sin((v5*pow(v4,-1.0))),2.0))+((((0.3221942266048*v0)*v4)*pow(v2,-1.0))*sin((((0.1013211836423*v5)+(pow(v4,-2.0)*pow((v4+v5),2.0)))+log(pow((1.0+v4),-2.0)))))+((((((1.2322225053617*v0)*v1)*v4)*pow(v2,-2.0))*pow(v5,-1.0))*sin((pow(v4,-2.0)*pow(v5,2.0))))</t>
  </si>
  <si>
    <t>0.24283626149+(0.1603947243307*pow(v0,2.0))+(0.141557668302*v2)+(1.0180176902822*v1)+((-0.8600666701171*log(v3))*sin((-0.8414709848079+((2.0*v2)*pow(v3,-1.0)))))+((((-0.1375664936582*v0)*v1)*log(v3))*sin(((v2+(-0.8414709848079*v3))+(v2*pow(v3,-1.0)))))+((((-1.5818342540462*v0)*pow(v2,-1.0))*log(v1))*sin((v2*pow(v3,-1.0))))</t>
  </si>
  <si>
    <t>0.2480394244614+(((12.2708589164195*v0)*v2)*pow((((v1+(pow((-0.5+v3),-1.0)*sin(v1)))+((3.1415926535898*v4)*pow(v3,-1.0)))+((v2*v4)*pow(v3,-1.0))),-1.0))+(((-11.7864221981728*v0)*v1)*pow(((((v2+(v4*pow(v3,-1.0)))+(pow(v3,-1.0)*pow((-1.0+(-1.0*v4)),2.0)))+(pow(v3,-1.0)*sin(v4)))+(((v1*v4)*pow(v2,-1.0))*pow(v3,-1.0))),-1.0))+(((-0.0910989972587*v1)*v4)*pow(v2,-1.0))+((((1.0426604166133*v0)*pow(v4,-1.0))*pow(((v1*pow(v2,-1.0))+(v1*pow(v3,-1.0))),-1.0))*cos(v2))+(((((-0.3988195024199*v0)*v2)*v4)*pow(v1,-1.0))*pow(((-1.0+v1)+(((v2*v4)*pow(v1,-1.0))*pow(v3,-1.0))),-1.0))</t>
  </si>
  <si>
    <t>(((18.3601320990885*pow(v1,-5.0))*pow(v4,-5.0))*pow((v0+((0.6*v0)*sin((0.5*v2)))),4.0))+((((0.0002963560664*pow(v1,-5.0))*pow(v2,2.0))*pow(v4,-5.0))*pow(((v0+((0.5*v0)*v3))+((-1.0*v0)*pow(v3,2.0))),4.0))+((((-1.4646262869388*pow(v1,-5.0))*pow(v2,2.0))*pow(v4,-5.0))*pow((v0+((0.6*v0)*v3)),4.0))+(((((-1.2313011714093*v2)*pow(v1,-5.0))*pow(v4,-5.0))*pow((1.0+v2),2.0))*pow((v0+((0.5*v0)*v3)),4.0))+((((((0.2012328907775*v3)*pow(v0,4.0))*pow(v4,-3.0))*pow((v2+(-1.0*v1)),4.0))*pow(((pow(v4,2.0)+(v0*pow(v3,-1.0)))+(v2*v4)),-1.0))*exp((2.0*pow(v1,-1.0))))+(((((((0.2823737872348*v3)*pow(v0,4.0))*pow(v4,-3.0))*pow(((0.5+v2)+(-1.0*v1)),4.0))*pow(((pow(v4,2.0)+(v0*pow((0.5+(-1.0*v3)),-1.0)))+((v1*v2)*v4)),-1.0))*cos(v3))*exp((2.5*pow(v1,-1.0))))</t>
  </si>
  <si>
    <t>(-0.0750000000001*pow(v1,2.0))+(((1.0*v0)*v1)*pow((1.0+v0),-1.0))</t>
  </si>
  <si>
    <t>0.0036417894165+((0.9811023792611*v0)*v1)+(((-0.1360953803742*v0)*pow(v1,2.0))*pow((v1+(-0.9*v2)),-1.0))</t>
  </si>
  <si>
    <t>((1.0420495626494*v0)*v1)+((-1.8647556009437*v0)*pow(((((pow(v1,-1.0)+(pow(v1,-1.0)*sin(log(v2))))+(pow(v2,-1.0)*pow((v1+v3),-1.0)))+((v3*pow((1.0+v1),-2.0))*sin(pow(v2,-2.0))))+(((v1*pow(v3,-1.0))*pow(v4,-1.0))*pow(((pow(((v1+v3)+v4),-1.0)+(v2*sin(pow(v3,-1.0))))+(v2*sin(pow(v4,-1.0)))),2.0))),-1.0))</t>
  </si>
  <si>
    <t>0.0066969774782+(((0.5200440681288*v2)*v3)*pow((v0*v1),2.0))+((((0.9405732288265*v0)*v1)*v2)*v3)</t>
  </si>
  <si>
    <t>8.4151039244998+(-7.4175065839857*cos(log((1.0+((((((0.5641895835478*v0)*v1)*pow(v3,-1.0))*pow(v4,-1.0))*pow(v5,-2.0))*pow((v6*pow(v2,-1.0)),0.5))))))</t>
  </si>
  <si>
    <t>(((0.079577471546*v0)*pow(v1,-1.0))*pow(v2,-2.0))</t>
  </si>
  <si>
    <t>1e-13+((((12.5663706143592*v0)*v2)*pow(v1,2.0))*pow(v3,-1.0))</t>
  </si>
  <si>
    <t>((((1.0*v0)*v1)*pow(v2,-1.0))*pow(v3,-1.0))+(((((((-1.0*v0)*v4)*v7)*pow(v2,-1.0))*pow(v3,-1.0))*pow(v5,-1.0))*pow((-1.0*pow(v6,2.0)),-1.0))</t>
  </si>
  <si>
    <t>0.2441905679008+(0.1365842156912*v1)+(1.35517919e-05*pow(v1,12.0))+(-0.0689190424792*pow(1.6487212707001,v0))+(-0.1900050411618*pow(v1,-1.0))+((0.1814082593894*v0)*pow(v1,-2.0))</t>
  </si>
  <si>
    <t>(((-1.0006113538234*v0)*v2)*cos(v1))+((((3.1405588173464*v0)*pow(v2,-2.0))*pow(v3,3.0))*cos(v1))+(((((-1.3990375286246*v0)*pow(v2,-2.0))*pow(v3,3.0))*cos(v1))*exp((0.9797359324758*pow((pow(v4,-0.5)+(-0.3183098861838*pow(v4,-1.0))),0.5))))</t>
  </si>
  <si>
    <t>((1.0001081604888*v0)*pow(v2,2.0))+((0.4818273978096*v0)*pow(v1,2.0))+(((-0.1079963056281*v0)*pow(v1,3.0))*pow((v1+(-0.9*v2)),-1.0))</t>
  </si>
  <si>
    <t>(1.0023613390906*v2)+((((-1.723970375798*v1)*v2)*pow(v0,-1.0))*log((1.1+(0.6*cos(v3)))))</t>
  </si>
  <si>
    <t>((((0.0795774715459*v1)*pow(v0,-1.0))*pow(v3,-2.0))*cos(pow(v2,1.0)))</t>
  </si>
  <si>
    <t>0.5643252186616+(-0.1677215619502*sin(v0))+(-0.1786696872887*v0)</t>
  </si>
  <si>
    <t>((((0.1275265205606*v0)*pow(v1,-1.0))*pow(v2,-1.0))*pow(log((v4*pow(v3,-1.0))),-0.5))</t>
  </si>
  <si>
    <t>20.0412905310642+(-1.0021597630189*v0)+((-2.028105865339*v1)*pow((0.3183098861838+v0),-1.0))</t>
  </si>
  <si>
    <t>4.6035147379488+(-2.1380870378495*cos(((0.5*v0)+(-0.5*v1))))+(-1.8210667968266*cos((0.25+(0.5*pow(pow((v2+(-1.0*v3)),2.0),0.5)))))</t>
  </si>
  <si>
    <t>(0.5034967754934*v2)+(0.5034967754934*v3)</t>
  </si>
  <si>
    <t>(2.0*v0)+((2.0*v0)*sin((-1.5707963267949+(v1*v2))))</t>
  </si>
  <si>
    <t>((((0.5844898491508*v1)*pow(v0,-1.0))*pow((0.5+v3),-4.0))*sin((2.0*v2)))</t>
  </si>
  <si>
    <t>((((((0.0654498317048*pow(v0,2.0))*pow(v1,2.0))*pow(v2,2.0))*pow(v3,2.0))*pow(v4,2.0))*pow(v5,-2.0))+(((((((-2.0184099277285*pow(v0,2.0))*pow(v1,2.0))*pow(v2,2.0))*pow(v3,2.0))*pow(v4,2.0))*pow(v5,-2.0))*pow((1.0+v6),-2.0))+((((((((1.6222196568549*pow(v0,2.0))*pow(v1,2.0))*pow(v2,2.0))*pow(v3,2.0))*pow(v4,2.0))*pow(v5,-2.0))*pow(v6,-1.0))*pow((1.0+log(v6)),-2.0))</t>
  </si>
  <si>
    <t>0.0060809774669+(0.9970565657559*v3)+(((0.5967158141222*v3)*pow(v1,-2.0))*pow(v2,2.0))+(((-1.1131086407706*v0)*v2)*pow(v1,-2.0))</t>
  </si>
  <si>
    <t>((((0.9999999999999*v1)*v3)*pow(v2,-1.0))*pow((-1.0+v0),-1.0))</t>
  </si>
  <si>
    <t>(1.1179275520775*v0)+((-1.0826978647201*v0)*v1)</t>
  </si>
  <si>
    <t>0.4959373515397+(0.261218219651*v0)+((0.2893944615056*v0)*sin((pow(v2,-0.5)*log(((v1*v2)*pow((1.0+log(v3)),-2.0))))))+((0.6455242161317*log(v0))*log(v2))</t>
  </si>
  <si>
    <t>(0.9998402374785*v0)+((2.0109973743139*v0)*pow((-3.0+((4.0*pow(v1,-2.0))*pow(v2,2.0))),-1.0))</t>
  </si>
  <si>
    <t>(2.9999999999999*v0)+(-1.0000000000001*pow(v0,2.0))+((-2.0000000000001*v0)*v1)</t>
  </si>
  <si>
    <t>(3.3333333333333*v0)+(10.0000000000003*v1)+(-3.3333333333332*pow(v0,3.0))</t>
  </si>
  <si>
    <t>((0.4995423500933*pow(v0,-1.0))*pow(v2,2.0))+((((22.8444789543027*v0)*pow(v1,2.0))*pow(v4,3.0))*sin(pow(((-1.0+(45.6991118430776*v4))+cos(pow(v3,-5.0))),-1.0)))+(((((14.5816064571231*v0)*v5)*pow(v1,2.0))*pow(v4,3.0))*sin((0.0342928607013*pow(v3,-1.0))))</t>
  </si>
  <si>
    <t>10.011721943396+((-2.0404057987301*v1)*pow((0.4+v0),-1.0))</t>
  </si>
  <si>
    <t>3.5044882811021+(3.5221646047126*cos((3.1415926535898*pow((-2.0+pow(0.8775825618904,(((((v0*v3)*v5)*pow(v1,-1.0))*pow(v2,-1.0))*pow(v4,-1.0)))),-1.0))))</t>
  </si>
  <si>
    <t>-</t>
  </si>
  <si>
    <t>1.0*sin(x1)</t>
  </si>
  <si>
    <t>1)**1.0</t>
  </si>
  <si>
    <t>+</t>
  </si>
  <si>
    <t>1)</t>
  </si>
  <si>
    <t>x0)**1.0</t>
  </si>
  <si>
    <t>1)**1.0)</t>
  </si>
  <si>
    <t>1.0*x1)**1.0</t>
  </si>
  <si>
    <t>1.0*x2</t>
  </si>
  <si>
    <t>1.0*x0</t>
  </si>
  <si>
    <t>x2)**1.0</t>
  </si>
  <si>
    <t>1.0000000000001*x1*x4</t>
  </si>
  <si>
    <t>1.0*x2*x5</t>
  </si>
  <si>
    <t>1.0*x2*x3*sin(1.0*x4))</t>
  </si>
  <si>
    <t>3.3333333333333*x0**3.0</t>
  </si>
  <si>
    <t>10.0*x1</t>
  </si>
  <si>
    <t>2.0*x1</t>
  </si>
  <si>
    <t>1.0*x1**2.0</t>
  </si>
  <si>
    <t>1.0*x2)**2.0</t>
  </si>
  <si>
    <t>(x1</t>
  </si>
  <si>
    <t>x2)**2.0)</t>
  </si>
  <si>
    <t>0.5*sin(x0</t>
  </si>
  <si>
    <t>1.0*x1)</t>
  </si>
  <si>
    <t>0.0795774715459*x3**2.0*x4*x5**2.0</t>
  </si>
  <si>
    <t>0.039788735773*x3**2.0*x5**2.0)/x0**1.0</t>
  </si>
  <si>
    <t>x4**2.0))**1.0</t>
  </si>
  <si>
    <t>x4*x7)/(x2**1.0*x3**1.0*x5**1.0*x6**2.0)</t>
  </si>
  <si>
    <t>x0)**1.0)</t>
  </si>
  <si>
    <t>1.0)**1.0</t>
  </si>
  <si>
    <t>0.075*x1**2.0</t>
  </si>
  <si>
    <t>x2**2.0</t>
  </si>
  <si>
    <t>x3**2.0)</t>
  </si>
  <si>
    <t>0.1)*sin(x0)</t>
  </si>
  <si>
    <t>2.0*x1/(2.0/x0**1.0</t>
  </si>
  <si>
    <t>2.0*cos(x1*x2))</t>
  </si>
  <si>
    <t>x2**2.0*x3**2.0)/(x0**1.0*x2**2.0)</t>
  </si>
  <si>
    <t>3.0*x0</t>
  </si>
  <si>
    <t>1.0*x0**2.0</t>
  </si>
  <si>
    <t>cos(x1*x2))</t>
  </si>
  <si>
    <t>0.5*sin(1.0*x0</t>
  </si>
  <si>
    <t>1.0*x4)**1.0)</t>
  </si>
  <si>
    <t>1.0*x1</t>
  </si>
  <si>
    <t>2.0*(x0*x1)**0.5*cos(x2)</t>
  </si>
  <si>
    <t>1.0*x1/(x0</t>
  </si>
  <si>
    <t>0.5134874301499*x0**(cos(x3)/(-1.0*x0</t>
  </si>
  <si>
    <t>x1)**1.0</t>
  </si>
  <si>
    <t>2.0)*x1**2.0*x2*cos(2.0*x3)</t>
  </si>
  <si>
    <t>0.9990950768422*x2</t>
  </si>
  <si>
    <t>0.9959013710436*x2/(x2/x3**1.0)**(1.0/(x0/x1**1.0</t>
  </si>
  <si>
    <t>1.0)**1.0)</t>
  </si>
  <si>
    <t>0.3704445192317*x3/(x2</t>
  </si>
  <si>
    <t>0.5)**1.0</t>
  </si>
  <si>
    <t>0.6062200244275*x0*x1**2.0/(x2**1.0*(log(x1/x2**1.0)</t>
  </si>
  <si>
    <t>0.6931471805599)**2.0)</t>
  </si>
  <si>
    <t>0.1164369766856*cos((x1</t>
  </si>
  <si>
    <t>1.0*x2)**1.0/(0.5</t>
  </si>
  <si>
    <t>1.0*x0)**1.0)</t>
  </si>
  <si>
    <t>x3)**1.0</t>
  </si>
  <si>
    <t>3.8613125913525*x0/(x1/x0**1.0</t>
  </si>
  <si>
    <t>0.3183098861838*x2</t>
  </si>
  <si>
    <t>0.3183098861838*x3)**1.0</t>
  </si>
  <si>
    <t>0.8141032827304*x0**2.0/x1**1.0</t>
  </si>
  <si>
    <t>4.7123889803847)</t>
  </si>
  <si>
    <t>1.9607683860691*x0*(log(x1)</t>
  </si>
  <si>
    <t>1.0)**4.0*sin(x1*x2</t>
  </si>
  <si>
    <t>4.7123889803847)/x1**5.0</t>
  </si>
  <si>
    <t>1.0839999001267*x0/(0.5</t>
  </si>
  <si>
    <t>0.0009883152112*x0*exp(1.4142135623731*x1)</t>
  </si>
  <si>
    <t>1.0*x2)/x0**1.0)**0.5</t>
  </si>
  <si>
    <t>4.2328955197479*cos(0.2792432723437*x3/(x0**1.0*x4**1.0))</t>
  </si>
  <si>
    <t>x4)/(x0**1.0*x2**5.0)</t>
  </si>
  <si>
    <t>0.1433397446494/(x1**1.0*(x0*x1</t>
  </si>
  <si>
    <t>9.19508758e-5*x1**10.0</t>
  </si>
  <si>
    <t>0.4825302948796*cos(x1)/(0.1*x0</t>
  </si>
  <si>
    <t>x2**2.0*x3**1.0*(-1.9899134762846*x2</t>
  </si>
  <si>
    <t>1.6135852233736*(x0**2.0*x1**2.0*(x2**2.0</t>
  </si>
  <si>
    <t>0.5)*(cos(x4</t>
  </si>
  <si>
    <t>1.0*x5)</t>
  </si>
  <si>
    <t>0.7071067811865)**4.0/x3**2.0)**0.5</t>
  </si>
  <si>
    <t>4.5510731339952)</t>
  </si>
  <si>
    <t>x2**2.0*(-1.9713852941816*x0*x1*x2</t>
  </si>
  <si>
    <t>2.7705362220196*x0*x1*sin(x2**0.5</t>
  </si>
  <si>
    <t>x4</t>
  </si>
  <si>
    <t>1.0*x5)*sin(log(x2))</t>
  </si>
  <si>
    <t>6.9528496018266*x0*x1</t>
  </si>
  <si>
    <t>2.9809732017955*x2**2.0*cos(x4</t>
  </si>
  <si>
    <t>1.0*x5)**4.0</t>
  </si>
  <si>
    <t>16.1428649142889*cos(x4</t>
  </si>
  <si>
    <t>1.0*x5)**4.0))/(x2**2.0*x3**1.0)</t>
  </si>
  <si>
    <t>16.0*(-x1/x2**1.0</t>
  </si>
  <si>
    <t>sin(0.25*x0*x1</t>
  </si>
  <si>
    <t>0.5))**2.0/x1**1.0</t>
  </si>
  <si>
    <t>0.3*x1**1.0</t>
  </si>
  <si>
    <t>1.0*x2)</t>
  </si>
  <si>
    <t>0.2688467968463*x0</t>
  </si>
  <si>
    <t>1.1031702952787*log(x0)</t>
  </si>
  <si>
    <t>10.5108639633761*cos(x0/(x0**0.5*x3*x4/(x1**1.0*x2**1.0)</t>
  </si>
  <si>
    <t>0.5403023058681)**1.0</t>
  </si>
  <si>
    <t>0.6*log(sin(x0**(-1.0))))</t>
  </si>
  <si>
    <t>x1)**2.0)**0.5</t>
  </si>
  <si>
    <t>0.5)</t>
  </si>
  <si>
    <t>1.3062209931676*cos(0.72*((x2</t>
  </si>
  <si>
    <t>1.0*x3)**2.0)**0.5)</t>
  </si>
  <si>
    <t>0.0961488324318*x3**2.0*(x0</t>
  </si>
  <si>
    <t>x3)**2.0*log(x4)</t>
  </si>
  <si>
    <t>0.0047593663693*x3**5.0*x4*sin((x0</t>
  </si>
  <si>
    <t>0.55)**(-1.0))</t>
  </si>
  <si>
    <t>0.0022894187449*x4*(x0**2.0</t>
  </si>
  <si>
    <t>x3)**2.0)*cos(x1)/x2**2.0</t>
  </si>
  <si>
    <t>1.1)**2.0</t>
  </si>
  <si>
    <t>0.0103253794754*x0**3.0*x2*log(sin(log(x1))</t>
  </si>
  <si>
    <t>1.2)</t>
  </si>
  <si>
    <t>0.0052915242904*x4**2.0)/x4**2.0</t>
  </si>
  <si>
    <t>0.4772244995294*x0*x3*x5/(x1**1.0*x2**1.0*x4**1.0)</t>
  </si>
  <si>
    <t>0.0732503673748*x0</t>
  </si>
  <si>
    <t>1.1555479569862*x0/(x3/(x1**1.0*x2**1.0)</t>
  </si>
  <si>
    <t>0.0782078186891*x0**2.0*x3**0.5/x2**1.0</t>
  </si>
  <si>
    <t>0.0698192233492*x1</t>
  </si>
  <si>
    <t>0.0323855467957*x0*x1**2.0*x2/(x3**1.0*x4**1.0)</t>
  </si>
  <si>
    <t>1.6955393895521*x0*x3/(x3/x1**1.0</t>
  </si>
  <si>
    <t>2.0*x2/x4**1.0)**1.0</t>
  </si>
  <si>
    <t>0.24*x1</t>
  </si>
  <si>
    <t>log(x0)</t>
  </si>
  <si>
    <t>1.0)</t>
  </si>
  <si>
    <t>0.5)**2.0</t>
  </si>
  <si>
    <t>0.5047049072262*x0*x1**2.0</t>
  </si>
  <si>
    <t>0.9999320677612*x0*x2**2.0</t>
  </si>
  <si>
    <t>0.18113814753*(1.0</t>
  </si>
  <si>
    <t>0.6666666666667*sin(log(x1*x2/(x3**1.0*x4**1.0))))**2.0)</t>
  </si>
  <si>
    <t>x1)**1.0)</t>
  </si>
  <si>
    <t>2.896912927734*(x0*x1)**0.5</t>
  </si>
  <si>
    <t>0.9990868061691*x0</t>
  </si>
  <si>
    <t>0.9976632164103*x0</t>
  </si>
  <si>
    <t>0.9694810491321*x1*x3</t>
  </si>
  <si>
    <t>0.1515393447108*x1**2.0*x3/log(x2)**2.0</t>
  </si>
  <si>
    <t>0.5)**2.0)</t>
  </si>
  <si>
    <t>1.4813490355657*cos(4.0*x0*x1*x6*sin(x2**(-1.0))/(x5**2.0*(x3</t>
  </si>
  <si>
    <t>0.6366197723676)**2.0))</t>
  </si>
  <si>
    <t>1.619524677699*x0*x2/(x1/(x2</t>
  </si>
  <si>
    <t>0.501721578245*x0*x2</t>
  </si>
  <si>
    <t>0.5013245002558*x0*x3</t>
  </si>
  <si>
    <t>1.6190157635341*x0*x3**2.0/(x1</t>
  </si>
  <si>
    <t>x2</t>
  </si>
  <si>
    <t>0.5219724001258*x2*x3*(x0*x1)**2.0</t>
  </si>
  <si>
    <t>0.3573150301864*x0*x1**2.0*x4*((x4</t>
  </si>
  <si>
    <t>1.0)**3.0)**0.5</t>
  </si>
  <si>
    <t>157.0756462564377*x0*x1**2.0*x4**3.0*x5*sin(0.0031830988618/x3**1.0)</t>
  </si>
  <si>
    <t>0.0637773938953*x0*x1**2.0*(x4</t>
  </si>
  <si>
    <t>1.0)**3.0</t>
  </si>
  <si>
    <t>3.1415926535898)</t>
  </si>
  <si>
    <t>x2*x4)**1.0</t>
  </si>
  <si>
    <t>0.0390891905016*x0*x1*x2</t>
  </si>
  <si>
    <t>1.0*x0*x4/(x2/x1**1.0)**1.0</t>
  </si>
  <si>
    <t>0.9999999999999)</t>
  </si>
  <si>
    <t>9.9999999999999*x1</t>
  </si>
  <si>
    <t>1.4056963244711*x0*x3*sin(1.0*x2*x3</t>
  </si>
  <si>
    <t>0.5*x2)/(x1</t>
  </si>
  <si>
    <t>0.2086946121522*x0</t>
  </si>
  <si>
    <t>1.364509847764/x1**1.0</t>
  </si>
  <si>
    <t>0.6020913758976*x1</t>
  </si>
  <si>
    <t>x5**2.0</t>
  </si>
  <si>
    <t>1.0)**2.0)</t>
  </si>
  <si>
    <t>147557569961.46405*x0*x1*x2**2.0*x3**2.0*x4**36.0/(x4</t>
  </si>
  <si>
    <t>x5)**32.0</t>
  </si>
  <si>
    <t>0.016657731528*(x0**2.0*x1**2.0*x2**4.0*x3**4.0*x4**2.0)**0.5</t>
  </si>
  <si>
    <t>0.9*x2)**1.0</t>
  </si>
  <si>
    <t>0.982850842186*x0</t>
  </si>
  <si>
    <t>1.0*x3)**2.0)*(x0*x1</t>
  </si>
  <si>
    <t>0.5*x0</t>
  </si>
  <si>
    <t>0.5*x1</t>
  </si>
  <si>
    <t>0.5)**0.5</t>
  </si>
  <si>
    <t>1.3284041095554*x0</t>
  </si>
  <si>
    <t>1.3158656106776*x1**2.0/(x0</t>
  </si>
  <si>
    <t>x1**2.0*(0.995852400753*x3</t>
  </si>
  <si>
    <t>0.0080405159167)</t>
  </si>
  <si>
    <t>0.622092107054*x2**2.0*x3)/x1**2.0</t>
  </si>
  <si>
    <t>0.72)**(-0.5)</t>
  </si>
  <si>
    <t>1.0)/(x5**2.0*(-0.4794255386042/x6**1.0</t>
  </si>
  <si>
    <t>x6)**1.0)</t>
  </si>
  <si>
    <t>0.0124810014374*x6/(x5/(x0*x1*x2*x3*x4*log(x6))**1.0)**2.0</t>
  </si>
  <si>
    <t>1.0*x2)**1.0</t>
  </si>
  <si>
    <t>0.7635083446402*x0*x1</t>
  </si>
  <si>
    <t>0.0032634394134*x0*x2</t>
  </si>
  <si>
    <t>0.5328518731315*x0</t>
  </si>
  <si>
    <t>0.0800948384899*x0**3.0</t>
  </si>
  <si>
    <t>0.7216535038324*x1</t>
  </si>
  <si>
    <t>0.0417202090978*x1**2.0/(x0</t>
  </si>
  <si>
    <t>1.0)**2.0</t>
  </si>
  <si>
    <t>2.1612236956159*cos(x0</t>
  </si>
  <si>
    <t>1.0)/(x0</t>
  </si>
  <si>
    <t>x1)**0.5</t>
  </si>
  <si>
    <t>1.1348590472188*log(x0</t>
  </si>
  <si>
    <t>x1)</t>
  </si>
  <si>
    <t>x1</t>
  </si>
  <si>
    <t>1.0)**4.0/(x0**4.0*x4**2.0*x5**2.0)</t>
  </si>
  <si>
    <t>0.0007233787864*x2**3.0*x3**2.0*(x0</t>
  </si>
  <si>
    <t>1.0)**4.0/(x4**4.0*x5**3.0*(x0</t>
  </si>
  <si>
    <t>0.5*x1*x6)**3.0)</t>
  </si>
  <si>
    <t>0.2370615212912*x2</t>
  </si>
  <si>
    <t>1.0023373398527*x3*x5</t>
  </si>
  <si>
    <t>1.1276045697451*x3*(0.6666666666667*x2/x3**1.0</t>
  </si>
  <si>
    <t>0.6666666666667/x3**1.0</t>
  </si>
  <si>
    <t>1.0*x4)**2.0/(x4/x1**1.0</t>
  </si>
  <si>
    <t>(x0/x3**1.0</t>
  </si>
  <si>
    <t>x3**(-0.5))**2.0)**1.0</t>
  </si>
  <si>
    <t>0.1598264297681*x4</t>
  </si>
  <si>
    <t>1.8501505241391*(x2/x3**1.0</t>
  </si>
  <si>
    <t>x3**(-1.0)</t>
  </si>
  <si>
    <t>1.0*x4)**2.0/(x3*x4/x1**1.0</t>
  </si>
  <si>
    <t>(x3</t>
  </si>
  <si>
    <t>0.5)**(-1.0))**2.0)**1.0</t>
  </si>
  <si>
    <t>1.0048291723538*x0</t>
  </si>
  <si>
    <t>0.8101681117193*x1**2.0*(x2</t>
  </si>
  <si>
    <t>1.0*x3)**2.0*sin(x0/(x1</t>
  </si>
  <si>
    <t>5.0)**1.0)</t>
  </si>
  <si>
    <t>1.0*x4)**1.0*(x3</t>
  </si>
  <si>
    <t>x4)**1.0)</t>
  </si>
  <si>
    <t>1.0102345966815*x2</t>
  </si>
  <si>
    <t>1.0011806319015*x0/x1**1.0</t>
  </si>
  <si>
    <t>0.5*x3</t>
  </si>
  <si>
    <t>1.0*cos(x1*x2))</t>
  </si>
  <si>
    <t>x0**1.0*x2**1.0*sin(x4/(x0**1.0*x2**1.0)</t>
  </si>
  <si>
    <t>0.5*x1/x4**1.0</t>
  </si>
  <si>
    <t>1.0*x2/x4**1.0</t>
  </si>
  <si>
    <t>1.0)/x4**1.0</t>
  </si>
  <si>
    <t>x1*x3</t>
  </si>
  <si>
    <t>x2)**1.0/(x2**1.0*(x1/(x0**1.0*x2**1.0)</t>
  </si>
  <si>
    <t>x1/x0**1.0</t>
  </si>
  <si>
    <t>x4/(x0**1.0*x2**1.0)</t>
  </si>
  <si>
    <t>3.1415926535898*x4/x0**1.0</t>
  </si>
  <si>
    <t>x1/x3**1.0</t>
  </si>
  <si>
    <t>sin(x4/(x0**1.0*x1**1.0)</t>
  </si>
  <si>
    <t>x0**(-1.0)</t>
  </si>
  <si>
    <t>x1/x4**1.0))**1.0)</t>
  </si>
  <si>
    <t>2.7067275810329*(x1/x0**1.0</t>
  </si>
  <si>
    <t>x2*x3</t>
  </si>
  <si>
    <t>1.0*x3*sin(x4/(x0**1.0*x2**1.0)</t>
  </si>
  <si>
    <t>x2*sin(x4**(-1.0))</t>
  </si>
  <si>
    <t>x4)**1.0/(x4/x0**1.0</t>
  </si>
  <si>
    <t>x1/(x0</t>
  </si>
  <si>
    <t>1.0/(x0**1.0*x2**1.0*x4**1.0)</t>
  </si>
  <si>
    <t>1.0/(x0**1.0*x4**1.0)</t>
  </si>
  <si>
    <t>1.0*x1/x4**1.0))**1.0</t>
  </si>
  <si>
    <t>0.9*sin(x1)**2.0)*sin(x0)</t>
  </si>
  <si>
    <t>0.0020374251267*(x0*x1)**2.0/(x2**1.0*x3**1.0)</t>
  </si>
  <si>
    <t>0.9999247021235*x2*x3</t>
  </si>
  <si>
    <t>1.0*x1*x4</t>
  </si>
  <si>
    <t>0.9999999999999*x2*x5**1.0</t>
  </si>
  <si>
    <t>1.9999999999999*x1</t>
  </si>
  <si>
    <t>0.6*x0</t>
  </si>
  <si>
    <t>log(x0**2.0*x3**2.0)</t>
  </si>
  <si>
    <t>0.7351666863853)**4.0/(x1**5.0*x4**4.0)</t>
  </si>
  <si>
    <t>0.2981077170277*x2**2.0*(x0*exp(x4)</t>
  </si>
  <si>
    <t>x0*sin(2.0/x4**1.0)</t>
  </si>
  <si>
    <t>0.5/x4**1.0)**4.0/(x1**5.0*x4**10.0)</t>
  </si>
  <si>
    <t>0.7787369615064*(x2</t>
  </si>
  <si>
    <t>1.0)**3.0*(0.5*x0*x3</t>
  </si>
  <si>
    <t>x0/x4**1.0</t>
  </si>
  <si>
    <t>0.5*x0)**4.0/(x1**5.0*x4**4.0)</t>
  </si>
  <si>
    <t>6.909297e-6*(x0*x2</t>
  </si>
  <si>
    <t>x0*x3</t>
  </si>
  <si>
    <t>x0*cos(1.0*x4**2.0</t>
  </si>
  <si>
    <t>2.0))**4.0*log(x2)/(x1/x3**1.0)**5.0</t>
  </si>
  <si>
    <t>0.9999999999999*x1</t>
  </si>
  <si>
    <t>x2**2.0)</t>
  </si>
  <si>
    <t>0.98280314481*x0</t>
  </si>
  <si>
    <t>0.0795774715459*x3**2.0*x4</t>
  </si>
  <si>
    <t>0.039788735773*x3**2.0)/x0**1.0</t>
  </si>
  <si>
    <t>(-0.1*x0)</t>
  </si>
  <si>
    <t>exprSimp</t>
  </si>
  <si>
    <t>(-1.0*sin(x1))+(-0.05*pow(x0,2.0))</t>
  </si>
  <si>
    <t>-0.05*x0**2.0</t>
  </si>
  <si>
    <t>((1.5*x0)*x1)</t>
  </si>
  <si>
    <t>1.5*x0*x1</t>
  </si>
  <si>
    <t>((0.1591549430919*x0)*x1)</t>
  </si>
  <si>
    <t>0.1591549430919*x0*x1</t>
  </si>
  <si>
    <t>((1.0*x0)*x1)</t>
  </si>
  <si>
    <t>1.0*x0*x1</t>
  </si>
  <si>
    <t>((1.0*x0)*pow(x1,-1.0))</t>
  </si>
  <si>
    <t>1.0*x0/x1**1.0</t>
  </si>
  <si>
    <t>((0.5*x0)*pow(x1,2.0))</t>
  </si>
  <si>
    <t>0.5*x0*x1**2.0</t>
  </si>
  <si>
    <t>(((1.0*x0)*x1)*x2)</t>
  </si>
  <si>
    <t>1.0*x0*x1*x2</t>
  </si>
  <si>
    <t>((1.0*x0)*pow(x1,2.0))</t>
  </si>
  <si>
    <t>1.0*x0*x1**2.0</t>
  </si>
  <si>
    <t>(((0.5*x0)*x1)*x2)</t>
  </si>
  <si>
    <t>0.5*x0*x1*x2</t>
  </si>
  <si>
    <t>((0.0795774715459*x0)*pow(x1,-2.0))</t>
  </si>
  <si>
    <t>0.0795774715459*x0/x1**2.0</t>
  </si>
  <si>
    <t>(((0.0795774715459*x0)*x1)*pow(x2,-1.0))</t>
  </si>
  <si>
    <t>0.0795774715459*x0*x1/x2**1.0</t>
  </si>
  <si>
    <t>(((0.1591549430919*x0)*x1)*pow(x2,-1.0))</t>
  </si>
  <si>
    <t>0.1591549430919*x0*x1/x2**1.0</t>
  </si>
  <si>
    <t>(((12.5663706143592*x0)*x1)*pow(x2,-1.0))</t>
  </si>
  <si>
    <t>12.5663706143592*x0*x1/x2**1.0</t>
  </si>
  <si>
    <t>(((0.0795774715459*x0)*pow(x1,-1.0))*pow(x2,-1.0))</t>
  </si>
  <si>
    <t>0.0795774715459*x0/(x1**1.0*x2**1.0)</t>
  </si>
  <si>
    <t>(((1.0*x0)*x1)*sin((1.0*x2)))</t>
  </si>
  <si>
    <t>1.0*x0*x1*sin(1.0*x2)</t>
  </si>
  <si>
    <t>((-0.5*x0)*pow((-1.0+(-1.0*x1)),-1.0))</t>
  </si>
  <si>
    <t>-0.5*x0/(-x1</t>
  </si>
  <si>
    <t>(((6.2831853071796*x0)*pow(x1,-1.0))*pow(x2,-1.0))</t>
  </si>
  <si>
    <t>6.2831853071796*x0/(x1**1.0*x2**1.0)</t>
  </si>
  <si>
    <t>((1.0*x0)*x1)+(((1.0*x0)*x1)*x2)</t>
  </si>
  <si>
    <t>1.0*x0*x1*(x2</t>
  </si>
  <si>
    <t>(1.0*pow(((x0*x1)*pow(x2,-1.0)),0.5))</t>
  </si>
  <si>
    <t>1.0*(x0*x1/x2**1.0)**0.5</t>
  </si>
  <si>
    <t>((((1.0*x0)*x1)*x3)*pow(x2,-1.0))</t>
  </si>
  <si>
    <t>1.0*x0*x1*x3/x2**1.0</t>
  </si>
  <si>
    <t>((((0.5*x0)*x1)*x2)*pow(x3,-1.0))</t>
  </si>
  <si>
    <t>0.5*x0*x1*x2/x3**1.0</t>
  </si>
  <si>
    <t>((((1.0*x0)*x1)*x2)*pow(x3,-1.0))</t>
  </si>
  <si>
    <t>1.0*x0*x1*x2/x3**1.0</t>
  </si>
  <si>
    <t>((((1.0*x0)*x1)*x2)*sin(x3))</t>
  </si>
  <si>
    <t>1.0*x0*x1*x2*sin(x3)</t>
  </si>
  <si>
    <t>((((-1.0*x0)*x1)*x2)*pow(x3,-1.0))</t>
  </si>
  <si>
    <t>-1.0*x0*x1*x2/x3**1.0</t>
  </si>
  <si>
    <t>(((0.0795774715459*x0)*pow(x1,-1.0))*pow(x2,-2.0))</t>
  </si>
  <si>
    <t>0.0795774715459*x0/(x1**1.0*x2**2.0)</t>
  </si>
  <si>
    <t>(((-1.0000000000001*x1)*x2)*pow((1.0+(-1.0*x0)),-1.0))</t>
  </si>
  <si>
    <t>-1.0000000000001*x1*x2/(1</t>
  </si>
  <si>
    <t>(((-1.0*x0)*pow(x1,-1.0))*pow((-1.0+(-1.0*x2)),-1.0))</t>
  </si>
  <si>
    <t>-1.0*x0/(x1**1.0*(-x2</t>
  </si>
  <si>
    <t>(((0.0126651479553*pow(x0,2.0))*pow(x1,-1.0))*pow(x2,-2.0))</t>
  </si>
  <si>
    <t>0.0126651479553*x0**2.0/(x1**1.0*x2**2.0)</t>
  </si>
  <si>
    <t>(1.0*x2)+(((0.9999999999999*x1)*x2)*pow((x0+(-1.0*x1)),-1.0))</t>
  </si>
  <si>
    <t>0.9999999999999*x1*x2/(x0</t>
  </si>
  <si>
    <t>((((12.5663706143592*x0)*x2)*pow(x1,2.0))*pow(x3,-1.0))</t>
  </si>
  <si>
    <t>12.5663706143592*x0*x1**2.0*x2/x3**1.0</t>
  </si>
  <si>
    <t>(((((6.2831853071796*x0)*x2)*x3)*x4)*pow(x1,-1.0))</t>
  </si>
  <si>
    <t>6.2831853071796*x0*x2*x3*x4/x1**1.0</t>
  </si>
  <si>
    <t>(1.0*x0)+((-1.0*pow(x0,-1.0))*cos(x1))</t>
  </si>
  <si>
    <t>-1.0*cos(x1)/x0**1.0</t>
  </si>
  <si>
    <t>((1.0*x1)*pow((x2+(x1*pow(x0,-1.0))),-1.0))</t>
  </si>
  <si>
    <t>1.0*x1/(x1/x0**1.0</t>
  </si>
  <si>
    <t>((1.0*x0)*x3)+((1.0*x2)*x5)+((1.0000000000001*x1)*x4)</t>
  </si>
  <si>
    <t>1.0*x0*x3</t>
  </si>
  <si>
    <t>(((-1.0*x0)*x1)*cos(x2))</t>
  </si>
  <si>
    <t>((((0.3183098861838*x3)*pow(x0,-1.0))*pow(x1,-2.0))*pow(x2,2.0))</t>
  </si>
  <si>
    <t>0.3183098861838*x2**2.0*x3/(x0**1.0*x1**2.0)</t>
  </si>
  <si>
    <t>((1.0000000000001*x0)*x1)+((((1.0*x0)*x2)*x3)*sin((1.0*x4)))</t>
  </si>
  <si>
    <t>x0*(1.0000000000001*x1</t>
  </si>
  <si>
    <t>((((0.0530516476973*pow(x0,2.0))*pow(x1,2.0))*pow(x2,-1.0))*pow(x3,-3.0))</t>
  </si>
  <si>
    <t>0.0530516476973*x0**2.0*x1**2.0/(x2**1.0*x3**3.0)</t>
  </si>
  <si>
    <t>(((1.0*x0)*x1)*pow(x2,2.0))</t>
  </si>
  <si>
    <t>1.0*x0*x1*x2**2.0</t>
  </si>
  <si>
    <t>(((((-0.1250000000001*x0)*pow(x1,4.0))*pow(x2,-2.0))*pow(x3,-2.0))*pow(x4,-2.0))</t>
  </si>
  <si>
    <t>-0.1250000000001*x0*x1**4.0/(x2**2.0*x3**2.0*x4**2.0)</t>
  </si>
  <si>
    <t>(10.0*x1)+(3.3333333333333*x0)+(-3.3333333333333*pow(x0,3.0))</t>
  </si>
  <si>
    <t>3.3333333333333*x0</t>
  </si>
  <si>
    <t>(2.0*x1)+(-1.0*pow(x1,2.0))+((-1.0*x0)*x1)</t>
  </si>
  <si>
    <t>(((0.125*x0)*pow(x3,2.0))*pow((x1+x2),2.0))+(((0.125*x0)*pow(x3,2.0))*pow((x1+(-1.0*x2)),2.0))</t>
  </si>
  <si>
    <t>0.125*x0*x3**2.0*((x1</t>
  </si>
  <si>
    <t>(1.0*x0)+(((1.0*x0)*x1)*cos(x2))</t>
  </si>
  <si>
    <t>1.0*x0*(x1*cos(x2)</t>
  </si>
  <si>
    <t>(-0.5*sin((x0+(-1.0*x1))))+(-1.0000000000001*sin(x1))</t>
  </si>
  <si>
    <t>(((-0.039788735773*x1)*pow(x0,-1.0))*pow((pow(x2,-1.0)*pow(x5,2.0)),2.0))+(((-0.039788735773*pow(x0,-1.0))*pow(x3,2.0))*pow(x5,2.0))+((((0.0795774715459*x4)*pow(x0,-1.0))*pow(x3,2.0))*pow(x5,2.0))</t>
  </si>
  <si>
    <t>(-0.039788735773*x1*(x5**2.0/x2**1.0)**2.0</t>
  </si>
  <si>
    <t>((((0.0795774715459*x1)*pow(x0,-1.0))*pow(x3,-2.0))*cos(x2))</t>
  </si>
  <si>
    <t>0.0795774715459*x1*cos(x2)/(x0**1.0*x3**2.0)</t>
  </si>
  <si>
    <t>(((-1.0*x0)*x1)*pow(((x2*pow(x4,2.0))+((-1.0*x2)*pow(x3,2.0))),-1.0))</t>
  </si>
  <si>
    <t>-1.0*x0*x1/(-x2*(1.0*x3**2.0</t>
  </si>
  <si>
    <t>(((0.0477464829274*pow(x0,2.0))*pow(x1,-1.0))*pow(x2,-1.0))</t>
  </si>
  <si>
    <t>0.0477464829274*x0**2.0/(x1**1.0*x2**1.0)</t>
  </si>
  <si>
    <t>10.0+((-2.0*x1)*pow((x0+(2.0*pow(x0,-1.0))),-1.0))</t>
  </si>
  <si>
    <t>-2.0*x1/(2.0/x0**1.0</t>
  </si>
  <si>
    <t>((((1.0*x0)*x1)*pow(x2,-1.0))*pow(x3,-1.0))+(((((((1.0*x0)*x4)*x7)*pow(x2,-1.0))*pow(x3,-1.0))*pow(x5,-1.0))*pow(x6,-2.0))</t>
  </si>
  <si>
    <t>1.0*x0*(x1*x5**1.0*x6**2.0</t>
  </si>
  <si>
    <t>((((-1.0*x1)*x3)*pow(x2,-1.0))*pow((1.0+(-1.0*x0)),-1.0))</t>
  </si>
  <si>
    <t>-1.0*x1*x3/(x2**1.0*(1</t>
  </si>
  <si>
    <t>(-0.075*pow(x1,2.0))+(((1.0*x0)*x1)*pow((1.0+x0),-1.0))</t>
  </si>
  <si>
    <t>1.0*x0*x1/(x0</t>
  </si>
  <si>
    <t>((0.5*x0)*pow(x1,2.0))+((0.5*x0)*pow(x2,2.0))+((0.5*x0)*pow(x3,2.0))</t>
  </si>
  <si>
    <t>0.5*x0*(x1**2.0</t>
  </si>
  <si>
    <t>(0.1*sin(x0))+((0.9*pow(cos(x1),2.0))*sin(x0))</t>
  </si>
  <si>
    <t>(0.9*cos(x1)**2.0</t>
  </si>
  <si>
    <t>((((0.1591549430919*x2)*pow(x0,-1.0))*pow(x1,-2.0))*pow(x3,-1.0))</t>
  </si>
  <si>
    <t>0.1591549430919*x2/(x0**1.0*x1**2.0*x3**1.0)</t>
  </si>
  <si>
    <t>20.0+(-1.0*x0)+((-2.0*x1)*pow((x0+(2.0*pow(x0,-1.0))),-1.0))</t>
  </si>
  <si>
    <t>(2.0000000000001*x0)+((-2.0*x0)*cos((x1*x2)))</t>
  </si>
  <si>
    <t>x0*(2.0000000000001</t>
  </si>
  <si>
    <t>((((-1.0*x0)*x1)*x2)*log((x3*pow(x4,-1.0))))</t>
  </si>
  <si>
    <t>-1.0*x0*x1*x2*log(x3/x4**1.0)</t>
  </si>
  <si>
    <t>((0.1193662073189*pow(x0,-1.0))*pow(x3,2.0))+((((0.1193662073189*x1)*pow(x0,-1.0))*pow(x2,-2.0))*pow(x4,2.0))</t>
  </si>
  <si>
    <t>0.1193662073189*(x1*x4**2.0</t>
  </si>
  <si>
    <t>(3.0*x0)+(-1.0*pow(x0,2.0))+((-2.0*x0)*x1)</t>
  </si>
  <si>
    <t>((1.0*x0)*cos((x1*x2)))+(((1.0*x0)*x3)*pow(cos((x1*x2)),2.0))</t>
  </si>
  <si>
    <t>1.0*x0*(x3*cos(x1*x2)**2.0</t>
  </si>
  <si>
    <t>((((0.0795774715459*x0)*x1)*pow(x2,-1.0))*pow(x3,-2.0))</t>
  </si>
  <si>
    <t>0.0795774715459*x0*x1/(x2**1.0*x3**2.0)</t>
  </si>
  <si>
    <t>(0.5*sin(((1.0*x0)+(-1.0*x1))))+(-1.0*sin(x0))</t>
  </si>
  <si>
    <t>((((0.3333333333332*x0)*x2)*pow(x1,2.0))*pow((x3*x4),-1.0))</t>
  </si>
  <si>
    <t>0.3333333333332*x0*x1**2.0*x2/(x3*x4)**1.0</t>
  </si>
  <si>
    <t>(((((-0.0795774715459*x0)*x4)*pow(x1,-1.0))*pow(x2,-1.0))*pow((x3+(-1.0*x4)),-1.0))</t>
  </si>
  <si>
    <t>-0.0795774715459*x0*x4/(x1**1.0*x2**1.0*(x3</t>
  </si>
  <si>
    <t>(1.0*x0)+(1.0*x1)+((2.0*pow((x0*x1),0.5))*cos(x2))</t>
  </si>
  <si>
    <t>((((0.1193662073188*x1)*pow(x0,-1.0))*pow(x3,-3.0))*sin((2.0*x2)))</t>
  </si>
  <si>
    <t>0.1193662073188*x1*sin(2.0*x2)/(x0**1.0*x3**3.0)</t>
  </si>
  <si>
    <t>(3.9999999999998*x0)+(-1.0*x1)+(-1.0*pow(x0,2.0))+((1.0*x1)*pow((1.0+x0),-1.0))</t>
  </si>
  <si>
    <t>3.9999999999998*x0</t>
  </si>
  <si>
    <t>(0.9990950768422*x2)+((((-0.995337969486*x1)*x2)*pow(x0,-1.0))*cos(x3))+(((((0.5134874301499*x2)*pow(x0,-2.0))*pow(x0,(pow((x1+(-1.0*x0)),-1.0)*cos(x3))))*pow(x1,2.0))*cos((2.0*x3)))</t>
  </si>
  <si>
    <t>-0.995337969486*x1*x2*cos(x3)/x0**1.0</t>
  </si>
  <si>
    <t>0.2708955301955*x2/x3**1.0</t>
  </si>
  <si>
    <t>((0.9976790953691*x0)*x1)+((((0.6062200244275*x0)*pow(x1,2.0))*pow(x2,-1.0))*pow((-0.6931471805599+log((x1*pow(x2,-1.0)))),-2.0))</t>
  </si>
  <si>
    <t>0.9976790953691*x0*x1</t>
  </si>
  <si>
    <t>0.3976105641779/x0**1.0</t>
  </si>
  <si>
    <t>((2.5271287934439*x0)*pow((x2+x3),-1.0))+((0.8141032827304*pow(x0,2.0))*pow(x1,-1.0))+((3.8613125913525*x0)*pow((((0.3183098861838*x2)+(0.3183098861838*x3))+(x1*pow(x0,-1.0))),-1.0))</t>
  </si>
  <si>
    <t>2.5271287934439*x0/(x2</t>
  </si>
  <si>
    <t>((0.0009883152112*x0)*exp((1.4142135623731*x1)))+((-1.0839999001267*x0)*pow((0.5+(-1.0*x1)),-1.0))+(((0.037181803395*x0)*pow(2.0,x1))*sin((4.7123889803847+(x1*x2))))+((((-1.9607683860691*x0)*pow(x1,-5.0))*pow((1.0+log(x1)),4.0))*sin((-4.7123889803847+(x1*x2))))</t>
  </si>
  <si>
    <t>0.037181803395*2.0**x1*x0*sin(x1*x2</t>
  </si>
  <si>
    <t>1.4472988859733*((x1</t>
  </si>
  <si>
    <t>(((((0.1710965976579*x1)*x3)*x5)*pow(x0,-1.0))*pow(x2,-5.0))+(((((0.1710965976579*x1)*x4)*x5)*pow(x0,-1.0))*pow(x2,-5.0))</t>
  </si>
  <si>
    <t>0.1710965976579*x1*x5*(x3</t>
  </si>
  <si>
    <t>0.0994049842545+(9.19508758e-05*pow(x1,10.0))+(-0.2186041985211*pow(x1,-2.0))+((0.1433397446494*pow(x1,-1.0))*pow((1.0+(x0*x1)),-1.0))+((-0.4825302948796*pow((x1+(0.1*x0)),-1.0))*cos(x1))</t>
  </si>
  <si>
    <t>-0.2186041985211/x1**2.0</t>
  </si>
  <si>
    <t>4.5510731339952+(1.6135852233736*pow((((((-0.5*pow(x0,2.0))*pow(x1,2.0))*pow(x3,-2.0))*pow((0.7071067811865+cos((x4+(-1.0*x5)))),4.0))+((((pow(x0,2.0)*pow(x1,2.0))*pow(x2,2.0))*pow(x3,-2.0))*pow((0.7071067811865+cos((x4+(-1.0*x5)))),4.0))),0.5))+(-1.9899134762846*x2)+((-16.1428649142889*pow(x3,-1.0))*pow(cos((x4+(-1.0*x5))),4.0))+(((2.9809732017955*pow(x2,2.0))*pow(x3,-1.0))*pow(cos((x4+(-1.0*x5))),4.0))+(((6.9528496018266*x0)*x1)*pow(x3,-1.0))+((((-0.1973322958471*x0)*x1)*x4)*pow(x2,-2.0))+((((-1.9713852941816*x0)*x1)*x2)*pow(x3,-1.0))+(((((2.7705362220196*x0)*x1)*pow(x3,-1.0))*sin(((x4+pow(x2,0.5))+(-1.0*x5))))*sin(log(x2)))</t>
  </si>
  <si>
    <t>(-0.1973322958471*x0*x1*x3**1.0*x4</t>
  </si>
  <si>
    <t>0.513406528+((-0.6000166563751*cos((1.8*pow(x2,-1.0))))*cos(((((2.0*x0)+(-1.0*x2))+(-0.3*pow(x1,1.0)))+((16.0*pow(x1,-1.0))*pow(((-1.0*sin((-0.5+((0.25*x0)*x1))))+((-1.0*x1)*pow(x2,-1.0))),2.0)))))</t>
  </si>
  <si>
    <t>-0.6000166563751*cos(1.8/x2**1.0)*cos(2.0*x0</t>
  </si>
  <si>
    <t>2.389165047329*x0*x1**2.0*x2**2.0/(x3**2.0*x4**2.0)</t>
  </si>
  <si>
    <t>5.2319558190278+(-1.3062209931676*cos((0.72*pow(pow((x2+(-1.0*x3)),2.0),0.5))))+(-3.8532778813861*cos((0.5+(0.25*pow(pow((x1+(-1.0*x0)),2.0),0.5)))))</t>
  </si>
  <si>
    <t>-3.8532778813861*cos(0.25*((-1.0*x0</t>
  </si>
  <si>
    <t>(((-0.9971543907048*x0)*x2)*cos(x1))+((((-0.0022894187449*x4)*pow(x2,-2.0))*pow((x3+pow(x0,2.0)),2.0))*cos(x1))+(((((0.0961488324318*pow(x2,-2.0))*pow(x3,2.0))*pow((x0+x3),2.0))*cos(x1))*log(x4))+(((((-0.0047593663693*x4)*pow(x2,-2.0))*pow(x3,5.0))*cos(x1))*sin(pow((-0.55+x0),-1.0)))</t>
  </si>
  <si>
    <t>(-0.9971543907048*x0*x2**3.0</t>
  </si>
  <si>
    <t>0.0052915242904+((((0.1532250076686*x3)*pow(x0,2.0))*pow(x4,-2.0))*pow(log((1.1+x1)),2.0))+((((-0.0103253794754*x2)*pow(x0,3.0))*pow(x4,-2.0))*log((1.2+sin(log(x1)))))</t>
  </si>
  <si>
    <t>(0.1532250076686*x0**2.0*x3*log(x1</t>
  </si>
  <si>
    <t>(-0.0732503673748*x0)+((((((0.4772244995294*x0)*x3)*x5)*pow(x1,-1.0))*pow(x2,-1.0))*pow(x4,-1.0))+((((((-0.0675011128676*x0)*pow(x1,-2.0))*pow(x2,-2.0))*pow(x3,2.0))*pow(x5,2.0))*sin(pow(x4,-2.0)))</t>
  </si>
  <si>
    <t>-0.0675011128676*x0*x3**2.0*x5**2.0*sin(x4**(-2.0))/(x1**2.0*x2**2.0)</t>
  </si>
  <si>
    <t>0.2547443534194+(-0.0698192233492*x1)+((1.1555479569862*x0)*pow((1.0+((x3*pow(x1,-1.0))*pow(x2,-1.0))),-1.0))+((0.0010679181691*x0)*pow(x3,4.0))+(((-0.0782078186891*pow(x0,2.0))*pow(x2,-1.0))*pow(x3,0.5))</t>
  </si>
  <si>
    <t>0.0010679181691*x0*x3**4.0</t>
  </si>
  <si>
    <t>((1.353319913845*x0)*x1)+(((-1.6955393895521*x0)*x3)*pow(((x3*pow(x1,-1.0))+((2.0*x2)*pow(x4,-1.0))),-1.0))+(((((-0.0323855467957*x0)*x2)*pow(x1,2.0))*pow(x3,-1.0))*pow(x4,-1.0))</t>
  </si>
  <si>
    <t>1.353319913845*x0*x1</t>
  </si>
  <si>
    <t>0.2880034070487+(0.2816806136424*cos((((1.0+(-0.24*x1))+(x1*pow(x0,-1.0)))+log(x0))))</t>
  </si>
  <si>
    <t>0.2816806136424*cos(x1/x0**1.0</t>
  </si>
  <si>
    <t>((0.9999320677612*x0)*pow(x2,2.0))+((0.5047049072262*x0)*pow(x1,2.0))+(((0.258808848902*x0)*pow(x1,2.0))*pow((-0.5+(x2*pow(x1,-1.0))),-2.0))</t>
  </si>
  <si>
    <t>0.258808848902*x0*x1**2.0/(x2/x1**1.0</t>
  </si>
  <si>
    <t>(0.5039807968135*x0)+((-0.18113814753*x0)*pow((1.0+(-0.6666666666667*sin(log((((x1*x2)*pow(x3,-1.0))*pow(x4,-1.0)))))),2.0))</t>
  </si>
  <si>
    <t>x0*(0.5039807968135</t>
  </si>
  <si>
    <t>-0.3703199797754*x2*x3**2.0/(x4**2.0*(x0</t>
  </si>
  <si>
    <t>0.0121019824658+(0.9990868061691*x0)+(((-0.5216807798793*x0)*sin(log((x0*pow(x1,-1.0)))))*sin(log((x0*pow(x2,-1.0)))))</t>
  </si>
  <si>
    <t>-0.5216807798793*x0*sin(log(x0/x1**1.0))*sin(log(x0/x2**1.0))</t>
  </si>
  <si>
    <t>(0.9976632164103*x0)+((-0.9694810491321*x1)*x3)+(((0.6039115554886*x0)*pow(x1,2.0))*pow(x2,-2.0))+(((-0.1515393447108*x3)*pow(x1,2.0))*pow(log(x2),-2.0))</t>
  </si>
  <si>
    <t>0.6039115554886*x0*x1**2.0/x2**2.0</t>
  </si>
  <si>
    <t>2.4210206435263+(-1.4813490355657*cos(((((((4.0*x0)*x1)*x6)*pow(x5,-2.0))*pow(((0.6366197723676+x3)+x4),-2.0))*sin(pow(x2,-1.0)))))+((((1.3781910602925*x0)*x1)*pow(x5,-2.0))*pow(((-0.5+x3)+x4),-2.0))</t>
  </si>
  <si>
    <t>1.3781910602925*x0*x1/(x5**2.0*(x3</t>
  </si>
  <si>
    <t>((1.1179299706276*x0)*x1)+((-0.5013245002558*x0)*x3)+((-0.501721578245*x0)*x2)+(((1.6190157635341*x0)*pow(x3,2.0))*pow(((x1+x2)+x3),-1.0))+(((1.619524677699*x0)*x2)*pow((1.0+(x1*pow((x2+x3),-1.0))),-1.0))</t>
  </si>
  <si>
    <t>1.1179299706276*x0*x1</t>
  </si>
  <si>
    <t>0.0066490383656+(((0.5219724001258*x2)*x3)*pow((x0*x1),2.0))+((((0.9404454343733*x0)*x1)*x2)*x3)</t>
  </si>
  <si>
    <t>0.9404454343733*x0*x1*x2*x3</t>
  </si>
  <si>
    <t>0.1106356955636+((0.4948439315714*pow(x0,-1.0))*pow(x2,2.0))+(((-0.0637773938953*x0)*pow(x1,2.0))*pow((1.0+x4),3.0))+((((0.3573150301864*x0)*x4)*pow(x1,2.0))*pow(pow((1.0+x4),3.0),0.5))+(((((157.0756462564377*x0)*x5)*pow(x1,2.0))*pow(x4,3.0))*sin((0.0031830988618*pow(x3,-1.0))))</t>
  </si>
  <si>
    <t>0.4948439315714*x2**2.0/x0**1.0</t>
  </si>
  <si>
    <t>0.0007049572384+((0.0721524231548*x0)*pow(((x2*x4)+((x1*x4)*cos((3.1415926535898+x3)))),-1.0))</t>
  </si>
  <si>
    <t>0.0721524231548*x0/(x1*x4*cos(x3</t>
  </si>
  <si>
    <t>(((0.0390891905016*x0)*x1)*x2)+(((((((23.4251642736595*x0)*x1)*x2)*x4)*x6)*x8)*pow(((x3*x5)*x7),-2.0))</t>
  </si>
  <si>
    <t>23.4251642736595*x0*x1*x2*x4*x6*x8/(x3*x5*x7)**2.0</t>
  </si>
  <si>
    <t>(((x0*x2)*x3)*pow(x1,-2.0))</t>
  </si>
  <si>
    <t>x0*x2*x3/x1**2.0</t>
  </si>
  <si>
    <t>(((-1.0*x0)*x4)*pow((x2*pow(x1,-1.0)),-1.0))+((((1.0*x0)*x1)*x4)*pow(x3,-1.0))</t>
  </si>
  <si>
    <t>1.0*x0*x1*x4/x3**1.0</t>
  </si>
  <si>
    <t>((-0.9999999999999*x0)*x1)+(((2.0*x0)*x1)*pow((-1.0*sin((0.5*x2))),2.0))</t>
  </si>
  <si>
    <t>x0*x1*(2.0*(-sin(0.5*x2))**2.0</t>
  </si>
  <si>
    <t>(((((-0.125*x0)*pow(x1,4.0))*pow(x2,-2.0))*pow(x3,-2.0))*pow(x4,-2.0))</t>
  </si>
  <si>
    <t>-0.125*x0*x1**4.0/(x2**2.0*x3**2.0*x4**2.0)</t>
  </si>
  <si>
    <t>(3.3333333333333*x0)+(9.9999999999999*x1)+(-3.3333333333333*pow(x0,3.0))</t>
  </si>
  <si>
    <t>1.9420710637277+(0.2086946121522*x0)+(-0.6020913758976*x1)+(-1.364509847764*pow(x1,-1.0))+((((1.4056963244711*x0)*x3)*pow((x1+x2),-1.0))*sin(((-0.5*x2)+((1.0*x2)*x3))))+((((0.385014548967*x0)*pow(x2,-1.0))*pow((1.0+x1),-1.0))*exp(x3))</t>
  </si>
  <si>
    <t>0.385014548967*x0*exp(x3)/(x2**1.0*(x1</t>
  </si>
  <si>
    <t>31.6636771803927*x0*x1*x2**2.0*x3**2.0*x4**6.0/(x5**2.0*(x4</t>
  </si>
  <si>
    <t>(0.982850842186*x0)+(((-0.1349469732333*x0)*x1)*pow((x1+(-0.9*x2)),-1.0))</t>
  </si>
  <si>
    <t>-0.1349469732333*x0*x1/(x1</t>
  </si>
  <si>
    <t>-1.8044943687958*0.6**((x2</t>
  </si>
  <si>
    <t>0.0080405159167+(0.995852400753*x3)+(((0.622092107054*x3)*pow(x1,-2.0))*pow(x2,2.0))+(((-1.1417133768353*x0)*x2)*pow(x1,-2.0))</t>
  </si>
  <si>
    <t>(-1.1417133768353*x0*x2</t>
  </si>
  <si>
    <t>0.0058805546233+((0.0124810014374*x6)*pow((x5*pow((((((x0*x1)*x2)*x3)*x4)*log(x6)),-1.0)),-2.0))+((((((((-0.6384151401747*pow(x0,2.0))*pow(x1,2.0))*pow(x2,2.0))*pow(x3,2.0))*pow(x4,2.0))*pow(x5,-2.0))*pow((x6+(-0.4794255386042*pow(x6,-1.0))),-1.0))*cos((1.0+pow((-0.72+x6),-0.5))))</t>
  </si>
  <si>
    <t>-0.6384151401747*x0**2.0*x1**2.0*x2**2.0*x3**2.0*x4**2.0*cos((x6</t>
  </si>
  <si>
    <t>((0.0032634394134*x0)*x2)+((0.7635083446402*x0)*x1)+((((-0.1922190678407*x0)*x1)*x2)*pow((x1+(-1.0*x2)),-1.0))</t>
  </si>
  <si>
    <t>-0.1922190678407*x0*x1*x2/(x1</t>
  </si>
  <si>
    <t>1.2353859605411+(1.1348590472188*log((x0+x1)))+(0.5328518731315*x0)+(-0.0800948384899*pow(x0,3.0))+(-0.7216535038324*x1)+((0.0417202090978*pow(x1,2.0))*pow((1.0+x0),-2.0))+((-0.0506358039629*x0)*x1)+((-2.1612236956159*pow((x0+x1),-0.5))*cos((1.0+x0)))</t>
  </si>
  <si>
    <t>0.0796681548389+((((((0.0007233787864*pow(x2,3.0))*pow(x3,2.0))*pow(x4,-4.0))*pow(x5,-3.0))*pow((x0+((0.5*x1)*x6)),-3.0))*pow(((1.0+x0)+x1),4.0))+(((((((0.000968619239*x1)*pow(x0,-4.0))*pow(x2,2.0))*pow(x3,2.0))*pow(x4,-2.0))*pow(x5,-2.0))*pow(((1.0+x0)+x1),4.0))</t>
  </si>
  <si>
    <t>0.000968619239*x1*x2**2.0*x3**2.0*(x0</t>
  </si>
  <si>
    <t>0.5820443136928+(0.1598264297681*x4)+(-0.2370615212912*x2)+((1.0023373398527*x3)*x5)+((0.9936511057227*x0)*pow(x1,2.0))+((1.8501505241391*pow((pow((pow((-0.5+x3),-1.0)+(x0*pow(x3,-1.0))),2.0)+((x3*x4)*pow(x1,-1.0))),-1.0))*pow(((pow(x3,-1.0)+(-1.0*x4))+(x2*pow(x3,-1.0))),2.0))+(((1.1276045697451*x3)*pow((pow((pow(x3,-0.5)+(x0*pow(x3,-1.0))),2.0)+(x4*pow(x1,-1.0))),-1.0))*pow((((0.6666666666667*pow(x3,-1.0))+(-1.0*x4))+((0.6666666666667*x2)*pow(x3,-1.0))),2.0))</t>
  </si>
  <si>
    <t>0.9936511057227*x0*x1**2.0</t>
  </si>
  <si>
    <t>0.0108814631809+(1.0048291723538*x0)+((-1.0002129659168*x0)*x1)+(((-0.8101681117193*pow(x1,2.0))*pow((x2+(-1.0*x3)),2.0))*sin((x0*pow((5.0+x1),-1.0))))</t>
  </si>
  <si>
    <t>(((((1.0*x0)*x1)*pow(x2,-1.0))*pow((x3+x4),-1.0))*pow((x3+(-1.0*x4)),-1.0))</t>
  </si>
  <si>
    <t>1.0*x0*x1/(x2**1.0*(x3</t>
  </si>
  <si>
    <t>(1.0102345966815*x2)+(((-1.2310506695455*x1)*x2)*pow((x1+(-1.35*x0)),-1.0))</t>
  </si>
  <si>
    <t>-1.2310506695455*x1*x2/(-1.35*x0</t>
  </si>
  <si>
    <t>0.0065655726791+((1.0011806319015*x0)*pow(x1,-1.0))+(((-5.4278829703272*x1)*pow(x0,-1.0))*pow(x2,-2.0))</t>
  </si>
  <si>
    <t>-5.4278829703272*x1/(x0**1.0*x2**2.0)</t>
  </si>
  <si>
    <t>((0.5*x0)*x3)+((1.0*x0)*cos((x1*x2)))+(((0.5*x0)*x3)*cos(((2.0*x1)*x2)))</t>
  </si>
  <si>
    <t>x0*(0.5*x3*cos(2.0*x1*x2)</t>
  </si>
  <si>
    <t>((3.5748830241629*pow(x2,-2.0707963267949))*pow((log(x1)*log((x3*pow(x0,2.0)))),pow(x3,-1.0)))</t>
  </si>
  <si>
    <t>3.5748830241629*(log(x1)*log(x0**2.0*x3))**(x3**(-1.0))/x2**2.0707963267949</t>
  </si>
  <si>
    <t>-1.9749062240469*x1*(-1.0*x1/x0**1.0</t>
  </si>
  <si>
    <t>(1.0*sin(x0))+((-0.9*pow(sin(x1),2.0))*sin(x0))</t>
  </si>
  <si>
    <t>(1.0</t>
  </si>
  <si>
    <t>((0.9999247021235*x2)*x3)+((-0.0794018828263*x0)*x1)+(((0.0020374251267*pow(x2,-1.0))*pow(x3,-1.0))*pow((x0*x1),2.0))</t>
  </si>
  <si>
    <t>((1.0*x0)*x3)+((1.0*x1)*x4)+((0.9999999999999*x2)*pow(x5,1.0))</t>
  </si>
  <si>
    <t>(1.9999999999999*x1)+(-1.0*pow(x1,2.0))+((-1.0*x0)*pow(x1,1.0))</t>
  </si>
  <si>
    <t>-1.0*x0*x1**1.0</t>
  </si>
  <si>
    <t>6.276657967116*x2*x3/(x0*x1)**1.0</t>
  </si>
  <si>
    <t>(((6.909297e-06*pow((x1*pow(x3,-1.0)),-5.0))*pow((((x0*x2)+(x0*x3))+(x0*cos((-2.0+(1.0*pow(x4,2.0)))))),4.0))*log(x2))+((((0.2981077170277*pow(x1,-5.0))*pow(x2,2.0))*pow(x4,-10.0))*pow((((0.5*pow(x4,-1.0))+(x0*exp(x4)))+(x0*sin((2.0*pow(x4,-1.0))))),4.0))+((((2.4471376013593*x0)*pow(x1,-5.0))*pow(x4,-4.0))*pow((((-0.7351666863853+(0.6*x0))+(x0*pow((0.5+x4),-1.0)))+log((pow(x0,2.0)*pow(x3,2.0)))),4.0))+((((-0.7787369615064*pow(x1,-5.0))*pow(x4,-4.0))*pow((1.0+x2),3.0))*pow((((0.5*x0)+(x0*pow(x4,-1.0)))+((0.5*x0)*x3)),4.0))</t>
  </si>
  <si>
    <t>2.4471376013593*x0*(x0/(x4</t>
  </si>
  <si>
    <t>(((-0.0126651479553*pow(x0,2.0))*pow(x1,-1.0))*pow((-1.0*pow(x2,2.0)),-1.0))</t>
  </si>
  <si>
    <t>-0.0126651479553*x0**2.0/(x1**1.0*(-x2**2.0)**1.0)</t>
  </si>
  <si>
    <t>((0.9999999999999*x0)*x1)+((((1.0*x0)*x2)*x3)*sin((1.0*x4)))</t>
  </si>
  <si>
    <t>x0*(0.9999999999999*x1</t>
  </si>
  <si>
    <t>(1.0*x0)+((0.9999999999999*x0)*x1)+(((-2.0*x0)*x1)*pow(sin((0.5*x2)),2.0))</t>
  </si>
  <si>
    <t>x0*(-2.0*x1*sin(0.5*x2)**2.0</t>
  </si>
  <si>
    <t>(((0.25*x0)*pow(x1,2.0))*pow(x3,2.0))+(((0.25*x0)*pow(x2,2.0))*pow(x3,2.0))</t>
  </si>
  <si>
    <t>0.25*x0*x3**2.0*(x1**2.0</t>
  </si>
  <si>
    <t>(0.98280314481*x0)+(((-0.1342645048261*x0)*x1)*pow((x1+(-0.9*x2)),-1.0))</t>
  </si>
  <si>
    <t>-0.1342645048261*x0*x1/(x1</t>
  </si>
  <si>
    <t>(((-0.039788735773*pow(x0,-1.0))*pow(x3,2.0))*pow(x5,2.0))+((((0.0795774715459*x4)*pow(x0,-1.0))*pow(x3,2.0))*pow(x5,2.0))+((((-0.039788735773*x1)*pow(x0,-1.0))*pow(x5,2.0))*pow((x5*pow(x2,-1.0)),2.0))</t>
  </si>
  <si>
    <t>x5**2.0*(-0.039788735773*x1*(x5/x2**1.0)**2.0</t>
  </si>
  <si>
    <t>random_03_01_0010000_00.data</t>
  </si>
  <si>
    <t>(1.0*x0)</t>
  </si>
  <si>
    <t>random_03_01_0010000_01.data</t>
  </si>
  <si>
    <t>(1.0*pow(x0,4.0))</t>
  </si>
  <si>
    <t>1.0*x0**4.0</t>
  </si>
  <si>
    <t>random_03_01_0010000_02.data</t>
  </si>
  <si>
    <t>1.0+(1.0*x0)</t>
  </si>
  <si>
    <t>random_03_01_0010000_03.data</t>
  </si>
  <si>
    <t>(0.3183098861838*x0)</t>
  </si>
  <si>
    <t>0.3183098861838*x0</t>
  </si>
  <si>
    <t>random_03_01_0010000_04.data</t>
  </si>
  <si>
    <t>random_04_01_0010000_00.data</t>
  </si>
  <si>
    <t>1.0+(1.0*log(x0))</t>
  </si>
  <si>
    <t>1.0*log(x0)</t>
  </si>
  <si>
    <t>random_04_01_0010000_01.data</t>
  </si>
  <si>
    <t>3.1415926535898+(1.0*sin((1.0*x0)))</t>
  </si>
  <si>
    <t>1.0*sin(1.0*x0)</t>
  </si>
  <si>
    <t>random_04_01_0010000_02.data</t>
  </si>
  <si>
    <t>(3.1415926535898*exp((1.0*x0)))</t>
  </si>
  <si>
    <t>3.1415926535898*exp(1.0*x0)</t>
  </si>
  <si>
    <t>random_04_01_0010000_03.data</t>
  </si>
  <si>
    <t>2.0+(1.0*sin((1.0*x0)))</t>
  </si>
  <si>
    <t>random_04_01_0010000_04.data</t>
  </si>
  <si>
    <t>0.9991270847529+(0.1052180320159*x0)</t>
  </si>
  <si>
    <t>0.1052180320159*x0</t>
  </si>
  <si>
    <t>random_04_02_0010000_00.data</t>
  </si>
  <si>
    <t>(-1.0*log(pow((x1+(1.0*x0)),-1.0)))</t>
  </si>
  <si>
    <t>-1.0*log((1.0*x0</t>
  </si>
  <si>
    <t>x1)**(-1.0))</t>
  </si>
  <si>
    <t>random_04_02_0010000_01.data</t>
  </si>
  <si>
    <t>(1.0*sin((x0+x1)))</t>
  </si>
  <si>
    <t>1.0*sin(x0</t>
  </si>
  <si>
    <t>random_04_02_0010000_02.data</t>
  </si>
  <si>
    <t>(1.0*x1)+(1.0*log(x0))</t>
  </si>
  <si>
    <t>random_04_02_0010000_03.data</t>
  </si>
  <si>
    <t>(1.0*sin((x0*x1)))</t>
  </si>
  <si>
    <t>1.0*sin(x0*x1)</t>
  </si>
  <si>
    <t>random_04_02_0010000_04.data</t>
  </si>
  <si>
    <t>((1.0*x0)*exp(x1))</t>
  </si>
  <si>
    <t>1.0*x0*exp(x1)</t>
  </si>
  <si>
    <t>random_05_01_0010000_00.data</t>
  </si>
  <si>
    <t>(0.0432139182638*pow(x0,2.0))</t>
  </si>
  <si>
    <t>0.0432139182638*x0**2.0</t>
  </si>
  <si>
    <t>random_05_01_0010000_01.data</t>
  </si>
  <si>
    <t>(4.53999298e-05*log(x0))</t>
  </si>
  <si>
    <t>4.53999298e-5*log(x0)</t>
  </si>
  <si>
    <t>random_05_01_0010000_02.data</t>
  </si>
  <si>
    <t>(1.0*pow(x0,(1.0*x0)))</t>
  </si>
  <si>
    <t>1.0*x0**(1.0*x0)</t>
  </si>
  <si>
    <t>random_05_01_0010000_03.data</t>
  </si>
  <si>
    <t>(-0.4161468365471*log(x0))</t>
  </si>
  <si>
    <t>random_05_01_0010000_04.data</t>
  </si>
  <si>
    <t>(1.0*exp((-1.0*sin(x0))))</t>
  </si>
  <si>
    <t>1.0*exp(-1.0*sin(x0))</t>
  </si>
  <si>
    <t>random_05_02_0010000_00.data</t>
  </si>
  <si>
    <t>((1.0*cos(x0))*sin(x1))</t>
  </si>
  <si>
    <t>1.0*sin(x1)*cos(x0)</t>
  </si>
  <si>
    <t>random_05_02_0010000_01.data</t>
  </si>
  <si>
    <t>(1.0000000000005*cos((x0*sin(x1))))</t>
  </si>
  <si>
    <t>1.0000000000005*cos(x0*sin(x1))</t>
  </si>
  <si>
    <t>random_05_02_0010000_02.data</t>
  </si>
  <si>
    <t>1e-13+(1.0*log(x0))+(0.9999999999999*cos(x1))</t>
  </si>
  <si>
    <t>0.9999999999999*cos(x1)</t>
  </si>
  <si>
    <t>random_05_02_0010000_03.data</t>
  </si>
  <si>
    <t>(0.5*log(pow(cos(x1),2.0)))+(1.0*log(x0))</t>
  </si>
  <si>
    <t>0.5*log(cos(x1)**2.0)</t>
  </si>
  <si>
    <t>random_05_02_0010000_04.data</t>
  </si>
  <si>
    <t>(1.0*exp(x0))+(1.0*sin(x1))</t>
  </si>
  <si>
    <t>1.0*exp(x0)</t>
  </si>
  <si>
    <t>random_06_01_0010000_00.data</t>
  </si>
  <si>
    <t>0.3115333209868+(-0.4043951245089*pow(x0,2.1447298858494))</t>
  </si>
  <si>
    <t>0.4043951245089*x0**2.1447298858494</t>
  </si>
  <si>
    <t>random_06_01_0010000_01.data</t>
  </si>
  <si>
    <t>1.018716194115+(0.7360595554959*pow(x0,0.5))+(0.6358699817281*x0)</t>
  </si>
  <si>
    <t>0.7360595554959*x0**0.5</t>
  </si>
  <si>
    <t>0.6358699817281*x0</t>
  </si>
  <si>
    <t>random_06_01_0010000_02.data</t>
  </si>
  <si>
    <t>4.6051701859881+(0.5*log(x0))</t>
  </si>
  <si>
    <t>0.5*log(x0)</t>
  </si>
  <si>
    <t>random_06_01_0010000_03.data</t>
  </si>
  <si>
    <t>(7.3890560989305*exp((-2.0*x0)))</t>
  </si>
  <si>
    <t>7.3890560989305*exp(-2.0*x0)</t>
  </si>
  <si>
    <t>random_06_01_0010000_04.data</t>
  </si>
  <si>
    <t>1.0+(-1.0*exp(x0))</t>
  </si>
  <si>
    <t>random_06_02_0010000_00.data</t>
  </si>
  <si>
    <t>(0.9999999999999*exp(x0))+(-2.0*x1)</t>
  </si>
  <si>
    <t>0.9999999999999*exp(x0)</t>
  </si>
  <si>
    <t>random_06_02_0010000_01.data</t>
  </si>
  <si>
    <t>(3.1415926535897*cos(x0))+((1.0*x1)*cos(x0))</t>
  </si>
  <si>
    <t>(1.0*x1</t>
  </si>
  <si>
    <t>3.1415926535897)*cos(x0)</t>
  </si>
  <si>
    <t>random_06_02_0010000_02.data</t>
  </si>
  <si>
    <t>1.758600550525*x0*x1**2.0</t>
  </si>
  <si>
    <t>1.2950401123325*x0</t>
  </si>
  <si>
    <t>1.603785248485*x0**2.0</t>
  </si>
  <si>
    <t>1.113005781995/(sin(x0)**(x0**(-1.0))</t>
  </si>
  <si>
    <t>sin(x1)</t>
  </si>
  <si>
    <t>random_06_02_0010000_03.data</t>
  </si>
  <si>
    <t>((1.0*exp(x1))*sin(cos(x0)))</t>
  </si>
  <si>
    <t>1.0*exp(x1)*sin(cos(x0))</t>
  </si>
  <si>
    <t>random_06_02_0010000_04.data</t>
  </si>
  <si>
    <t>random_06_03_0010000_00.data</t>
  </si>
  <si>
    <t>((1.0*x0)*sin(x1))+((1.0*x2)*sin(x1))</t>
  </si>
  <si>
    <t>1.0*(x0</t>
  </si>
  <si>
    <t>x2)*sin(x1)</t>
  </si>
  <si>
    <t>random_06_03_0010000_01.data</t>
  </si>
  <si>
    <t>(1.0*log(x2))+((1.0*x0)*x1)</t>
  </si>
  <si>
    <t>1.0*log(x2)</t>
  </si>
  <si>
    <t>random_06_03_0010000_02.data</t>
  </si>
  <si>
    <t>(((1.0*x0)*x2)*pow(x1,0.5))</t>
  </si>
  <si>
    <t>1.0*x0*x1**0.5*x2</t>
  </si>
  <si>
    <t>random_06_03_0010000_03.data</t>
  </si>
  <si>
    <t>((1.0*x0)*cos(x2))+((1.0*x1)*cos(x2))</t>
  </si>
  <si>
    <t>x1)*cos(x2)</t>
  </si>
  <si>
    <t>random_06_03_0010000_04.data</t>
  </si>
  <si>
    <t>(((1.0*x0)*x2)*pow(x1,2.0))</t>
  </si>
  <si>
    <t>1.0*x0*x1**2.0*x2</t>
  </si>
  <si>
    <t>random_07_01_0010000_00.data</t>
  </si>
  <si>
    <t>2.0/x0**1.0</t>
  </si>
  <si>
    <t>random_07_01_0010000_01.data</t>
  </si>
  <si>
    <t>1.9927161405227+(-1.227419889281*pow(0.6,x0))</t>
  </si>
  <si>
    <t>1.227419889281*0.6**x0</t>
  </si>
  <si>
    <t>random_07_01_0010000_02.data</t>
  </si>
  <si>
    <t>(-1.9999999999999*pow((2.0+x0),-1.0))</t>
  </si>
  <si>
    <t>-1.9999999999999/(x0</t>
  </si>
  <si>
    <t>2.0)**1.0</t>
  </si>
  <si>
    <t>random_07_01_0010000_03.data</t>
  </si>
  <si>
    <t>0.6979556344778+(-0.5568679919678*x0)</t>
  </si>
  <si>
    <t>0.5568679919678*x0</t>
  </si>
  <si>
    <t>random_07_01_0010000_04.data</t>
  </si>
  <si>
    <t>7.4903264958242+(0.6158159192751*exp(pow(x0,4.0)))+(3.7795888669769*exp(pow(x0,2.0)))</t>
  </si>
  <si>
    <t>3.7795888669769*exp(x0**2.0)</t>
  </si>
  <si>
    <t>0.6158159192751*exp(x0**4.0)</t>
  </si>
  <si>
    <t>random_07_02_0010000_00.data</t>
  </si>
  <si>
    <t>10.0+(1.0*x0)+(10.0*x1)+((1.0*x0)*x1)</t>
  </si>
  <si>
    <t>random_07_02_0010000_01.data</t>
  </si>
  <si>
    <t>(100.0*x0)+((1.0*x0)*pow(x1,2.0))+((-20.0*x0)*x1)</t>
  </si>
  <si>
    <t>x0*(-20.0*x1</t>
  </si>
  <si>
    <t>100.0)</t>
  </si>
  <si>
    <t>random_07_02_0010000_02.data</t>
  </si>
  <si>
    <t>(1.0*cos(exp(x0)))+(-1.0*x1)</t>
  </si>
  <si>
    <t>1.0*cos(exp(x0))</t>
  </si>
  <si>
    <t>random_07_02_0010000_03.data</t>
  </si>
  <si>
    <t>(1.0*log(x0))+(-1.0*x1)</t>
  </si>
  <si>
    <t>random_07_02_0010000_04.data</t>
  </si>
  <si>
    <t>(1.0*pow(x0,2.0))+(1.0*sin((1.0*exp(x1))))</t>
  </si>
  <si>
    <t>1.0*sin(1.0*exp(x1))</t>
  </si>
  <si>
    <t>random_07_03_0010000_00.data</t>
  </si>
  <si>
    <t>1.2094712051164+(0.7456183356087*x0)+(-0.3994871367519*cos(exp(x0)))+((1.0000962546422*x1)*x2)</t>
  </si>
  <si>
    <t>0.7456183356087*x0</t>
  </si>
  <si>
    <t>1.0000962546422*x1*x2</t>
  </si>
  <si>
    <t>0.3994871367519*cos(exp(x0))</t>
  </si>
  <si>
    <t>random_07_03_0010000_01.data</t>
  </si>
  <si>
    <t>random_07_03_0010000_02.data</t>
  </si>
  <si>
    <t>(((1.0*x1)*x2)*exp((0.5*x0)))</t>
  </si>
  <si>
    <t>1.0*x1*x2*exp(0.5*x0)</t>
  </si>
  <si>
    <t>random_07_03_0010000_03.data</t>
  </si>
  <si>
    <t>(-3.1415926535898*x1)+((1.0*x0)*x2)</t>
  </si>
  <si>
    <t>1.0*x0*x2</t>
  </si>
  <si>
    <t>3.1415926535898*x1</t>
  </si>
  <si>
    <t>random_07_03_0010000_04.data</t>
  </si>
  <si>
    <t>(1.4201317758174*x0)+((1.0184341638931*x0)*cos((2.0+(x1*x2))))</t>
  </si>
  <si>
    <t>x0*(1.0184341638931*cos(x1*x2</t>
  </si>
  <si>
    <t>2.0)</t>
  </si>
  <si>
    <t>1.4201317758174)</t>
  </si>
  <si>
    <t>random_07_04_0010000_00.data</t>
  </si>
  <si>
    <t>((((1.0*x0)*x2)*x3)*pow(x1,-1.0))</t>
  </si>
  <si>
    <t>1.0*x0*x2*x3/x1**1.0</t>
  </si>
  <si>
    <t>random_07_04_0010000_01.data</t>
  </si>
  <si>
    <t>random_07_04_0010000_02.data</t>
  </si>
  <si>
    <t>(1.0*x2)+(1.0*x3)+((-1.0*x0)*x1)</t>
  </si>
  <si>
    <t>1.0*x3</t>
  </si>
  <si>
    <t>random_07_04_0010000_03.data</t>
  </si>
  <si>
    <t>((1.0*x0)*x2)+((1.0*x1)*x3)</t>
  </si>
  <si>
    <t>1.0*x1*x3</t>
  </si>
  <si>
    <t>random_07_04_0010000_04.data</t>
  </si>
  <si>
    <t>(1.0*x0)+(1.0*x1)+(1.0*x2)+(-0.9999999999999*x3)</t>
  </si>
  <si>
    <t>0.9999999999999*x3</t>
  </si>
  <si>
    <t>random_08_01_0010000_00.data</t>
  </si>
  <si>
    <t>11.378353269182+(-0.6877523070733*pow(2.0,x0))</t>
  </si>
  <si>
    <t>0.6877523070733*2.0**x0</t>
  </si>
  <si>
    <t>random_08_01_0010000_01.data</t>
  </si>
  <si>
    <t>6.5499845698542+(-1.0*x0)</t>
  </si>
  <si>
    <t>random_08_01_0010000_02.data</t>
  </si>
  <si>
    <t>(0.25*pow(x0,2.0))+(0.25*pow(x0,3.0))</t>
  </si>
  <si>
    <t>0.25*x0**2.0</t>
  </si>
  <si>
    <t>0.25*x0**3.0</t>
  </si>
  <si>
    <t>random_08_01_0010000_03.data</t>
  </si>
  <si>
    <t>(0.2143883039616*pow(x0,-2.0))</t>
  </si>
  <si>
    <t>0.2143883039616/x0**2.0</t>
  </si>
  <si>
    <t>random_08_01_0010000_04.data</t>
  </si>
  <si>
    <t>0.8556343548214+(1.0*cos((2.0*x0)))</t>
  </si>
  <si>
    <t>1.0*cos(2.0*x0)</t>
  </si>
  <si>
    <t>random_08_02_0010000_00.data</t>
  </si>
  <si>
    <t>(1.0*log(pow(x0,x1)))+(10.0*x0)+(9.9999999999998*log(x0))+((1.0*x0)*x1)</t>
  </si>
  <si>
    <t>10.0*x0</t>
  </si>
  <si>
    <t>9.9999999999998*log(x0)</t>
  </si>
  <si>
    <t>1.0*log(x0**x1)</t>
  </si>
  <si>
    <t>random_08_02_0010000_01.data</t>
  </si>
  <si>
    <t>(0.3122582922868*log(x0))+((1.2330638332578*pow(x1,3.0))*log(x0))+((0.795407725223*x1)*log(x0))</t>
  </si>
  <si>
    <t>(0.795407725223*x1</t>
  </si>
  <si>
    <t>1.2330638332578*x1**3.0</t>
  </si>
  <si>
    <t>0.3122582922868)*log(x0)</t>
  </si>
  <si>
    <t>random_08_02_0010000_02.data</t>
  </si>
  <si>
    <t>0.6886011286845+(1.0121043337887*cos(x0))+(-0.7029112501083*pow((pow(cos((x0*pow(x1,0.5))),-1.0)*exp(x1)),0.5))</t>
  </si>
  <si>
    <t>-0.7029112501083*(exp(x1)/cos(x0*x1**0.5))**0.5</t>
  </si>
  <si>
    <t>1.0121043337887*cos(x0)</t>
  </si>
  <si>
    <t>random_08_02_0010000_03.data</t>
  </si>
  <si>
    <t>145.5747243029992*x0**10.0</t>
  </si>
  <si>
    <t>64.6369299393287*(x0*(0.5</t>
  </si>
  <si>
    <t>1.0*exp(x0**2.0)))**3.0*exp(x0)</t>
  </si>
  <si>
    <t>2.0163424088272*(x0</t>
  </si>
  <si>
    <t>0.4052847345694*x0**2.0*exp(2.0*x0**2.0))**3.0</t>
  </si>
  <si>
    <t>1.0103349627795*exp(9.8977702048898*x0)</t>
  </si>
  <si>
    <t>0.9997468083513*log(sin(x1))</t>
  </si>
  <si>
    <t>random_08_02_0010000_04.data</t>
  </si>
  <si>
    <t>(-1.1447298858494*cos(exp(x0)))+((-1.0*cos(exp(x0)))*log(pow(x1,-1.0)))</t>
  </si>
  <si>
    <t>(-1.0*log(x1**(-1.0))</t>
  </si>
  <si>
    <t>1.1447298858494)*cos(exp(x0))</t>
  </si>
  <si>
    <t>random_08_03_0010000_00.data</t>
  </si>
  <si>
    <t>-0.957424591308*x0*x2*sin(exp(x1))**4.0</t>
  </si>
  <si>
    <t>22.8135636744567*x1</t>
  </si>
  <si>
    <t>25.8981316160238*sin(x1</t>
  </si>
  <si>
    <t>random_08_03_0010000_01.data</t>
  </si>
  <si>
    <t>0.8244910526625*(x0</t>
  </si>
  <si>
    <t>0.25)**2.0</t>
  </si>
  <si>
    <t>1.4619024445748*cos(x2*(x0</t>
  </si>
  <si>
    <t>x1))</t>
  </si>
  <si>
    <t>random_08_03_0010000_02.data</t>
  </si>
  <si>
    <t>1.0*exp(x1)</t>
  </si>
  <si>
    <t>random_08_03_0010000_03.data</t>
  </si>
  <si>
    <t>1.0*x2/x0**1.0</t>
  </si>
  <si>
    <t>1.0*log(x1)</t>
  </si>
  <si>
    <t>random_08_03_0010000_04.data</t>
  </si>
  <si>
    <t>(1.0*log(((2.0*x0)+(x1*x2))))</t>
  </si>
  <si>
    <t>1.0*log(2.0*x0</t>
  </si>
  <si>
    <t>x1*x2)</t>
  </si>
  <si>
    <t>random_08_04_0010000_00.data</t>
  </si>
  <si>
    <t>0.9466396875587+(-3.3286039546658*x3)+((2.3661372850373*x3)*pow((x0+x2),0.5))+((1.9037885734064*x1)*x3)+(((-0.2573094937474*x1)*x3)*pow(((x0+x1)+x2),2.0))</t>
  </si>
  <si>
    <t>-0.2573094937474*x1*x3*(x0</t>
  </si>
  <si>
    <t>x2)**2.0</t>
  </si>
  <si>
    <t>1.9037885734064*x1*x3</t>
  </si>
  <si>
    <t>2.3661372850373*x3*(x0</t>
  </si>
  <si>
    <t>x2)**0.5</t>
  </si>
  <si>
    <t>3.3286039546658*x3</t>
  </si>
  <si>
    <t>random_08_04_0010000_01.data</t>
  </si>
  <si>
    <t>((((1.0*x2)*x3)*pow(x0,-1.0))*exp(x1))</t>
  </si>
  <si>
    <t>1.0*x2*x3*exp(x1)/x0**1.0</t>
  </si>
  <si>
    <t>random_08_04_0010000_02.data</t>
  </si>
  <si>
    <t>(((1.0*x0)*x1)*x3)+(((1.0*x0)*x1)*pow(x2,0.5))</t>
  </si>
  <si>
    <t>1.0*x0*x1*(x2**0.5</t>
  </si>
  <si>
    <t>x3)</t>
  </si>
  <si>
    <t>random_08_04_0010000_03.data</t>
  </si>
  <si>
    <t>1.655632565083+(-1.0237229287974*sin(((0.8+x3)+(pow((x1*x2),0.5)*exp(pow(x0,(0.5*pow((0.5+x3),-1.0))))))))+(-0.4705889474698*pow((x0+x3),-1.0))+(-0.2397506187086*x3)+((-1.3386354527603*x1)*x2)</t>
  </si>
  <si>
    <t>0.2397506187086*x3</t>
  </si>
  <si>
    <t>0.4705889474698/(x0</t>
  </si>
  <si>
    <t>1.0237229287974*sin(x3</t>
  </si>
  <si>
    <t>(x1*x2)**0.5*exp(x0**(0.5/(x3</t>
  </si>
  <si>
    <t>0.5)**1.0))</t>
  </si>
  <si>
    <t>0.8)</t>
  </si>
  <si>
    <t>random_08_04_0010000_04.data</t>
  </si>
  <si>
    <t>(1.0*x3)+(1.0*pow(x1,0.5))+((1.0*x0)*x2)</t>
  </si>
  <si>
    <t>1.0*x1**0.5</t>
  </si>
  <si>
    <t>random_09_01_0010000_00.data</t>
  </si>
  <si>
    <t>0.9326351108224+(-0.5717885581333*x0)+(-0.648169928419*cos(x0))</t>
  </si>
  <si>
    <t>0.648169928419*cos(x0)</t>
  </si>
  <si>
    <t>random_09_01_0010000_01.data</t>
  </si>
  <si>
    <t>(-2.4029979617223*cos((2.0*x0)))</t>
  </si>
  <si>
    <t>random_09_01_0010000_02.data</t>
  </si>
  <si>
    <t>3.5363768673076*x0**4.0</t>
  </si>
  <si>
    <t>13.9464831918405*x0**18.5</t>
  </si>
  <si>
    <t>170.9738834470097*x0**142.0</t>
  </si>
  <si>
    <t>5565744.998122001*sin(x0)**71.0/cos(x0**142.0)**28.0</t>
  </si>
  <si>
    <t>random_09_01_0010000_03.data</t>
  </si>
  <si>
    <t>17.152789708269+(1.4142135623731*pow(x0,0.5))</t>
  </si>
  <si>
    <t>1.4142135623731*x0**0.5</t>
  </si>
  <si>
    <t>random_09_01_0010000_04.data</t>
  </si>
  <si>
    <t>0.5528063710166+(0.3804140603536*sin(x0))</t>
  </si>
  <si>
    <t>0.3804140603536*sin(x0)</t>
  </si>
  <si>
    <t>random_09_02_0010000_00.data</t>
  </si>
  <si>
    <t>((220.2646579480675*pow(x1,2.0))*exp(x0))</t>
  </si>
  <si>
    <t>220.2646579480675*x1**2.0*exp(x0)</t>
  </si>
  <si>
    <t>random_09_02_0010000_01.data</t>
  </si>
  <si>
    <t>0.6274181367442+(1.0256940874681*pow((x1+sin(x0)),0.5))+(-1.3025219307354*x1)+(-1.0748505894141*x0)</t>
  </si>
  <si>
    <t>1.3025219307354*x1</t>
  </si>
  <si>
    <t>1.0256940874681*(x1</t>
  </si>
  <si>
    <t>sin(x0))**0.5</t>
  </si>
  <si>
    <t>random_09_02_0010000_02.data</t>
  </si>
  <si>
    <t>1.8722409412466+(-1.8689632864438*cos(x1))+((-0.6733526348784*pow(x1,2.0))*sin(x0))</t>
  </si>
  <si>
    <t>-0.6733526348784*x1**2.0*sin(x0)</t>
  </si>
  <si>
    <t>1.8689632864438*cos(x1)</t>
  </si>
  <si>
    <t>random_09_02_0010000_03.data</t>
  </si>
  <si>
    <t>11.0+(1.0*pow(x1,2.0))+(-1.0*exp(x0))</t>
  </si>
  <si>
    <t>random_09_02_0010000_04.data</t>
  </si>
  <si>
    <t>0.5403023058681+(2.0*exp((-1.0*x1)))</t>
  </si>
  <si>
    <t>2.0*exp(-1.0*x1)</t>
  </si>
  <si>
    <t>random_09_03_0010000_00.data</t>
  </si>
  <si>
    <t>1.0*sin(x2)</t>
  </si>
  <si>
    <t>random_09_03_0010000_01.data</t>
  </si>
  <si>
    <t>(1.0*cos((x0*x2)))+(-1.0*log(x1))</t>
  </si>
  <si>
    <t>1.0*cos(x0*x2)</t>
  </si>
  <si>
    <t>random_09_03_0010000_02.data</t>
  </si>
  <si>
    <t>0.1504127592367+(0.8477934962119*cos(((((2.4*x0)*x1)*cos(pow(x2,0.5)))+sin((x0*x1)))))</t>
  </si>
  <si>
    <t>0.8477934962119*cos(2.4*x0*x1*cos(x2**0.5)</t>
  </si>
  <si>
    <t>sin(x0*x1))</t>
  </si>
  <si>
    <t>random_09_03_0010000_03.data</t>
  </si>
  <si>
    <t>0.0853014668505+(-1.0036139909492*log(pow(((x1+(1.8*x0))+(x0*x2)),-1.0)))+(-0.4635016417478*x2)</t>
  </si>
  <si>
    <t>1.0036139909492*log((x0*x2</t>
  </si>
  <si>
    <t>1.8*x0</t>
  </si>
  <si>
    <t>random_09_03_0010000_04.data</t>
  </si>
  <si>
    <t>(1.0*sin((x0*x2)))+(1.0*sin((x1*x2)))</t>
  </si>
  <si>
    <t>1.0*sin(x0*x2)</t>
  </si>
  <si>
    <t>1.0*sin(x1*x2)</t>
  </si>
  <si>
    <t>random_09_04_0010000_00.data</t>
  </si>
  <si>
    <t>(1.0*x2)+(1.0*log(((x1*x3)*pow(x0,-1.0))))</t>
  </si>
  <si>
    <t>1.0*log(x1*x3/x0**1.0)</t>
  </si>
  <si>
    <t>random_09_04_0010000_01.data</t>
  </si>
  <si>
    <t>(1.0*x3)+(1.0*pow(x0,0.5))+((1.0*x1)*cos(x2))</t>
  </si>
  <si>
    <t>1.0*x0**0.5</t>
  </si>
  <si>
    <t>1.0*x1*cos(x2)</t>
  </si>
  <si>
    <t>random_09_04_0010000_02.data</t>
  </si>
  <si>
    <t>2.1107599249999+(0.9978433110094*sin((x0*x2)))+(-0.9566893796721*pow((exp(x1)*exp(x3)),0.5))</t>
  </si>
  <si>
    <t>-0.9566893796721*exp(x1</t>
  </si>
  <si>
    <t>x3)**0.5</t>
  </si>
  <si>
    <t>0.9978433110094*sin(x0*x2)</t>
  </si>
  <si>
    <t>random_09_04_0010000_03.data</t>
  </si>
  <si>
    <t>0.9913003101927*x3</t>
  </si>
  <si>
    <t>0.6848711664037*exp(x0</t>
  </si>
  <si>
    <t>1.0152535261409*sin(x2)</t>
  </si>
  <si>
    <t>random_09_04_0010000_04.data</t>
  </si>
  <si>
    <t>((0.4756044911393*x0)*x3)+(((0.2511760762753*x0)*pow((pow(x2,0.5)+cos(x1)),2.0))*pow((cos(x1)+cos(pow(x2,0.5))),x3))</t>
  </si>
  <si>
    <t>x0*(0.4756044911393*x3</t>
  </si>
  <si>
    <t>0.2511760762753*(x2**0.5</t>
  </si>
  <si>
    <t>cos(x1))**2.0*(cos(x1)</t>
  </si>
  <si>
    <t>cos(x2**0.5))**x3)</t>
  </si>
  <si>
    <t>random_10_01_0010000_00.data</t>
  </si>
  <si>
    <t>38.8306487700086+(22.4460939715082*sin(x0))+(-3.5724068086706*pow(cos(x0),2.0))</t>
  </si>
  <si>
    <t>22.4460939715082*sin(x0)</t>
  </si>
  <si>
    <t>3.5724068086706*cos(x0)**2.0</t>
  </si>
  <si>
    <t>random_10_01_0010000_01.data</t>
  </si>
  <si>
    <t>11.0+(1.1883951057781*log(pow(x0,-1.0)))</t>
  </si>
  <si>
    <t>1.1883951057781*log(x0**(-1.0))</t>
  </si>
  <si>
    <t>random_10_01_0010000_02.data</t>
  </si>
  <si>
    <t>0.8335025183039+(-0.3346313638699*cos(((0.5+(-1.0*x0))+((1.0*pow((-1.0*pow(sin(x0),-1.0)),50.0))*pow(sin(x0),x0)))))+(-1.0210324251721*pow(sin(x0),x0))+((0.5925222677666*pow((1.0+pow(x0,0.5)),-1.0))*cos((x0+pow(sin(x0),-10.0))))</t>
  </si>
  <si>
    <t>0.5925222677666*cos(x0</t>
  </si>
  <si>
    <t>sin(x0)**(-10.0))/(x0**0.5</t>
  </si>
  <si>
    <t>1.0210324251721*sin(x0)**x0</t>
  </si>
  <si>
    <t>0.3346313638699*cos(-1.0*x0</t>
  </si>
  <si>
    <t>1.0*(-1/sin(x0))**50.0*sin(x0)**x0</t>
  </si>
  <si>
    <t>random_10_01_0010000_03.data</t>
  </si>
  <si>
    <t>(9.8696044010894*pow(x0,-2.0))+(-1.0000000000064*exp(x0))</t>
  </si>
  <si>
    <t>9.8696044010894/x0**2.0</t>
  </si>
  <si>
    <t>1.0000000000064*exp(x0)</t>
  </si>
  <si>
    <t>random_10_01_0010000_04.data</t>
  </si>
  <si>
    <t>0.0473048717717+(0.1299129834935*pow(x0,0.5))</t>
  </si>
  <si>
    <t>0.1299129834935*x0**0.5</t>
  </si>
  <si>
    <t>random_10_02_0010000_00.data</t>
  </si>
  <si>
    <t>1.6578846658563+(0.27555419364*x0)+(0.8272902152242*log((pow(x0,-1.0)*pow(sin(x1),-1.0))))+(-6.1439686850323*pow(pow(((x0*x1)+cos((x0*x1))),2.0),-2.0))+(-0.0076821632362*pow(x1,-1.0))</t>
  </si>
  <si>
    <t>0.27555419364*x0</t>
  </si>
  <si>
    <t>0.0076821632362/x1**1.0</t>
  </si>
  <si>
    <t>6.1439686850323/((x0*x1</t>
  </si>
  <si>
    <t>cos(x0*x1))**2.0)**2.0</t>
  </si>
  <si>
    <t>0.8272902152242*log(1/(x0**1.0*sin(x1)))</t>
  </si>
  <si>
    <t>random_10_02_0010000_01.data</t>
  </si>
  <si>
    <t>2.2081066174262+(-1.4468609790538*pow(x1,0.5))+((-0.7537867981799*x0)*pow(x1,2.0))+((-3.4813261910654*exp((-6.3120725031549*x1)))*exp(((-1.0*x0)*x1)))</t>
  </si>
  <si>
    <t>-0.7537867981799*x0*x1**2.0</t>
  </si>
  <si>
    <t>1.4468609790538*x1**0.5</t>
  </si>
  <si>
    <t>3.4813261910654*exp(-1.0*x0*x1</t>
  </si>
  <si>
    <t>6.3120725031549*x1)</t>
  </si>
  <si>
    <t>random_10_02_0010000_02.data</t>
  </si>
  <si>
    <t>-0.1058136981325*(x0*x1</t>
  </si>
  <si>
    <t>0.6)**4.0</t>
  </si>
  <si>
    <t>random_10_02_0010000_03.data</t>
  </si>
  <si>
    <t>2.9977331609433+(0.9998399761683*pow((-1.0+log(x1)),2.0))+(-1.8946775382719*sin(pow(x0,2.0)))+((-2.0011979982488*cos(x0))*log(x1))</t>
  </si>
  <si>
    <t>0.9998399761683*(log(x1)</t>
  </si>
  <si>
    <t>2.0011979982488*log(x1)*cos(x0)</t>
  </si>
  <si>
    <t>1.8946775382719*sin(x0**2.0)</t>
  </si>
  <si>
    <t>random_10_02_0010000_04.data</t>
  </si>
  <si>
    <t>0.9100989887553*sin(sin(x0)</t>
  </si>
  <si>
    <t>sin(x1</t>
  </si>
  <si>
    <t>0.5))</t>
  </si>
  <si>
    <t>random_10_03_0010000_00.data</t>
  </si>
  <si>
    <t>1.188012333391+(-1.9242163666011*pow(0.36,(x1*pow(x2,-1.0))))+(-0.618307039283*sin((pow(x1,-0.5)*sin(pow(x2,0.5)))))</t>
  </si>
  <si>
    <t>-1.9242163666011*0.36**(x1/x2**1.0)</t>
  </si>
  <si>
    <t>0.618307039283*sin(sin(x2**0.5)/x1**0.5)</t>
  </si>
  <si>
    <t>random_10_03_0010000_01.data</t>
  </si>
  <si>
    <t>0.551740895139+(-0.9697198434786*sin(x0))+((-0.9482181858311*x1)*pow(x2,2.0))</t>
  </si>
  <si>
    <t>-0.9482181858311*x1*x2**2.0</t>
  </si>
  <si>
    <t>0.9697198434786*sin(x0)</t>
  </si>
  <si>
    <t>random_10_03_0010000_02.data</t>
  </si>
  <si>
    <t>1.2219407213315*1.5**(x2**2.0)</t>
  </si>
  <si>
    <t>0.9999691551348*log(x0**0.5*x1)</t>
  </si>
  <si>
    <t>random_10_03_0010000_03.data</t>
  </si>
  <si>
    <t>1.8365001348444+(-0.6488624253886*cos(x0))+(-0.4743847702542*pow(x0,0.5))+((-0.2590213116289*pow((x1+x2),0.5))*cos((-0.5+(2.0*x0))))</t>
  </si>
  <si>
    <t>-0.4743847702542*x0**0.5</t>
  </si>
  <si>
    <t>0.2590213116289*(x1</t>
  </si>
  <si>
    <t>x2)**0.5*cos(2.0*x0</t>
  </si>
  <si>
    <t>0.6488624253886*cos(x0)</t>
  </si>
  <si>
    <t>random_10_03_0010000_04.data</t>
  </si>
  <si>
    <t>1.0000371588327*cos(x0/x2**2.0</t>
  </si>
  <si>
    <t>11.7260393995585)</t>
  </si>
  <si>
    <t>random_10_04_0010000_00.data</t>
  </si>
  <si>
    <t>0.9145502685123+(0.1770602523562*x0)+(-0.8133426175493*pow(x3,30.0))+((4.7983261766356*x1)*pow((x3*pow((2.0+x2),-1.0)),2.0))+((0.2136490196917*pow(x1,-1.0))*pow(x3,4.0))+((-0.2866777927899*pow(x2,-1.0))*pow(x3,2.0))+((-0.1015214241435*x3)*pow(x1,-1.0))</t>
  </si>
  <si>
    <t>0.1770602523562*x0</t>
  </si>
  <si>
    <t>0.1015214241435*x3/x1**1.0</t>
  </si>
  <si>
    <t>0.2136490196917*x3**4.0/x1**1.0</t>
  </si>
  <si>
    <t>4.7983261766356*x1*(x3/(x2</t>
  </si>
  <si>
    <t>2.0)**1.0)**2.0</t>
  </si>
  <si>
    <t>0.2866777927899*x3**2.0/x2**1.0</t>
  </si>
  <si>
    <t>0.8133426175493*x3**30.0</t>
  </si>
  <si>
    <t>random_10_04_0010000_01.data</t>
  </si>
  <si>
    <t>10.2964678572738*x0**2.0*sin(x0*x1)</t>
  </si>
  <si>
    <t>0.0243760722661/x2**1.0</t>
  </si>
  <si>
    <t>4.6638309057473*exp(x0)*sin(x0*x1)</t>
  </si>
  <si>
    <t>11.5829017253081*sin(-1.0*x0*x1*x2*x3</t>
  </si>
  <si>
    <t>x0</t>
  </si>
  <si>
    <t>x1*x2*x3</t>
  </si>
  <si>
    <t>1.0*x2*x3*sin(x1**2.0)</t>
  </si>
  <si>
    <t>0.3598625592157*cos(0.5/(x0/x3**1.0)**1.0)</t>
  </si>
  <si>
    <t>random_10_04_0010000_02.data</t>
  </si>
  <si>
    <t>0.5458006713313+(0.7168060193742*x1)+(-0.4173555356784*x0)+(-1.3446046725*cos(((0.4285781298189*x3)*pow(x1,-0.5))))+(-1.0414976551972*x3)+((3.8404200279104*x0)*x1)+((1.0048237947482*x1)*x2)+((-2.5952311205535*x0)*pow(x1,2.0))</t>
  </si>
  <si>
    <t>3.8404200279104*x0*x1</t>
  </si>
  <si>
    <t>2.5952311205535*x0*x1**2.0</t>
  </si>
  <si>
    <t>0.4173555356784*x0</t>
  </si>
  <si>
    <t>1.0048237947482*x1*x2</t>
  </si>
  <si>
    <t>0.7168060193742*x1</t>
  </si>
  <si>
    <t>1.0414976551972*x3</t>
  </si>
  <si>
    <t>1.3446046725*cos(0.4285781298189*x3/x1**0.5)</t>
  </si>
  <si>
    <t>random_10_04_0010000_03.data</t>
  </si>
  <si>
    <t>((-1.0089288645347*x1)*x2)+(((5.3156144204353*x1)*x2)*x3)+(((3.2566153253217*x0)*x1)*x2)+(((-3.4040748689237*x1)*x2)*pow(x3,2.0))+((((-3.685759775174*x0)*x1)*x2)*pow(x3,0.25))</t>
  </si>
  <si>
    <t>x1*x2*(-3.685759775174*x0*x3**0.25</t>
  </si>
  <si>
    <t>3.2566153253217*x0</t>
  </si>
  <si>
    <t>5.3156144204353*x3</t>
  </si>
  <si>
    <t>3.4040748689237*x3**2.0</t>
  </si>
  <si>
    <t>1.0089288645347)</t>
  </si>
  <si>
    <t>random_10_04_0010000_04.data</t>
  </si>
  <si>
    <t>0.0070161045358+(-0.5701263463349*pow((x0*x2),2.0))+((-0.5627201767262*pow(x1,2.0))*pow(x3,2.0))</t>
  </si>
  <si>
    <t>-0.5627201767262*x1**2.0*x3**2.0</t>
  </si>
  <si>
    <t>0.5701263463349*(x0*x2)**2.0</t>
  </si>
  <si>
    <t>random_11_01_0010000_00.data</t>
  </si>
  <si>
    <t>7876446592.186339+(202027301.1416129*pow(x0,171.0))+(-8189285090.059725*x0)+(-8757058213158.593*pow(cos((2.0+pow(x0,377.0))),8.0))+((9104907000591.129*x0)*pow(cos((2.0+pow(x0,378.0))),8.0))</t>
  </si>
  <si>
    <t>9104907000591.129*x0*cos(x0**378.0</t>
  </si>
  <si>
    <t>2.0)**8.0</t>
  </si>
  <si>
    <t>8189285090.059725*x0</t>
  </si>
  <si>
    <t>202027301.1416129*x0**171.0</t>
  </si>
  <si>
    <t>8757058213158.593*cos(x0**377.0</t>
  </si>
  <si>
    <t>random_11_01_0010000_01.data</t>
  </si>
  <si>
    <t>0.3692296161802+(0.0511704833609*pow(log((0.9+exp(x0))),10.0))</t>
  </si>
  <si>
    <t>0.0511704833609*log(exp(x0)</t>
  </si>
  <si>
    <t>0.9)**10.0</t>
  </si>
  <si>
    <t>random_11_01_0010000_02.data</t>
  </si>
  <si>
    <t>4.2391915552956+(0.4769056511081*exp((1.2727922061358*pow(x0,0.5))))</t>
  </si>
  <si>
    <t>0.4769056511081*exp(1.2727922061358*x0**0.5)</t>
  </si>
  <si>
    <t>random_11_01_0010000_03.data</t>
  </si>
  <si>
    <t>0.7454739429442+(0.1428227200625*pow(x0,2.0))</t>
  </si>
  <si>
    <t>0.1428227200625*x0**2.0</t>
  </si>
  <si>
    <t>random_11_01_0010000_04.data</t>
  </si>
  <si>
    <t>(89.9409910185984*exp(pow(x0,0.5)))</t>
  </si>
  <si>
    <t>89.9409910185984*exp(x0**0.5)</t>
  </si>
  <si>
    <t>random_11_02_0010000_00.data</t>
  </si>
  <si>
    <t>1.1647295277927*log(x1</t>
  </si>
  <si>
    <t>0.5403023058681)*log(cos(x0))*cos(x1)</t>
  </si>
  <si>
    <t>random_11_02_0010000_01.data</t>
  </si>
  <si>
    <t>0.2466740844037*cos(1.8*x0*x1**2.0)</t>
  </si>
  <si>
    <t>random_11_02_0010000_02.data</t>
  </si>
  <si>
    <t>0.9629067466182+(0.0611731910038*pow(x1,0.5))+((-0.1262036010443*pow(x0,x0))*pow(x1,4.0))</t>
  </si>
  <si>
    <t>-0.1262036010443*x0**x0*x1**4.0</t>
  </si>
  <si>
    <t>0.0611731910038*x1**0.5</t>
  </si>
  <si>
    <t>random_11_02_0010000_03.data</t>
  </si>
  <si>
    <t>2.671705536659+(0.0943888358554*pow(x0,0.5))+(1.0001410068272*sin(x1))</t>
  </si>
  <si>
    <t>0.0943888358554*x0**0.5</t>
  </si>
  <si>
    <t>1.0001410068272*sin(x1)</t>
  </si>
  <si>
    <t>random_11_02_0010000_04.data</t>
  </si>
  <si>
    <t>1.0021139517224+(8.1801168735093*x0)+(-9.0754855064784*sin((x0+pow(x0,4.0))))</t>
  </si>
  <si>
    <t>8.1801168735093*x0</t>
  </si>
  <si>
    <t>9.0754855064784*sin(x0</t>
  </si>
  <si>
    <t>x0**4.0)</t>
  </si>
  <si>
    <t>random_11_03_0010000_00.data</t>
  </si>
  <si>
    <t>4.6051701859881+(1.0*log(x1))+((1.0*pow(x0,2.0))*log(x2))</t>
  </si>
  <si>
    <t>1.0*x0**2.0*log(x2)</t>
  </si>
  <si>
    <t>random_11_03_0010000_01.data</t>
  </si>
  <si>
    <t>(1.0*cos(x0))+(1.0*sin(x1))+(0.6931471805599*pow(x2,-2.0))</t>
  </si>
  <si>
    <t>0.6931471805599/x2**2.0</t>
  </si>
  <si>
    <t>1.0*cos(x0)</t>
  </si>
  <si>
    <t>random_11_03_0010000_02.data</t>
  </si>
  <si>
    <t>(1.0*exp(x2))+(1.0*sin(x0))+(-0.4161468365471*pow(x1,2.0))</t>
  </si>
  <si>
    <t>-0.4161468365471*x1**2.0</t>
  </si>
  <si>
    <t>1.0*exp(x2)</t>
  </si>
  <si>
    <t>1.0*sin(x0)</t>
  </si>
  <si>
    <t>random_11_03_0010000_03.data</t>
  </si>
  <si>
    <t>0.2467308865136*x0</t>
  </si>
  <si>
    <t>0.1189427313507*sin(x2)/x1**1.0</t>
  </si>
  <si>
    <t>0.3432886309955*x1</t>
  </si>
  <si>
    <t>2.1648373614917*(x0*x2</t>
  </si>
  <si>
    <t>0.7755014274164*log(x2**0.5/x1**1.0)</t>
  </si>
  <si>
    <t>random_11_03_0010000_04.data</t>
  </si>
  <si>
    <t>0.9259275499171*x1</t>
  </si>
  <si>
    <t>0.9064211729968*sin(x0)</t>
  </si>
  <si>
    <t>0.9071971058611*sin(x2)</t>
  </si>
  <si>
    <t>random_11_04_0010000_00.data</t>
  </si>
  <si>
    <t>0.9999102674451+((-0.5193208817146*pow(x1,2.0))*pow(x3,2.0))+(((0.39583016227*x2)*pow(x1,2.0))*pow(x3,2.0))+(((0.3533116366482*x0)*pow(x1,2.0))*pow(x3,2.0))+((((-0.1191366254235*x0)*x1)*x2)*pow(x3,2.0))</t>
  </si>
  <si>
    <t>-0.1191366254235*x0*x1*x2*x3**2.0</t>
  </si>
  <si>
    <t>0.3533116366482*x0*x1**2.0*x3**2.0</t>
  </si>
  <si>
    <t>0.39583016227*x1**2.0*x2*x3**2.0</t>
  </si>
  <si>
    <t>0.5193208817146*x1**2.0*x3**2.0</t>
  </si>
  <si>
    <t>random_11_04_0010000_01.data</t>
  </si>
  <si>
    <t>1.0013634110572+((0.9771213184783*x0)*sin(x1))+((0.999299800814*exp(x2))*sin(x3))+(((0.58857686239*x1)*pow(x0,2.0))*sin(x1))</t>
  </si>
  <si>
    <t>0.9771213184783*x0*sin(x1)</t>
  </si>
  <si>
    <t>0.58857686239*x0**2.0*x1*sin(x1)</t>
  </si>
  <si>
    <t>0.999299800814*exp(x2)*sin(x3)</t>
  </si>
  <si>
    <t>random_11_04_0010000_02.data</t>
  </si>
  <si>
    <t>-0.4988414362503*x0**0.5*x1**2.0</t>
  </si>
  <si>
    <t>1.8185954339971*x0**0.5</t>
  </si>
  <si>
    <t>0.3663243045052*x0*x2</t>
  </si>
  <si>
    <t>0.3186620209508*x0*x3</t>
  </si>
  <si>
    <t>0.3216778064882*x0</t>
  </si>
  <si>
    <t>0.0975163569103*x2</t>
  </si>
  <si>
    <t>0.1216275237975*x3</t>
  </si>
  <si>
    <t>random_11_04_0010000_03.data</t>
  </si>
  <si>
    <t>0.429393897562*x0*x2*x3</t>
  </si>
  <si>
    <t>0.4619841120279*x1</t>
  </si>
  <si>
    <t>6.0e-13/x3**5.0</t>
  </si>
  <si>
    <t>0.4122377036151*x3</t>
  </si>
  <si>
    <t>3.0954840101618*cos(x0*x2</t>
  </si>
  <si>
    <t>0.6549542073665*x1*x2)</t>
  </si>
  <si>
    <t>random_11_04_0010000_04.data</t>
  </si>
  <si>
    <t>1.0090137115672+((1.0199261693951*x0)*x1)+((1.343929999052*x1)*x3)+(((-0.1325400467746*x3)*pow(x1,0.5))*exp(x0))+(((-0.1416914664754*x1)*pow((x2+x3),2.0))*exp(x0))</t>
  </si>
  <si>
    <t>1.0199261693951*x0*x1</t>
  </si>
  <si>
    <t>0.1325400467746*x1**0.5*x3*exp(x0)</t>
  </si>
  <si>
    <t>1.343929999052*x1*x3</t>
  </si>
  <si>
    <t>0.1416914664754*x1*(x2</t>
  </si>
  <si>
    <t>x3)**2.0*exp(x0)</t>
  </si>
  <si>
    <t>random_12_01_0010000_00.data</t>
  </si>
  <si>
    <t>-1.412743399596*x0**0.5</t>
  </si>
  <si>
    <t>1.3073638445111*x0</t>
  </si>
  <si>
    <t>random_12_01_0010000_01.data</t>
  </si>
  <si>
    <t>86.1716791527879+(-0.784726902279*pow(sin(pow(sin((3.1415926535898*pow(cos(log(x0)),-1.0))),-1.0)),2.0))</t>
  </si>
  <si>
    <t>0.784726902279*sin(sin(3.1415926535898/cos(log(x0)))**(-1.0))**2.0</t>
  </si>
  <si>
    <t>random_12_01_0010000_02.data</t>
  </si>
  <si>
    <t>10.1081786951582+(0.1082379287879*sin((-2.4+x0)))</t>
  </si>
  <si>
    <t>0.1082379287879*sin(x0</t>
  </si>
  <si>
    <t>2.4)</t>
  </si>
  <si>
    <t>random_12_01_0010000_03.data</t>
  </si>
  <si>
    <t>4.724490891191+(-2.910162330412*log((2.7+x0)))</t>
  </si>
  <si>
    <t>2.910162330412*log(x0</t>
  </si>
  <si>
    <t>2.7)</t>
  </si>
  <si>
    <t>random_12_01_0010000_04.data</t>
  </si>
  <si>
    <t>(x0**1.0*(0.2952699414474*log(x0)</t>
  </si>
  <si>
    <t>0.0123788189995*log(x0)**2.0</t>
  </si>
  <si>
    <t>2.326463635014)</t>
  </si>
  <si>
    <t>0.3027550448421*x0**2.0</t>
  </si>
  <si>
    <t>x0**3.0*(0.1476349707237*log(x0)</t>
  </si>
  <si>
    <t>0.1810726195477))/x0**3.0</t>
  </si>
  <si>
    <t>random_12_02_0010000_00.data</t>
  </si>
  <si>
    <t>100.0000000000008+(0.9999999999994*log(pow(x1,-1.0)))+(1618.1779919126159*exp(cos(x0)))</t>
  </si>
  <si>
    <t>1618.1779919126159*exp(cos(x0))</t>
  </si>
  <si>
    <t>0.9999999999994*log(x1**(-1.0))</t>
  </si>
  <si>
    <t>random_12_02_0010000_01.data</t>
  </si>
  <si>
    <t>1.2982910763762+(0.3619927492463*sin(x1))+(-0.1673959058051*exp((-2.0*x0)))</t>
  </si>
  <si>
    <t>0.3619927492463*sin(x1)</t>
  </si>
  <si>
    <t>0.1673959058051*exp(-2.0*x0)</t>
  </si>
  <si>
    <t>random_12_02_0010000_02.data</t>
  </si>
  <si>
    <t>2.8912084421216/(x0**2.0*x1**1.0)</t>
  </si>
  <si>
    <t>33.3069818801741/(x0**2.0*sin(x1))</t>
  </si>
  <si>
    <t>0.2595555606059/x0**1.2676862140762</t>
  </si>
  <si>
    <t>0.4414158043596/x0**1.0</t>
  </si>
  <si>
    <t>random_12_02_0010000_03.data</t>
  </si>
  <si>
    <t>((1.1598884123579*pow(x0,-1.0))*exp(pow(x1,0.5)))</t>
  </si>
  <si>
    <t>1.1598884123579*exp(x1**0.5)/x0**1.0</t>
  </si>
  <si>
    <t>random_12_02_0010000_04.data</t>
  </si>
  <si>
    <t>-1.0*x0**0.5</t>
  </si>
  <si>
    <t>1.0*x1**4.0</t>
  </si>
  <si>
    <t>random_12_03_0010000_00.data</t>
  </si>
  <si>
    <t>0.0100789905485/x0**1.0</t>
  </si>
  <si>
    <t>0.7987171416783*cos(x0**0.5</t>
  </si>
  <si>
    <t>x1*x2</t>
  </si>
  <si>
    <t>1.2)**2.0/x0**0.5</t>
  </si>
  <si>
    <t>0.3185787654716*x1</t>
  </si>
  <si>
    <t>0.4805009428301*cos(x0**0.5</t>
  </si>
  <si>
    <t>1.0*x1**2.0*x2</t>
  </si>
  <si>
    <t>1.0*x1**2.0*x2**2.0</t>
  </si>
  <si>
    <t>4.1415926535898*x2</t>
  </si>
  <si>
    <t>1.0)**10.0/x2**1.0</t>
  </si>
  <si>
    <t>random_12_03_0010000_01.data</t>
  </si>
  <si>
    <t>15556.42248553193+(-1.0000004955679*pow(x1,2.0))+(-15556.42248647452*cos((0.0113386755781*x0)))</t>
  </si>
  <si>
    <t>-1.0000004955679*x1**2.0</t>
  </si>
  <si>
    <t>15556.42248647452*cos(0.0113386755781*x0)</t>
  </si>
  <si>
    <t>random_12_03_0010000_02.data</t>
  </si>
  <si>
    <t>88.5048701443249+(30.4742365305042*pow(x0,-1.0))+(112.6357390942173*log(x0))+(-11.6107513019586*x1)+(-0.9320151429323*pow(x0,-2.0))+(-56.5884028654395*pow(x2,-0.5))+((4.5227225968041*pow(x2,-1.0))*pow(sin(x0),-1.0))+((-77.5793786946283*x2)*pow(x0,2.0))+((-0.6699332481006*x1)*pow(x2,-2.0))+(((0.3354425293333*x1)*pow(x0,-2.0))*pow(x2,-2.0))+(((0.0010046542978*pow(x0,-2.0))*pow(x1,4.0))*pow(x2,-4.0))+(((3.5440607418245*x1)*pow(x2,-1.0))*pow(sin(x0),-1.0))</t>
  </si>
  <si>
    <t>0.3354425293333*x1/(x0**2.0*x2**2.0)</t>
  </si>
  <si>
    <t>0.0010046542978*x1**4.0/(x0**2.0*x2**4.0)</t>
  </si>
  <si>
    <t>0.9320151429323/x0**2.0</t>
  </si>
  <si>
    <t>30.4742365305042/x0**1.0</t>
  </si>
  <si>
    <t>77.5793786946283*x0**2.0*x2**1.0</t>
  </si>
  <si>
    <t>0.6699332481006*x1/x2**2.0</t>
  </si>
  <si>
    <t>3.5440607418245*x1/(x2**1.0*sin(x0))</t>
  </si>
  <si>
    <t>11.6107513019586*x1</t>
  </si>
  <si>
    <t>4.5227225968041/(x2**1.0*sin(x0))</t>
  </si>
  <si>
    <t>56.5884028654395/x2**0.5</t>
  </si>
  <si>
    <t>112.6357390942173*log(x0)</t>
  </si>
  <si>
    <t>random_12_03_0010000_03.data</t>
  </si>
  <si>
    <t>(2.6881171418161356e+43*pow(x0,-1.0))</t>
  </si>
  <si>
    <t>2.6881171418161356e+43/x0**1.0</t>
  </si>
  <si>
    <t>random_12_03_0010000_04.data</t>
  </si>
  <si>
    <t>0.9999328477926*log(x0*x2)</t>
  </si>
  <si>
    <t>2.0492233488261*sin(cos(x1))</t>
  </si>
  <si>
    <t>random_12_04_0010000_00.data</t>
  </si>
  <si>
    <t>0.9873429531857+(-0.0838645953069*x1)+((0.3159318072362*x0)*x2)+((1.3336152111716*x1)*x3)+(((0.7242726069839*x0)*x2)*x3)</t>
  </si>
  <si>
    <t>0.7242726069839*x0*x2*x3</t>
  </si>
  <si>
    <t>0.3159318072362*x0*x2</t>
  </si>
  <si>
    <t>1.3336152111716*x1*x3</t>
  </si>
  <si>
    <t>0.0838645953069*x1</t>
  </si>
  <si>
    <t>random_12_04_0010000_01.data</t>
  </si>
  <si>
    <t>0.9995219728758+(((-0.498478210208*pow(cos(x2),2.0))*pow(sin(x0),2.0))*pow(sin((x3*log(x1))),2.0))</t>
  </si>
  <si>
    <t>-0.498478210208*sin(x0)**2.0*sin(x3*log(x1))**2.0*cos(x2)**2.0</t>
  </si>
  <si>
    <t>random_12_04_0010000_02.data</t>
  </si>
  <si>
    <t>(-0.096171750343*x0*log(x3)</t>
  </si>
  <si>
    <t>0.1149810015755*x0</t>
  </si>
  <si>
    <t>x1**1.0*(-49.1970965211969*x0**2.0*x2**3.0*x3</t>
  </si>
  <si>
    <t>70.150384533887*x1**0.5*x2**2.0*x3*sin(x0)**2.0</t>
  </si>
  <si>
    <t>1.0841938279553*(x0</t>
  </si>
  <si>
    <t>0.5)**2.0*(x2</t>
  </si>
  <si>
    <t>x3)**2.0</t>
  </si>
  <si>
    <t>1.6590408726838*sin(2.0*x1)</t>
  </si>
  <si>
    <t>1.4534218529644))/x1**1.0</t>
  </si>
  <si>
    <t>random_12_04_0010000_03.data</t>
  </si>
  <si>
    <t>0.592348392166+(0.428395644655*sin((((1.0+pow(x0,2.0))+(((x0*x2)*x3)*log((x0*pow(x3,-1.0)))))+(((x1*x2)*log(x0))*sin(x3)))))+(-0.0326885203703*x1)</t>
  </si>
  <si>
    <t>0.428395644655*sin(x0*x2*x3*log(x0/x3**1.0)</t>
  </si>
  <si>
    <t>x0**2.0</t>
  </si>
  <si>
    <t>x1*x2*log(x0)*sin(x3)</t>
  </si>
  <si>
    <t>random_12_04_0010000_04.data</t>
  </si>
  <si>
    <t>1.0153353232566*(x3*exp(x1)</t>
  </si>
  <si>
    <t>1.0)**0.5</t>
  </si>
  <si>
    <t>0.3088661309123*cos(x0*x2)</t>
  </si>
  <si>
    <t>random_13_01_0010000_00.data</t>
  </si>
  <si>
    <t>1.0313120856902+(0.1341662361638*pow(cos(x0),-2.5707963267949))</t>
  </si>
  <si>
    <t>0.1341662361638/cos(x0)**2.5707963267949</t>
  </si>
  <si>
    <t>random_13_01_0010000_01.data</t>
  </si>
  <si>
    <t>0.2578723776016+(-0.2195292518359*sin(cos(x0)))</t>
  </si>
  <si>
    <t>0.2195292518359*sin(cos(x0))</t>
  </si>
  <si>
    <t>random_13_01_0010000_02.data</t>
  </si>
  <si>
    <t>0.0005347100157*x0</t>
  </si>
  <si>
    <t>random_13_01_0010000_03.data</t>
  </si>
  <si>
    <t>(0.0046564852691*pow(x0,-1.0))</t>
  </si>
  <si>
    <t>0.0046564852691/x0**1.0</t>
  </si>
  <si>
    <t>random_13_01_0010000_04.data</t>
  </si>
  <si>
    <t>1.7959349824519*exp(-1.0/x0**1.0)</t>
  </si>
  <si>
    <t>random_13_02_0010000_00.data</t>
  </si>
  <si>
    <t>0.0328847517881+(1.1483149084818*pow(0.1591549430919,x1))+((0.8277011340803*pow(0.1591549430919,x1))*pow(x0,2.0))</t>
  </si>
  <si>
    <t>0.8277011340803*0.1591549430919**x1*x0**2.0</t>
  </si>
  <si>
    <t>1.1483149084818*0.1591549430919**x1</t>
  </si>
  <si>
    <t>random_13_02_0010000_01.data</t>
  </si>
  <si>
    <t>(-51.1409931762696*pow(x0,-2.0))+((1.6278683717282*pow(x0,-2.0))*cos(x1))</t>
  </si>
  <si>
    <t>(1.6278683717282*cos(x1)</t>
  </si>
  <si>
    <t>51.1409931762696)/x0**2.0</t>
  </si>
  <si>
    <t>random_13_02_0010000_02.data</t>
  </si>
  <si>
    <t>54.5973486024859+(6.2988585768558*sin(x1))+(0.9988408030152*pow(x0,2.0))+(-12.7785019686433*x0)+((8.4780361100692*x1)*exp(x1))+((-1.9992381317934*x0)*exp(x1))</t>
  </si>
  <si>
    <t>12.7785019686433*x0</t>
  </si>
  <si>
    <t>0.9988408030152*x0**2.0</t>
  </si>
  <si>
    <t>8.4780361100692*x1*exp(x1)</t>
  </si>
  <si>
    <t>6.2988585768558*sin(x1)</t>
  </si>
  <si>
    <t>random_13_02_0010000_03.data</t>
  </si>
  <si>
    <t>-0.8266552135127*x0*x1**2.0</t>
  </si>
  <si>
    <t>2.9591883232283*log(sin(x0</t>
  </si>
  <si>
    <t>1.65))</t>
  </si>
  <si>
    <t>random_13_02_0010000_04.data</t>
  </si>
  <si>
    <t>11.1702607662531+(1.0156888846889*cos(pow(x0,x1)))+(2.1783553084275*cos((1.4142135623731*x0)))+(10.3186640707577*x1)+(-5.0016985026001*exp(x1))</t>
  </si>
  <si>
    <t>10.3186640707577*x1</t>
  </si>
  <si>
    <t>5.0016985026001*exp(x1)</t>
  </si>
  <si>
    <t>2.1783553084275*cos(1.4142135623731*x0)</t>
  </si>
  <si>
    <t>1.0156888846889*cos(x0**x1)</t>
  </si>
  <si>
    <t>random_13_03_0010000_00.data</t>
  </si>
  <si>
    <t>-0.2627261140688*x1**2.0707963267949</t>
  </si>
  <si>
    <t>1.0000412498606*x2</t>
  </si>
  <si>
    <t>1.0001222877851*sin(x0)</t>
  </si>
  <si>
    <t>random_13_03_0010000_01.data</t>
  </si>
  <si>
    <t>(((0.69314718056*pow(x1,-1.0))*pow(x2,0.25))*log(x0))</t>
  </si>
  <si>
    <t>0.69314718056*x2**0.25*log(x0)/x1**1.0</t>
  </si>
  <si>
    <t>random_13_03_0010000_02.data</t>
  </si>
  <si>
    <t>3.6945280494654*cos(2.0*x1)</t>
  </si>
  <si>
    <t>random_13_03_0010000_03.data</t>
  </si>
  <si>
    <t>1.485804205733+(0.2347268491299*x1)+(-1.4960726707017*sin(pow(x0,0.5)))+((1.60967055204*sin(x1))*sin(pow((1.0+(-1.0*x0)),2.0)))+(((0.6829598536253*x1)*pow(x2,2.0))*sin(pow(cos(x0),2.0)))</t>
  </si>
  <si>
    <t>0.6829598536253*x1*x2**2.0*sin(cos(x0)**2.0)</t>
  </si>
  <si>
    <t>0.2347268491299*x1</t>
  </si>
  <si>
    <t>1.4960726707017*sin(x0**0.5)</t>
  </si>
  <si>
    <t>1.60967055204*sin(x1)*sin(1.0*(1</t>
  </si>
  <si>
    <t>x0)**2.0)</t>
  </si>
  <si>
    <t>random_13_03_0010000_04.data</t>
  </si>
  <si>
    <t>random_13_04_0010000_00.data</t>
  </si>
  <si>
    <t>85.0211178674781+(93.289636868256*pow(x1,0.5))+(0.9996662887601*log(x2))+(0.9975283198888*x3)+(-0.9997505123688*x0)+(-8.9090941474814*log(pow(x1,-1.0)))+(-165.2585772299864*pow(x1,0.25))+(-13.586531949652*x1)</t>
  </si>
  <si>
    <t>165.2585772299864*x1**0.25</t>
  </si>
  <si>
    <t>93.289636868256*x1**0.5</t>
  </si>
  <si>
    <t>13.586531949652*x1</t>
  </si>
  <si>
    <t>0.9975283198888*x3</t>
  </si>
  <si>
    <t>8.9090941474814*log(x1**(-1.0))</t>
  </si>
  <si>
    <t>0.9996662887601*log(x2)</t>
  </si>
  <si>
    <t>random_13_04_0010000_01.data</t>
  </si>
  <si>
    <t>0.5552772704318+(0.5710911566716*sin((pow(x0,2.0)+exp(x3))))+(0.1128249590669*pow(x2,-1.0))+(-1.9924515328651*sin(((((exp(pow(x1,20.0))*exp(pow(x3,0.5)))*exp((-1.0*x2)))*exp((-1.0*pow(x0,3.0))))*exp(((-1.0*x0)*x2)))))+((-0.0822106425942*x1)*pow(x2,-1.0))</t>
  </si>
  <si>
    <t>(-0.0822106425942*x1</t>
  </si>
  <si>
    <t>x2**1.0*(0.5710911566716*sin(x0**2.0</t>
  </si>
  <si>
    <t>exp(x3))</t>
  </si>
  <si>
    <t>1.9924515328651*sin(exp(-1.0*x0*x2</t>
  </si>
  <si>
    <t>1.0*x0**3.0</t>
  </si>
  <si>
    <t>x1**20.0</t>
  </si>
  <si>
    <t>x3**0.5))</t>
  </si>
  <si>
    <t>0.5552772704318)</t>
  </si>
  <si>
    <t>0.1128249590669)/x2**1.0</t>
  </si>
  <si>
    <t>random_13_04_0010000_02.data</t>
  </si>
  <si>
    <t>391.4584051623679+(-0.0006040448398*pow(x0,-5.0))+(-2896.655576402096*x1)+(-752.6009223692395*pow(x0,-1.0))+((3.5490472943276*pow(x0,-4.0))*pow(x3,2.0))+((218.7382477823815*pow(x0,-2.0))*pow(x3,3.0))+((1855.1137172274216*x1)*pow(x0,-1.0))+(((45.4805023599734*x1)*pow(x0,-3.0))*pow(x3,3.0))+(((512.8808408573124*x1)*pow(x0,-1.0))*pow(x2,-1.0))+(((-1.8594801169171*pow(x0,-4.0))*pow(x3,3.0))*pow(((x0+x1)+x2),-1.0))+(((-10.0729106486223*x2)*pow(x0,-4.0))*pow(sin(x3),3.0))</t>
  </si>
  <si>
    <t>-0.0006040448398/x0**5.0</t>
  </si>
  <si>
    <t>10.0729106486223*x2*sin(x3)**3.0/x0**4.0</t>
  </si>
  <si>
    <t>3.5490472943276*x3**2.0/x0**4.0</t>
  </si>
  <si>
    <t>1.8594801169171*x3**3.0/(x0**4.0*(x0</t>
  </si>
  <si>
    <t>x2)**1.0)</t>
  </si>
  <si>
    <t>45.4805023599734*x1*x3**3.0/x0**3.0</t>
  </si>
  <si>
    <t>218.7382477823815*x3**3.0/x0**2.0</t>
  </si>
  <si>
    <t>512.8808408573124*x1/(x0**1.0*x2**1.0)</t>
  </si>
  <si>
    <t>1855.1137172274216*x1/x0**1.0</t>
  </si>
  <si>
    <t>752.6009223692395/x0**1.0</t>
  </si>
  <si>
    <t>2896.655576402096*x1</t>
  </si>
  <si>
    <t>random_13_04_0010000_03.data</t>
  </si>
  <si>
    <t>0.998751099999*x0</t>
  </si>
  <si>
    <t>1.0025154448668*x1</t>
  </si>
  <si>
    <t>0.4938496324297/x2**0.5</t>
  </si>
  <si>
    <t>2.9789179041062/(sin(x2)</t>
  </si>
  <si>
    <t>0.9969037254427*cos(x3)</t>
  </si>
  <si>
    <t>random_13_04_0010000_04.data</t>
  </si>
  <si>
    <t>2.290993634646+(-0.1063316765899*pow((x0+(x1*x2)),-1.0))+(-0.194539962119*x2)+(-2.5266222932213*sin((x0+(x2*pow(((x0*x1)+(pow(x0,2.0)*pow(x2,-1.0))),0.5)))))+((-0.6382843308288*pow(x1,1.0))*pow(x1,(-1.0*x0)))</t>
  </si>
  <si>
    <t>-0.6382843308288*x1**(1.0</t>
  </si>
  <si>
    <t>1.0*x0)</t>
  </si>
  <si>
    <t>0.194539962119*x2</t>
  </si>
  <si>
    <t>0.1063316765899/(x0</t>
  </si>
  <si>
    <t>x1*x2)**1.0</t>
  </si>
  <si>
    <t>2.5266222932213*sin(x0</t>
  </si>
  <si>
    <t>x2*(x0*x1</t>
  </si>
  <si>
    <t>x0**2.0/x2**1.0)**0.5)</t>
  </si>
  <si>
    <t>random_13_05_0010000_00.data</t>
  </si>
  <si>
    <t>0.5384104040046+(0.3996461400146*x1)+(-0.6703001428262*sin(log(((0.5*pow(cos(pow(x1,0.5)),-1.0))+((((((1.4142135623731*x3)*pow(x2,0.5))*pow(x4,-1.0))*pow((0.5+x1),-1.0))*cos((0.5+x1)))*sin(x0))))))</t>
  </si>
  <si>
    <t>0.3996461400146*x1</t>
  </si>
  <si>
    <t>0.6703001428262*sin(log(1.4142135623731*x2**0.5*x3*sin(x0)*cos(x1</t>
  </si>
  <si>
    <t>0.5)/(x4**1.0*(x1</t>
  </si>
  <si>
    <t>0.5)**1.0)</t>
  </si>
  <si>
    <t>0.5/cos(x1**0.5)**1.0))</t>
  </si>
  <si>
    <t>random_13_05_0010000_01.data</t>
  </si>
  <si>
    <t>(0.5*log(x0))+(1.0*x2)+(1.0*x4)+(1.0*sin(x3))+(-1.0*sin(x1))</t>
  </si>
  <si>
    <t>1.0*x4</t>
  </si>
  <si>
    <t>1.0*sin(x3)</t>
  </si>
  <si>
    <t>random_13_05_0010000_02.data</t>
  </si>
  <si>
    <t>0.0241817088579*x1*exp(x2</t>
  </si>
  <si>
    <t>x4)/x2**1.0</t>
  </si>
  <si>
    <t>0.4023965713025*x1*exp(2.0*x0</t>
  </si>
  <si>
    <t>0.2202502894151*x2**1.0</t>
  </si>
  <si>
    <t>0.4803910619736*x3**0.5</t>
  </si>
  <si>
    <t>random_13_05_0010000_03.data</t>
  </si>
  <si>
    <t>(((((5.6503201656814*x3)*pow(sin(x0),2.0))*exp(pow(x1,0.5)))*sin(x4))*sin(((0.1591549430919*x2)+((0.3183098861838*x2)*pow(x1,2.0)))))</t>
  </si>
  <si>
    <t>5.6503201656814*x3*exp(x1**0.5)*sin(x0)**2.0*sin(x4)*sin(x2*(0.3183098861838*x1**2.0</t>
  </si>
  <si>
    <t>0.1591549430919))</t>
  </si>
  <si>
    <t>random_13_05_0010000_04.data</t>
  </si>
  <si>
    <t>1.8333250789724+(2.9372340374363*x0)+(-1.0540379766463*x3)+(-0.723138518487*pow(x3,-1.0))+((4.284319e-07*x4)*pow(x3,-5.0))+((0.1740838110418*pow(x3,-2.0))*pow((x3+(-1.0*x4)),2.0))+(((0.279942033341*pow(x0,2.0))*pow(x3,-2.0))*pow((x3+(-1.0*x4)),2.0))+((((3.9700794285976*x0)*x1)*pow(x2,2.0))*pow(x3,-1.0))+((((5.2414801204611*x0)*x1)*x4)*pow(x3,-1.0))+((((5.3408629226843*x0)*x4)*pow(x2,2.0))*pow(x3,-1.0))+((((-1.6653258824622*x1)*pow(x0,2.0))*pow(x2,2.0))*pow(x3,-1.0))</t>
  </si>
  <si>
    <t>(4.284319e-7*x3**3.0*x4</t>
  </si>
  <si>
    <t>x3**6.0*(0.279942033341*x0**2.0</t>
  </si>
  <si>
    <t>0.1740838110418)*(x3</t>
  </si>
  <si>
    <t>1.0*x4)**2.0</t>
  </si>
  <si>
    <t>x3**7.0*(3.9700794285976*x0*x1*x2**2.0</t>
  </si>
  <si>
    <t>5.2414801204611*x0*x1*x4</t>
  </si>
  <si>
    <t>5.3408629226843*x0*x2**2.0*x4</t>
  </si>
  <si>
    <t>1.6653258824622*x0**2.0*x1*x2**2.0</t>
  </si>
  <si>
    <t>0.723138518487)</t>
  </si>
  <si>
    <t>x3**8.0*(2.9372340374363*x0</t>
  </si>
  <si>
    <t>1.0540379766463*x3</t>
  </si>
  <si>
    <t>1.8333250789724))/x3**8.0</t>
  </si>
  <si>
    <t>random_14_01_0010000_00.data</t>
  </si>
  <si>
    <t>0.1568633445436*cos(x0**0.25)</t>
  </si>
  <si>
    <t>random_14_01_0010000_01.data</t>
  </si>
  <si>
    <t>0.6049607266111+(0.1818114100508*pow(pow(x0,-1.0),0.5))+(-2.878973374449*exp((-4.0424675201188*sin(x0))))</t>
  </si>
  <si>
    <t>0.1818114100508*(x0**(-1.0))**0.5</t>
  </si>
  <si>
    <t>2.878973374449*exp(-4.0424675201188*sin(x0))</t>
  </si>
  <si>
    <t>random_14_01_0010000_02.data</t>
  </si>
  <si>
    <t>0.3590206297778*x0</t>
  </si>
  <si>
    <t>3.8647774799039*cos(x0)</t>
  </si>
  <si>
    <t>random_14_01_0010000_03.data</t>
  </si>
  <si>
    <t>0.2886803906594*x0**0.5</t>
  </si>
  <si>
    <t>0.0887880907836*x0</t>
  </si>
  <si>
    <t>random_14_01_0010000_04.data</t>
  </si>
  <si>
    <t>139.0489064027216+(0.244058130823*sin((0.6931471805599+log(x0))))+(-1.1755049544159*sin((pow(x0,-1.0)*log(pow(x0,x0)))))</t>
  </si>
  <si>
    <t>-1.1755049544159*sin(log(x0**x0)/x0**1.0)</t>
  </si>
  <si>
    <t>0.244058130823*sin(log(x0)</t>
  </si>
  <si>
    <t>0.6931471805599)</t>
  </si>
  <si>
    <t>random_14_02_0010000_00.data</t>
  </si>
  <si>
    <t>2.6673293312569*x1</t>
  </si>
  <si>
    <t>3.3551773294973*exp(x1)</t>
  </si>
  <si>
    <t>1.7053960529911*sin(x0*cos(x1)**2.0)</t>
  </si>
  <si>
    <t>random_14_02_0010000_01.data</t>
  </si>
  <si>
    <t>4.1256843065125+(1.3734960535046*cos((0.2864788975654*pow(x0,-0.5))))+(-3.634097366588*x0)+(-3.7002976109541*cos(x0))+((0.585950666434*x0)*pow(x1,2.0))</t>
  </si>
  <si>
    <t>0.585950666434*x0*x1**2.0</t>
  </si>
  <si>
    <t>3.634097366588*x0</t>
  </si>
  <si>
    <t>1.3734960535046*cos(0.2864788975654/x0**0.5)</t>
  </si>
  <si>
    <t>3.7002976109541*cos(x0)</t>
  </si>
  <si>
    <t>random_14_02_0010000_02.data</t>
  </si>
  <si>
    <t>0.8919784309229+(0.1068142556182*cos(x1))+(-0.22481932262*x0)</t>
  </si>
  <si>
    <t>0.1068142556182*cos(x1)</t>
  </si>
  <si>
    <t>random_14_02_0010000_03.data</t>
  </si>
  <si>
    <t>3.1415926525369+(1.0*pow(x1,-4.0))+(4.5449077018237*pow(x1,-2.0))+(-1.9999999999983*pow(pow(x1,-6.0),0.5))+(-3.5449077018018*pow(x1,-1.0))</t>
  </si>
  <si>
    <t>1.0/x1**4.0</t>
  </si>
  <si>
    <t>4.5449077018237/x1**2.0</t>
  </si>
  <si>
    <t>3.5449077018018/x1**1.0</t>
  </si>
  <si>
    <t>1.9999999999983*(x1**(-6.0))**0.5</t>
  </si>
  <si>
    <t>random_14_02_0010000_04.data</t>
  </si>
  <si>
    <t>0.0485114454052*x0</t>
  </si>
  <si>
    <t>0.3377244836841*x1</t>
  </si>
  <si>
    <t>9.004307553305*x1**2.0</t>
  </si>
  <si>
    <t>19.261764389745*cos(x1)</t>
  </si>
  <si>
    <t>random_14_03_0010000_00.data</t>
  </si>
  <si>
    <t>1.0110033843544+(1.0037035689458*x0)+(21.2883710394465*pow(x2,2.0))+(-18.7704005252867*sin(pow(x2,2.0)))+(-0.1962729552701*x2)+((0.995166614159*x0)*x1)</t>
  </si>
  <si>
    <t>0.995166614159*x0*x1</t>
  </si>
  <si>
    <t>1.0037035689458*x0</t>
  </si>
  <si>
    <t>0.1962729552701*x2</t>
  </si>
  <si>
    <t>21.2883710394465*x2**2.0</t>
  </si>
  <si>
    <t>18.7704005252867*sin(x2**2.0)</t>
  </si>
  <si>
    <t>random_14_03_0010000_01.data</t>
  </si>
  <si>
    <t>(6.94904828e-05*pow(x1,-1.0))+(-8.603e-10*pow(x1,-3.0))</t>
  </si>
  <si>
    <t>-8.603e-10/x1**3.0</t>
  </si>
  <si>
    <t>6.94904828e-5/x1**1.0</t>
  </si>
  <si>
    <t>random_14_03_0010000_02.data</t>
  </si>
  <si>
    <t>-0.0170957577166*x0/x1**1.0</t>
  </si>
  <si>
    <t>1.8622815681106*x0</t>
  </si>
  <si>
    <t>1.7761294020282*x1*x2</t>
  </si>
  <si>
    <t>0.6877627824643*x1*log(x0)</t>
  </si>
  <si>
    <t>2.8328599696449*x2</t>
  </si>
  <si>
    <t>0.7580588127012/(x0</t>
  </si>
  <si>
    <t>5.7204967969727*log(x0)</t>
  </si>
  <si>
    <t>0.7208087554738*log(x2**(-1.0))</t>
  </si>
  <si>
    <t>random_14_03_0010000_03.data</t>
  </si>
  <si>
    <t>0.1373552497337*x1*x2</t>
  </si>
  <si>
    <t>1.6993098468356*x2</t>
  </si>
  <si>
    <t>1.0014751551752*cos(x0)</t>
  </si>
  <si>
    <t>0.5464623283174*cos(x1)</t>
  </si>
  <si>
    <t>random_14_03_0010000_04.data</t>
  </si>
  <si>
    <t>0.1732937584124*log(x2)</t>
  </si>
  <si>
    <t>0.6958601950816*cos(x0*x2</t>
  </si>
  <si>
    <t>x2/x1**0.5)</t>
  </si>
  <si>
    <t>1.3825596249015/(x1**(1.0*log(x1))*(x1/x0**1.0)**(1.0*x0*log(x1/x0**1.0)/x1**1.0))</t>
  </si>
  <si>
    <t>random_14_04_0010000_00.data</t>
  </si>
  <si>
    <t>(35.7806838854262*x2)+(-40.7442637217015*x3)+((-3.8930724140816*pow(x1,-1.0))*exp(x0))+(((19.9490637133335*x0)*x3)*exp(x0))+(((4.7387268156964*x2)*pow(x1,-1.0))*exp(x0))+(((-14.5784679607529*x0)*x2)*exp(x0))+(((-6.6313396623189*pow(x1,-1.0))*exp(x0))*exp((0.5*x3)))+((((102.0370038995197*x1)*x3)*exp((-1.0*x0)))*exp((-1.0*x1)))+((((-86.7961052347016*x1)*x2)*exp((-1.0*x0)))*exp((-1.0*x1)))+((((-109.849704004513*x1)*pow(x3,2.0))*exp((-1.0*x1)))*exp((-1.0*pow(x0,-1.0))))</t>
  </si>
  <si>
    <t>19.9490637133335*x0*x3*exp(x0)</t>
  </si>
  <si>
    <t>4.7387268156964*x2*exp(x0)/x1**1.0</t>
  </si>
  <si>
    <t>6.6313396623189*exp(x0)*exp(0.5*x3)/x1**1.0</t>
  </si>
  <si>
    <t>3.8930724140816*exp(x0)/x1**1.0</t>
  </si>
  <si>
    <t>86.7961052347016*x1*x2*exp(-1.0*x0)*exp(-1.0*x1)</t>
  </si>
  <si>
    <t>102.0370038995197*x1*x3*exp(-1.0*x0)*exp(-1.0*x1)</t>
  </si>
  <si>
    <t>109.849704004513*x1*x3**2.0*exp(-1.0/x0**1.0)*exp(-1.0*x1)</t>
  </si>
  <si>
    <t>35.7806838854262*x2</t>
  </si>
  <si>
    <t>40.7442637217015*x3</t>
  </si>
  <si>
    <t>random_14_04_0010000_01.data</t>
  </si>
  <si>
    <t>6.2752608284015+(13.9541901851351*pow(x1,3.0))+(27.0523603121671*pow(x2,2.0))+(-1.3757061873248*x0)+((19.9300392399379*x1)*x2)+((47.3696083862368*pow(x1,4.0))*pow(x2,12.0))+((-9.5353428421489*x0)*x2)+((-10.9705157081025*x2)*pow(x3,4.0))+((-7.4217486815681*pow(x0,0.5))*pow((x1+x2),2.0))</t>
  </si>
  <si>
    <t>-7.4217486815681*x0**0.5*(x1</t>
  </si>
  <si>
    <t>9.5353428421489*x0*x2</t>
  </si>
  <si>
    <t>1.3757061873248*x0</t>
  </si>
  <si>
    <t>19.9300392399379*x1*x2</t>
  </si>
  <si>
    <t>13.9541901851351*x1**3.0</t>
  </si>
  <si>
    <t>47.3696083862368*x1**4.0*x2**12.0</t>
  </si>
  <si>
    <t>10.9705157081025*x2*x3**4.0</t>
  </si>
  <si>
    <t>27.0523603121671*x2**2.0</t>
  </si>
  <si>
    <t>random_14_04_0010000_02.data</t>
  </si>
  <si>
    <t>(1.0*cos(exp(x1)))+(-0.7250423179995*cos(x0))+((-1.0*x2)*x3)</t>
  </si>
  <si>
    <t>0.7250423179995*cos(x0)</t>
  </si>
  <si>
    <t>1.0*cos(exp(x1))</t>
  </si>
  <si>
    <t>random_14_04_0010000_03.data</t>
  </si>
  <si>
    <t>(97.4090910340077*exp(x3))+(-1.0000000000001*cos((1.0*sin(x1))))+((-1.0*x0)*x2)</t>
  </si>
  <si>
    <t>97.4090910340077*exp(x3)</t>
  </si>
  <si>
    <t>1.0000000000001*cos(1.0*sin(x1))</t>
  </si>
  <si>
    <t>random_14_04_0010000_04.data</t>
  </si>
  <si>
    <t>(1.0*pow((cos(x0)+exp(x1)),2.0))+(3.1415926535897*x2)+((3.1415926535897*x2)*x3)</t>
  </si>
  <si>
    <t>3.1415926535897*x2*x3</t>
  </si>
  <si>
    <t>3.1415926535897*x2</t>
  </si>
  <si>
    <t>1.0*(exp(x1)</t>
  </si>
  <si>
    <t>cos(x0))**2.0</t>
  </si>
  <si>
    <t>random_14_05_0010000_00.data</t>
  </si>
  <si>
    <t>(((0.142410030588*x3)*pow(x4,2.0))*log(((x1*x2)+((x1*pow(x0,-1.0))*pow(x2,0.5)))))+((((1.1016937635613*x2)*x3)*pow(x4,2.0))*log(((1.0+x1)+(-1.0*x0))))+((((1.0632389791022*x1)*x3)*x4)*log(((1.0+x1)+(-1.0*x0))))</t>
  </si>
  <si>
    <t>x3*(1.0632389791022*x1*x4*log(-1.0*x0</t>
  </si>
  <si>
    <t>1.1016937635613*x2*x4**2.0*log(-1.0*x0</t>
  </si>
  <si>
    <t>0.142410030588*x4**2.0*log(x1*(x2**0.5/x0**1.0</t>
  </si>
  <si>
    <t>x2)))</t>
  </si>
  <si>
    <t>random_14_05_0010000_01.data</t>
  </si>
  <si>
    <t>3.8391251052604+(0.3615765843993*x4)+(-1.5527633591912*cos((x1*x2)))+(-2.3067650190274*cos(x1))+(-0.4842594298329*pow(x4,2.0))+((0.7209524767155*x3)*pow(x1,2.0))+((-0.6604716431496*pow(x0,2.0))*pow(x1,2.0))</t>
  </si>
  <si>
    <t>-0.6604716431496*x0**2.0*x1**2.0</t>
  </si>
  <si>
    <t>0.7209524767155*x1**2.0*x3</t>
  </si>
  <si>
    <t>0.3615765843993*x4</t>
  </si>
  <si>
    <t>0.4842594298329*x4**2.0</t>
  </si>
  <si>
    <t>2.3067650190274*cos(x1)</t>
  </si>
  <si>
    <t>1.5527633591912*cos(x1*x2)</t>
  </si>
  <si>
    <t>random_14_05_0010000_02.data</t>
  </si>
  <si>
    <t>5.6376983982461*x1*x2*x3</t>
  </si>
  <si>
    <t>2.3538756098595*x2*x3*x4</t>
  </si>
  <si>
    <t>6.6908028200993*x2</t>
  </si>
  <si>
    <t>4.1936100736709*x3</t>
  </si>
  <si>
    <t>4.8341422288186*x4</t>
  </si>
  <si>
    <t>0.3214400101846/(x4/x0**1.0</t>
  </si>
  <si>
    <t>9.1979515107266*sin(x2</t>
  </si>
  <si>
    <t>1.0*x4**0.5)</t>
  </si>
  <si>
    <t>random_14_05_0010000_03.data</t>
  </si>
  <si>
    <t>0.5379840873917+(0.4717755037108*sin((((-2.0+(4.0*x1))+((x1*x3)*x4))+((x2*x3)*pow(x4,0.5)))))+(-0.0687568654906*x0)</t>
  </si>
  <si>
    <t>0.4717755037108*sin(x1*x3*x4</t>
  </si>
  <si>
    <t>4.0*x1</t>
  </si>
  <si>
    <t>x2*x3*x4**0.5</t>
  </si>
  <si>
    <t>random_14_05_0010000_04.data</t>
  </si>
  <si>
    <t>0.8671417353426+(0.9999909021313*sin(x3))+(1.1538125421495*x0)+(0.6952135473424*pow(x0,0.25))+(((-1.0002898582467*x1)*x4)*pow(x2,-1.0))</t>
  </si>
  <si>
    <t>0.6952135473424*x0**0.25</t>
  </si>
  <si>
    <t>1.1538125421495*x0</t>
  </si>
  <si>
    <t>1.0002898582467*x1*x4/x2**1.0</t>
  </si>
  <si>
    <t>0.9999909021313*sin(x3)</t>
  </si>
  <si>
    <t>random_15_01_0010000_00.data</t>
  </si>
  <si>
    <t>0.0321160922414+(1.4051922180839*cos(exp(x0)))+(0.7449094142134*x0)</t>
  </si>
  <si>
    <t>0.7449094142134*x0</t>
  </si>
  <si>
    <t>1.4051922180839*cos(exp(x0))</t>
  </si>
  <si>
    <t>random_15_01_0010000_01.data</t>
  </si>
  <si>
    <t>3.972575939457+(0.0549456532255*pow((cos(x0)+log(pow(x0,4.0))),2.0))+(-3.3760114348743*cos(x0))+(-2.8639711517327*x0)</t>
  </si>
  <si>
    <t>0.0549456532255*(log(x0**4.0)</t>
  </si>
  <si>
    <t>3.3760114348743*cos(x0)</t>
  </si>
  <si>
    <t>random_15_01_0010000_02.data</t>
  </si>
  <si>
    <t>random_15_01_0010000_03.data</t>
  </si>
  <si>
    <t>(2.1388573057495*pow(((-1.0*x0)*log(x0)),0.5))</t>
  </si>
  <si>
    <t>2.1388573057495*(-x0*log(x0))**0.5</t>
  </si>
  <si>
    <t>random_15_01_0010000_04.data</t>
  </si>
  <si>
    <t>0.0737247573534+(0.0269066601909*exp(pow(3.0,x0)))</t>
  </si>
  <si>
    <t>0.0269066601909*exp(3.0**x0)</t>
  </si>
  <si>
    <t>random_15_02_0010000_00.data</t>
  </si>
  <si>
    <t>0.9578073897356+(-1.0*cos((x0+(-1.0*pow(x1,2.0)))))</t>
  </si>
  <si>
    <t>1.0*cos(x0</t>
  </si>
  <si>
    <t>1.0*x1**2.0)</t>
  </si>
  <si>
    <t>random_15_02_0010000_01.data</t>
  </si>
  <si>
    <t>0.10422749975/(x0**1.0*x1**0.5*(1/(x0**1.0*x1**0.5))**0.5)</t>
  </si>
  <si>
    <t>1.830147383505*x0</t>
  </si>
  <si>
    <t>1.1699665620446*x1**0.5</t>
  </si>
  <si>
    <t>1.2988451140022/(1/(x0**1.0*x1**0.5))**0.5</t>
  </si>
  <si>
    <t>0.8424559921279*sin(x0**(-1.0)</t>
  </si>
  <si>
    <t>x0*exp(x1)</t>
  </si>
  <si>
    <t>2.1415926535898*x1)</t>
  </si>
  <si>
    <t>random_15_02_0010000_02.data</t>
  </si>
  <si>
    <t>1.8523715129511+(1.9150797532384*x0)+(1.6818342909375*pow(cos((x0+cos(pow(x1,2.0)))),2.0))+(-3.1698286929282*x1)+((4.7540391798163*x1)*pow(cos(x1),4.0))</t>
  </si>
  <si>
    <t>1.9150797532384*x0</t>
  </si>
  <si>
    <t>4.7540391798163*x1*cos(x1)**4.0</t>
  </si>
  <si>
    <t>3.1698286929282*x1</t>
  </si>
  <si>
    <t>1.6818342909375*cos(x0</t>
  </si>
  <si>
    <t>cos(x1**2.0))**2.0</t>
  </si>
  <si>
    <t>random_15_02_0010000_03.data</t>
  </si>
  <si>
    <t>4.0288865778746+(2.0248879665778*x1)+((0.6961644112318*x1)*cos((2.0*x0)))+((2.9768324615419*pow(1.8,cos(x0)))*cos(x0))</t>
  </si>
  <si>
    <t>2.9768324615419*1.8**cos(x0)*cos(x0)</t>
  </si>
  <si>
    <t>0.6961644112318*x1*cos(2.0*x0)</t>
  </si>
  <si>
    <t>2.0248879665778*x1</t>
  </si>
  <si>
    <t>random_15_02_0010000_04.data</t>
  </si>
  <si>
    <t>(-14.1133146502898*x0)+((-0.6590102289823*x0)*x1)</t>
  </si>
  <si>
    <t>x0*(-0.6590102289823*x1</t>
  </si>
  <si>
    <t>14.1133146502898)</t>
  </si>
  <si>
    <t>random_15_03_0010000_00.data</t>
  </si>
  <si>
    <t>3.1055884514667+(0.4219908895929*x0)+(-0.6735441688365*pow(x0,-1.0))+(-0.8478361984309*pow(2.0,x2))+((0.4219908895929*pow(x0,-1.0))*pow((x1+x2),2.0))+((0.9925171346084*x1)*pow(x0,-2.0))+((-1.2804471551547*x0)*x2)+((-3.4197194492605*pow(x0,-1.0))*sin(x1))+(((0.1883425306176*pow(x0,-2.0))*pow(x1,2.0))*pow(sin(x2),2.0))</t>
  </si>
  <si>
    <t>(x0**1.0*(0.9925171346084*x1</t>
  </si>
  <si>
    <t>0.1883425306176*x1**2.0*sin(x2)**2.0)</t>
  </si>
  <si>
    <t>x0**2.0*(0.4219908895929*(x1</t>
  </si>
  <si>
    <t>3.4197194492605*sin(x1)</t>
  </si>
  <si>
    <t>0.6735441688365)</t>
  </si>
  <si>
    <t>x0**3.0*(-0.8478361984309*2.0**x2</t>
  </si>
  <si>
    <t>1.2804471551547*x0*x2</t>
  </si>
  <si>
    <t>0.4219908895929*x0</t>
  </si>
  <si>
    <t>3.1055884514667))/x0**3.0</t>
  </si>
  <si>
    <t>random_15_03_0010000_01.data</t>
  </si>
  <si>
    <t>-1.3542672820925*x0**0.5*x1</t>
  </si>
  <si>
    <t>0.4886464837421*x0**1.5</t>
  </si>
  <si>
    <t>1.2695733048929*x1**2.0</t>
  </si>
  <si>
    <t>3.4653391134055*sin(2.0*x0**3.0*cos(x1/x0**1.0</t>
  </si>
  <si>
    <t>x2**0.5)**2.0</t>
  </si>
  <si>
    <t>random_15_03_0010000_02.data</t>
  </si>
  <si>
    <t>2.715475641817+(6.8941724689241*x2)+(-0.6199954085454*pow(x1,2.0))+(-0.843004338813*sin((x0*sin(x1))))+(-6.8034051838087*sin(x2))+((-0.6249854095468*x1)*pow(x2,3.0))</t>
  </si>
  <si>
    <t>-0.6249854095468*x1*x2**3.0</t>
  </si>
  <si>
    <t>0.6199954085454*x1**2.0</t>
  </si>
  <si>
    <t>6.8941724689241*x2</t>
  </si>
  <si>
    <t>6.8034051838087*sin(x2)</t>
  </si>
  <si>
    <t>0.843004338813*sin(x0*sin(x1))</t>
  </si>
  <si>
    <t>random_15_03_0010000_03.data</t>
  </si>
  <si>
    <t>1.5701493019657+(-1.005045169092*log(pow(x0,2.0)))+(-0.2756939723609*pow(x0,-1.0))+(((-312.7294886440644*pow((x0+(-1.0*sin((1.0*x2)))),8.0))*pow(cos(((((pow(sin(x0),-1.0)+(0.48*pow(cos(x2),-1.0)))+(-0.48*x1))+(pow(x2,-1.0)*cos(((0.5+x0)+(-1.0*log(pow(x0,2.0)))))))+((-1.0*x0)*x1))),5.0))*pow(log(pow(x0,2.0)),4.0))</t>
  </si>
  <si>
    <t>-0.2756939723609/x0**1.0</t>
  </si>
  <si>
    <t>312.7294886440644*(x0</t>
  </si>
  <si>
    <t>1.0*sin(1.0*x2))**8.0*log(x0**2.0)**4.0*cos(-1.0*x0*x1</t>
  </si>
  <si>
    <t>0.48*x1</t>
  </si>
  <si>
    <t>cos(x0</t>
  </si>
  <si>
    <t>1.0*log(x0**2.0)</t>
  </si>
  <si>
    <t>0.5)/x2**1.0</t>
  </si>
  <si>
    <t>sin(x0)**(-1.0)</t>
  </si>
  <si>
    <t>0.48/cos(x2)**1.0)**5.0</t>
  </si>
  <si>
    <t>1.005045169092*log(x0**2.0)</t>
  </si>
  <si>
    <t>random_15_03_0010000_04.data</t>
  </si>
  <si>
    <t>103.7531952675817+(-25.0837968104232*cos((0.8414709848079*x2)))+((0.4998598389593*x0)*x1)</t>
  </si>
  <si>
    <t>0.4998598389593*x0*x1</t>
  </si>
  <si>
    <t>25.0837968104232*cos(0.8414709848079*x2)</t>
  </si>
  <si>
    <t>random_15_04_0010000_00.data</t>
  </si>
  <si>
    <t>1.6018954575301+(2.4027398264783*sin(((10.0+x1)+(sin(x2)*sin(x3)))))+(-0.2302366919756*x1)</t>
  </si>
  <si>
    <t>2.4027398264783*sin(x1</t>
  </si>
  <si>
    <t>sin(x2)*sin(x3)</t>
  </si>
  <si>
    <t>10.0)</t>
  </si>
  <si>
    <t>random_15_04_0010000_01.data</t>
  </si>
  <si>
    <t>((((0.0008387511202*x1)*pow(x0,-1.0))*pow(x0,(-1.0*x2)))*cos(pow(x0,x3)))</t>
  </si>
  <si>
    <t>0.0008387511202*x0**(-1.0*x2</t>
  </si>
  <si>
    <t>1.0)*x1*cos(x0**x3)</t>
  </si>
  <si>
    <t>random_15_04_0010000_02.data</t>
  </si>
  <si>
    <t>30.0000490732985+(1.9999972232146*log((x0*pow(x2,-1.0))))</t>
  </si>
  <si>
    <t>1.9999972232146*log(x0/x2**1.0)</t>
  </si>
  <si>
    <t>random_15_04_0010000_03.data</t>
  </si>
  <si>
    <t>9.1739181679618+(-9.0610865065829*cos(((x1*x3)*pow((x2+(x3*pow(x1,-1.0))),-1.0))))+((3.2118833397536*pow(x3,2.0))*pow((x2+x3),-2.0))+(((-0.6021914154213*x3)*pow(((0.3183098861838*x2)+(x3*pow(x0,-1.0))),-1.0))*exp(x1))</t>
  </si>
  <si>
    <t>-0.6021914154213*x3*exp(x1)/(x3/x0**1.0</t>
  </si>
  <si>
    <t>0.3183098861838*x2)**1.0</t>
  </si>
  <si>
    <t>3.2118833397536*x3**2.0/(x2</t>
  </si>
  <si>
    <t>9.0610865065829*cos(x1*x3/(x3/x1**1.0</t>
  </si>
  <si>
    <t>random_15_04_0010000_04.data</t>
  </si>
  <si>
    <t>0.5000022439258*x3/(x0**1.0*x2**1.0)</t>
  </si>
  <si>
    <t>0.0348578365335/x1**1.0</t>
  </si>
  <si>
    <t>5.0718058582782*x1</t>
  </si>
  <si>
    <t>2.0221369793553*(sin(x1</t>
  </si>
  <si>
    <t>1.0)**10.0/x1**1.0</t>
  </si>
  <si>
    <t>1.0*sin(x1</t>
  </si>
  <si>
    <t>1.0)**10.0)**0.5</t>
  </si>
  <si>
    <t>random_15_05_0010000_00.data</t>
  </si>
  <si>
    <t>-1.0106524363283*sin(x0*x4</t>
  </si>
  <si>
    <t>x3</t>
  </si>
  <si>
    <t>4.0*(x3</t>
  </si>
  <si>
    <t>1.4574197622125*cos(2.0*x3)**40.0</t>
  </si>
  <si>
    <t>random_15_05_0010000_01.data</t>
  </si>
  <si>
    <t>1.1301155997789+(0.7760665262373*pow(x4,0.5))+(0.901354736178*x4)+(-1.0016067326443*x2)+(-0.9967972534018*x3)+((1.001506073989*x0)*x1)</t>
  </si>
  <si>
    <t>1.001506073989*x0*x1</t>
  </si>
  <si>
    <t>1.0016067326443*x2</t>
  </si>
  <si>
    <t>0.9967972534018*x3</t>
  </si>
  <si>
    <t>0.7760665262373*x4**0.5</t>
  </si>
  <si>
    <t>0.901354736178*x4</t>
  </si>
  <si>
    <t>random_15_05_0010000_02.data</t>
  </si>
  <si>
    <t>(1.000828879296*x0)+(1.0012970991796*x2)+(1.1987394525734*x3)+(1.9999671810489*pow(x4,-1.0))+((0.7176009275627*x3)*pow(x1,3.0))</t>
  </si>
  <si>
    <t>1.000828879296*x0</t>
  </si>
  <si>
    <t>0.7176009275627*x1**3.0*x3</t>
  </si>
  <si>
    <t>1.0012970991796*x2</t>
  </si>
  <si>
    <t>1.1987394525734*x3</t>
  </si>
  <si>
    <t>1.9999671810489/x4**1.0</t>
  </si>
  <si>
    <t>random_15_05_0010000_03.data</t>
  </si>
  <si>
    <t>2.3020847546231+(-0.1016324205314*x4)+((0.1014022762198*x2)*x3)+((0.0325875297224*x0)*pow(x1,2.0))</t>
  </si>
  <si>
    <t>0.0325875297224*x0*x1**2.0</t>
  </si>
  <si>
    <t>0.1014022762198*x2*x3</t>
  </si>
  <si>
    <t>0.1016324205314*x4</t>
  </si>
  <si>
    <t>random_15_05_0010000_04.data</t>
  </si>
  <si>
    <t>(1.1412715863366*x0)+(0.3351618484849*x2)+(-0.962848712372*x3)+((0.3923395468334*x1)*x3)+((0.5716636353482*x3)*x4)+((-0.6353134895475*x0)*x1)+((-0.9175242640392*x0)*x4)+(((0.4685660361962*x1)*x3)*x4)+(((-0.6371729808445*x1)*x2)*x4)</t>
  </si>
  <si>
    <t>0.9175242640392*x0*x4</t>
  </si>
  <si>
    <t>1.1412715863366*x0</t>
  </si>
  <si>
    <t>0.6371729808445*x1*x2*x4</t>
  </si>
  <si>
    <t>0.4685660361962*x1*x3*x4</t>
  </si>
  <si>
    <t>0.3923395468334*x1*x3</t>
  </si>
  <si>
    <t>0.3351618484849*x2</t>
  </si>
  <si>
    <t>0.5716636353482*x3*x4</t>
  </si>
  <si>
    <t>0.962848712372*x3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</si>
</sst>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11" fontId="0" fillId="0" borderId="0" xfId="0" applyNumberFormat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Alignment="1">
      <alignment horizontal="center"/>
    </xf>
    <xf numFmtId="0" fontId="2" fillId="2" borderId="1" xfId="1" applyBorder="1"/>
    <xf numFmtId="0" fontId="2" fillId="2" borderId="2" xfId="1" applyBorder="1"/>
    <xf numFmtId="0" fontId="2" fillId="2" borderId="3" xfId="1" applyBorder="1"/>
    <xf numFmtId="0" fontId="2" fillId="2" borderId="0" xfId="1" applyBorder="1" applyAlignment="1">
      <alignment horizontal="center"/>
    </xf>
    <xf numFmtId="0" fontId="2" fillId="2" borderId="4" xfId="1" applyBorder="1"/>
    <xf numFmtId="0" fontId="2" fillId="2" borderId="0" xfId="1" applyBorder="1"/>
    <xf numFmtId="0" fontId="2" fillId="2" borderId="5" xfId="1" applyBorder="1"/>
    <xf numFmtId="0" fontId="2" fillId="2" borderId="6" xfId="1" applyBorder="1"/>
    <xf numFmtId="0" fontId="2" fillId="2" borderId="7" xfId="1" applyBorder="1"/>
    <xf numFmtId="0" fontId="2" fillId="2" borderId="0" xfId="1"/>
    <xf numFmtId="0" fontId="2" fillId="2" borderId="5" xfId="1" applyBorder="1" applyAlignment="1">
      <alignment horizontal="center"/>
    </xf>
    <xf numFmtId="0" fontId="2" fillId="2" borderId="8" xfId="1" applyBorder="1"/>
    <xf numFmtId="0" fontId="1" fillId="0" borderId="4" xfId="0" applyFont="1" applyBorder="1"/>
    <xf numFmtId="0" fontId="1" fillId="0" borderId="1" xfId="0" applyFont="1" applyBorder="1"/>
    <xf numFmtId="0" fontId="2" fillId="2" borderId="4" xfId="1" applyBorder="1" applyAlignment="1">
      <alignment horizontal="center"/>
    </xf>
    <xf numFmtId="0" fontId="2" fillId="2" borderId="0" xfId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2" fillId="2" borderId="5" xfId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888FD-9B44-4A03-9A0D-B4B85E83BBC1}">
  <dimension ref="A1:U134"/>
  <sheetViews>
    <sheetView workbookViewId="0">
      <selection activeCell="G120" sqref="G120"/>
    </sheetView>
  </sheetViews>
  <sheetFormatPr defaultRowHeight="15" x14ac:dyDescent="0.25"/>
  <cols>
    <col min="1" max="1" width="19.140625" bestFit="1" customWidth="1"/>
    <col min="2" max="21" width="9.140625" style="24"/>
  </cols>
  <sheetData>
    <row r="1" spans="1:21" ht="15.75" thickBot="1" x14ac:dyDescent="0.3">
      <c r="B1" s="24">
        <f>MEDIAN(B5:B134)</f>
        <v>1</v>
      </c>
      <c r="C1" s="24">
        <f>MEDIAN(C5:C134)</f>
        <v>0</v>
      </c>
      <c r="E1" s="24">
        <f>E2/130</f>
        <v>0.6</v>
      </c>
      <c r="F1" s="24">
        <f>F2/130</f>
        <v>0.83076923076923082</v>
      </c>
      <c r="G1" s="24">
        <f>MEDIAN(G5:G134)</f>
        <v>1</v>
      </c>
      <c r="H1" s="24">
        <f>MEDIAN(H5:H134)</f>
        <v>0</v>
      </c>
      <c r="J1" s="24">
        <f>J2/130</f>
        <v>0.60769230769230764</v>
      </c>
      <c r="K1" s="24">
        <f>K2/130</f>
        <v>0.82307692307692304</v>
      </c>
      <c r="L1" s="24" t="e">
        <f>MEDIAN(L5:L134)</f>
        <v>#N/A</v>
      </c>
      <c r="M1" s="24" t="e">
        <f>MEDIAN(M5:M134)</f>
        <v>#N/A</v>
      </c>
      <c r="O1" s="24" t="e">
        <f>O2/130</f>
        <v>#N/A</v>
      </c>
      <c r="P1" s="24" t="e">
        <f>P2/130</f>
        <v>#N/A</v>
      </c>
      <c r="Q1" s="24" t="e">
        <f>MEDIAN(Q5:Q134)</f>
        <v>#N/A</v>
      </c>
      <c r="R1" s="24" t="e">
        <f>MEDIAN(R5:R134)</f>
        <v>#N/A</v>
      </c>
      <c r="T1" s="24" t="e">
        <f>T2/130</f>
        <v>#N/A</v>
      </c>
      <c r="U1" s="24" t="e">
        <f>U2/130</f>
        <v>#N/A</v>
      </c>
    </row>
    <row r="2" spans="1:21" x14ac:dyDescent="0.25">
      <c r="A2" s="28" t="s">
        <v>196</v>
      </c>
      <c r="B2" s="15">
        <f>AVERAGE(B5:B134)</f>
        <v>0.98383731406249975</v>
      </c>
      <c r="C2" s="16">
        <f>AVERAGE(C5:C134)</f>
        <v>5.7099757031250004E-2</v>
      </c>
      <c r="D2" s="16">
        <f>AVERAGE(D5:D134)</f>
        <v>2844.6953846153838</v>
      </c>
      <c r="E2" s="16">
        <f>SUM(E5:E134)</f>
        <v>78</v>
      </c>
      <c r="F2" s="17">
        <f>SUM(F5:F134)</f>
        <v>108</v>
      </c>
      <c r="G2" s="15">
        <f>AVERAGE(G5:G134)</f>
        <v>0.98956176299212606</v>
      </c>
      <c r="H2" s="16">
        <f>AVERAGE(H5:H134)</f>
        <v>7.4194795275590544E-2</v>
      </c>
      <c r="I2" s="16">
        <f>AVERAGE(I5:I134)</f>
        <v>2815.5609374999985</v>
      </c>
      <c r="J2" s="16">
        <f>SUM(J5:J134)</f>
        <v>79</v>
      </c>
      <c r="K2" s="17">
        <f>SUM(K5:K134)</f>
        <v>107</v>
      </c>
      <c r="L2" s="15" t="e">
        <f>AVERAGE(L5:L134)</f>
        <v>#N/A</v>
      </c>
      <c r="M2" s="16" t="e">
        <f>AVERAGE(M5:M134)</f>
        <v>#N/A</v>
      </c>
      <c r="N2" s="16" t="e">
        <f>AVERAGE(N5:N134)</f>
        <v>#N/A</v>
      </c>
      <c r="O2" s="16" t="e">
        <f>SUM(O5:O134)</f>
        <v>#N/A</v>
      </c>
      <c r="P2" s="17" t="e">
        <f>SUM(P5:P134)</f>
        <v>#N/A</v>
      </c>
      <c r="Q2" s="15" t="e">
        <f>AVERAGE(Q5:Q134)</f>
        <v>#N/A</v>
      </c>
      <c r="R2" s="16" t="e">
        <f>AVERAGE(R5:R134)</f>
        <v>#N/A</v>
      </c>
      <c r="S2" s="16" t="e">
        <f>AVERAGE(S5:S134)</f>
        <v>#N/A</v>
      </c>
      <c r="T2" s="16" t="e">
        <f>SUM(T5:T134)</f>
        <v>#N/A</v>
      </c>
      <c r="U2" s="17" t="e">
        <f>SUM(U5:U134)</f>
        <v>#N/A</v>
      </c>
    </row>
    <row r="3" spans="1:21" x14ac:dyDescent="0.25">
      <c r="A3" s="27" t="s">
        <v>195</v>
      </c>
      <c r="B3" s="29">
        <v>23654</v>
      </c>
      <c r="C3" s="30"/>
      <c r="D3" s="30"/>
      <c r="E3" s="30"/>
      <c r="F3" s="25"/>
      <c r="G3" s="29">
        <v>23654</v>
      </c>
      <c r="H3" s="30"/>
      <c r="I3" s="30"/>
      <c r="J3" s="30"/>
      <c r="K3" s="25"/>
      <c r="L3" s="29">
        <v>15795</v>
      </c>
      <c r="M3" s="30"/>
      <c r="N3" s="30"/>
      <c r="O3" s="30"/>
      <c r="P3" s="25"/>
      <c r="Q3" s="29">
        <v>860</v>
      </c>
      <c r="R3" s="30"/>
      <c r="S3" s="30"/>
      <c r="T3" s="30"/>
      <c r="U3" s="25"/>
    </row>
    <row r="4" spans="1:21" ht="15.75" thickBot="1" x14ac:dyDescent="0.3">
      <c r="A4" s="11" t="s">
        <v>193</v>
      </c>
      <c r="B4" s="22" t="s">
        <v>3</v>
      </c>
      <c r="C4" s="23" t="s">
        <v>2</v>
      </c>
      <c r="D4" s="23" t="s">
        <v>194</v>
      </c>
      <c r="E4" s="23" t="s">
        <v>197</v>
      </c>
      <c r="F4" s="26"/>
      <c r="G4" s="22" t="s">
        <v>3</v>
      </c>
      <c r="H4" s="23" t="s">
        <v>2</v>
      </c>
      <c r="I4" s="23" t="s">
        <v>194</v>
      </c>
      <c r="J4" s="23" t="s">
        <v>197</v>
      </c>
      <c r="K4" s="26"/>
      <c r="L4" s="22" t="s">
        <v>3</v>
      </c>
      <c r="M4" s="23" t="s">
        <v>2</v>
      </c>
      <c r="N4" s="23" t="s">
        <v>194</v>
      </c>
      <c r="O4" s="23" t="s">
        <v>197</v>
      </c>
      <c r="P4" s="26"/>
      <c r="Q4" s="22" t="s">
        <v>3</v>
      </c>
      <c r="R4" s="23" t="s">
        <v>2</v>
      </c>
      <c r="S4" s="23" t="s">
        <v>194</v>
      </c>
      <c r="T4" s="23" t="s">
        <v>197</v>
      </c>
      <c r="U4" s="26"/>
    </row>
    <row r="5" spans="1:21" x14ac:dyDescent="0.25">
      <c r="A5" s="27" t="s">
        <v>57</v>
      </c>
      <c r="B5" s="19">
        <f>VLOOKUP(CONCATENATE($A5,"_",B$3),'10 seeds 7200s'!$A$1:$AD$1300,12, FALSE)</f>
        <v>0.99997590000000003</v>
      </c>
      <c r="C5" s="20">
        <f>VLOOKUP(CONCATENATE($A5,"_",B$3),'10 seeds 7200s'!$A$1:$AD$1300,14, FALSE)</f>
        <v>5.9610000000000002E-3</v>
      </c>
      <c r="D5" s="20">
        <f>VLOOKUP(CONCATENATE($A5,"_",B$3),'10 seeds 7200s'!$A$1:$AD$1300,18, FALSE)</f>
        <v>7203.1</v>
      </c>
      <c r="E5" s="20">
        <f>IF(AND(B5=1,C5=0),1,0)</f>
        <v>0</v>
      </c>
      <c r="F5" s="21">
        <f>IF(B5&gt;0.999,1,0)</f>
        <v>1</v>
      </c>
      <c r="G5" s="19">
        <f>VLOOKUP(CONCATENATE($A5,"_",G$3),'Checkpoint 7'!$A$1:$AD$1300,12, FALSE)</f>
        <v>0.99997590000000003</v>
      </c>
      <c r="H5" s="20">
        <f>VLOOKUP(CONCATENATE($A5,"_",G$3),'Checkpoint 7'!$A$1:$AD$1300,14, FALSE)</f>
        <v>5.9597000000000001E-3</v>
      </c>
      <c r="I5" s="20">
        <f>VLOOKUP(CONCATENATE($A5,"_",G$3),'Checkpoint 7'!$A$1:$AD$1300,18, FALSE)</f>
        <v>6666.6</v>
      </c>
      <c r="J5" s="20">
        <f>IF(AND(G5=1,H5=0),1,0)</f>
        <v>0</v>
      </c>
      <c r="K5" s="21">
        <f>IF(G5&gt;0.999,1,0)</f>
        <v>1</v>
      </c>
      <c r="L5" s="19">
        <f>VLOOKUP(CONCATENATE($A5,"_",L$3),'10 seeds 7200s'!$A$1:$AD$1300,12, FALSE)</f>
        <v>0.99999939999999998</v>
      </c>
      <c r="M5" s="20">
        <f>VLOOKUP(CONCATENATE($A5,"_",L$3),'10 seeds 7200s'!$A$1:$AD$1300,14, FALSE)</f>
        <v>9.2250000000000003E-4</v>
      </c>
      <c r="N5" s="20">
        <f>VLOOKUP(CONCATENATE($A5,"_",L$3),'10 seeds 7200s'!$A$1:$AD$1300,18, FALSE)</f>
        <v>7203.7</v>
      </c>
      <c r="O5" s="20">
        <f>IF(AND(L5=1,M5=0),1,0)</f>
        <v>0</v>
      </c>
      <c r="P5" s="21">
        <f>IF(L5&gt;0.999,1,0)</f>
        <v>1</v>
      </c>
      <c r="Q5" s="19" t="e">
        <f>VLOOKUP(CONCATENATE($A5,"_",Q$3),'10 seeds 7200s'!$A$1:$AD$1300,12, FALSE)</f>
        <v>#N/A</v>
      </c>
      <c r="R5" s="20" t="e">
        <f>VLOOKUP(CONCATENATE($A5,"_",Q$3),'10 seeds 7200s'!$A$1:$AD$1300,14, FALSE)</f>
        <v>#N/A</v>
      </c>
      <c r="S5" s="20" t="e">
        <f>VLOOKUP(CONCATENATE($A5,"_",Q$3),'10 seeds 7200s'!$A$1:$AD$1300,18, FALSE)</f>
        <v>#N/A</v>
      </c>
      <c r="T5" s="20" t="e">
        <f>IF(AND(Q5=1,R5=0),1,0)</f>
        <v>#N/A</v>
      </c>
      <c r="U5" s="21" t="e">
        <f>IF(Q5&gt;0.999,1,0)</f>
        <v>#N/A</v>
      </c>
    </row>
    <row r="6" spans="1:21" x14ac:dyDescent="0.25">
      <c r="A6" s="27" t="s">
        <v>138</v>
      </c>
      <c r="B6" s="19">
        <f>VLOOKUP(CONCATENATE($A6,"_",B$3),'10 seeds 7200s'!$A$1:$AD$1300,12, FALSE)</f>
        <v>1</v>
      </c>
      <c r="C6" s="20">
        <f>VLOOKUP(CONCATENATE($A6,"_",B$3),'10 seeds 7200s'!$A$1:$AD$1300,14, FALSE)</f>
        <v>0</v>
      </c>
      <c r="D6" s="20">
        <f>VLOOKUP(CONCATENATE($A6,"_",B$3),'10 seeds 7200s'!$A$1:$AD$1300,18, FALSE)</f>
        <v>19.2</v>
      </c>
      <c r="E6" s="20">
        <f t="shared" ref="E6:E69" si="0">IF(AND(B6=1,C6=0),1,0)</f>
        <v>1</v>
      </c>
      <c r="F6" s="21">
        <f t="shared" ref="F6:F69" si="1">IF(B6&gt;0.999,1,0)</f>
        <v>1</v>
      </c>
      <c r="G6" s="19">
        <f>VLOOKUP(CONCATENATE($A6,"_",G$3),'Checkpoint 7'!$A$1:$AD$1300,12, FALSE)</f>
        <v>1</v>
      </c>
      <c r="H6" s="20">
        <f>VLOOKUP(CONCATENATE($A6,"_",G$3),'Checkpoint 7'!$A$1:$AD$1300,14, FALSE)</f>
        <v>0</v>
      </c>
      <c r="I6" s="20">
        <f>VLOOKUP(CONCATENATE($A6,"_",G$3),'Checkpoint 7'!$A$1:$AD$1300,18, FALSE)</f>
        <v>20.2</v>
      </c>
      <c r="J6" s="20">
        <f t="shared" ref="J6:J69" si="2">IF(AND(G6=1,H6=0),1,0)</f>
        <v>1</v>
      </c>
      <c r="K6" s="21">
        <f t="shared" ref="K6:K69" si="3">IF(G6&gt;0.999,1,0)</f>
        <v>1</v>
      </c>
      <c r="L6" s="19">
        <f>VLOOKUP(CONCATENATE($A6,"_",L$3),'10 seeds 7200s'!$A$1:$AD$1300,12, FALSE)</f>
        <v>1</v>
      </c>
      <c r="M6" s="20">
        <f>VLOOKUP(CONCATENATE($A6,"_",L$3),'10 seeds 7200s'!$A$1:$AD$1300,14, FALSE)</f>
        <v>0</v>
      </c>
      <c r="N6" s="20">
        <f>VLOOKUP(CONCATENATE($A6,"_",L$3),'10 seeds 7200s'!$A$1:$AD$1300,18, FALSE)</f>
        <v>17.8</v>
      </c>
      <c r="O6" s="20">
        <f t="shared" ref="O6:O69" si="4">IF(AND(L6=1,M6=0),1,0)</f>
        <v>1</v>
      </c>
      <c r="P6" s="21">
        <f t="shared" ref="P6:P69" si="5">IF(L6&gt;0.999,1,0)</f>
        <v>1</v>
      </c>
      <c r="Q6" s="19">
        <f>VLOOKUP(CONCATENATE($A6,"_",Q$3),'10 seeds 7200s'!$A$1:$AD$1300,12, FALSE)</f>
        <v>1</v>
      </c>
      <c r="R6" s="20">
        <f>VLOOKUP(CONCATENATE($A6,"_",Q$3),'10 seeds 7200s'!$A$1:$AD$1300,14, FALSE)</f>
        <v>0</v>
      </c>
      <c r="S6" s="20">
        <f>VLOOKUP(CONCATENATE($A6,"_",Q$3),'10 seeds 7200s'!$A$1:$AD$1300,18, FALSE)</f>
        <v>18.100000000000001</v>
      </c>
      <c r="T6" s="20">
        <f t="shared" ref="T6:T69" si="6">IF(AND(Q6=1,R6=0),1,0)</f>
        <v>1</v>
      </c>
      <c r="U6" s="21">
        <f t="shared" ref="U6:U69" si="7">IF(Q6&gt;0.999,1,0)</f>
        <v>1</v>
      </c>
    </row>
    <row r="7" spans="1:21" x14ac:dyDescent="0.25">
      <c r="A7" s="27" t="s">
        <v>37</v>
      </c>
      <c r="B7" s="19">
        <f>VLOOKUP(CONCATENATE($A7,"_",B$3),'10 seeds 7200s'!$A$1:$AD$1300,12, FALSE)</f>
        <v>1</v>
      </c>
      <c r="C7" s="20">
        <f>VLOOKUP(CONCATENATE($A7,"_",B$3),'10 seeds 7200s'!$A$1:$AD$1300,14, FALSE)</f>
        <v>0</v>
      </c>
      <c r="D7" s="20">
        <f>VLOOKUP(CONCATENATE($A7,"_",B$3),'10 seeds 7200s'!$A$1:$AD$1300,18, FALSE)</f>
        <v>1.4</v>
      </c>
      <c r="E7" s="20">
        <f t="shared" si="0"/>
        <v>1</v>
      </c>
      <c r="F7" s="21">
        <f t="shared" si="1"/>
        <v>1</v>
      </c>
      <c r="G7" s="19">
        <f>VLOOKUP(CONCATENATE($A7,"_",G$3),'Checkpoint 7'!$A$1:$AD$1300,12, FALSE)</f>
        <v>1</v>
      </c>
      <c r="H7" s="20">
        <f>VLOOKUP(CONCATENATE($A7,"_",G$3),'Checkpoint 7'!$A$1:$AD$1300,14, FALSE)</f>
        <v>0</v>
      </c>
      <c r="I7" s="20">
        <f>VLOOKUP(CONCATENATE($A7,"_",G$3),'Checkpoint 7'!$A$1:$AD$1300,18, FALSE)</f>
        <v>1.7</v>
      </c>
      <c r="J7" s="20">
        <f t="shared" si="2"/>
        <v>1</v>
      </c>
      <c r="K7" s="21">
        <f t="shared" si="3"/>
        <v>1</v>
      </c>
      <c r="L7" s="19">
        <f>VLOOKUP(CONCATENATE($A7,"_",L$3),'10 seeds 7200s'!$A$1:$AD$1300,12, FALSE)</f>
        <v>1</v>
      </c>
      <c r="M7" s="20">
        <f>VLOOKUP(CONCATENATE($A7,"_",L$3),'10 seeds 7200s'!$A$1:$AD$1300,14, FALSE)</f>
        <v>0</v>
      </c>
      <c r="N7" s="20">
        <f>VLOOKUP(CONCATENATE($A7,"_",L$3),'10 seeds 7200s'!$A$1:$AD$1300,18, FALSE)</f>
        <v>1.1000000000000001</v>
      </c>
      <c r="O7" s="20">
        <f t="shared" si="4"/>
        <v>1</v>
      </c>
      <c r="P7" s="21">
        <f t="shared" si="5"/>
        <v>1</v>
      </c>
      <c r="Q7" s="19">
        <f>VLOOKUP(CONCATENATE($A7,"_",Q$3),'10 seeds 7200s'!$A$1:$AD$1300,12, FALSE)</f>
        <v>1</v>
      </c>
      <c r="R7" s="20">
        <f>VLOOKUP(CONCATENATE($A7,"_",Q$3),'10 seeds 7200s'!$A$1:$AD$1300,14, FALSE)</f>
        <v>0</v>
      </c>
      <c r="S7" s="20">
        <f>VLOOKUP(CONCATENATE($A7,"_",Q$3),'10 seeds 7200s'!$A$1:$AD$1300,18, FALSE)</f>
        <v>1.3</v>
      </c>
      <c r="T7" s="20">
        <f t="shared" si="6"/>
        <v>1</v>
      </c>
      <c r="U7" s="21">
        <f t="shared" si="7"/>
        <v>1</v>
      </c>
    </row>
    <row r="8" spans="1:21" x14ac:dyDescent="0.25">
      <c r="A8" s="27" t="s">
        <v>130</v>
      </c>
      <c r="B8" s="19">
        <f>VLOOKUP(CONCATENATE($A8,"_",B$3),'10 seeds 7200s'!$A$1:$AD$1300,12, FALSE)</f>
        <v>1</v>
      </c>
      <c r="C8" s="20">
        <f>VLOOKUP(CONCATENATE($A8,"_",B$3),'10 seeds 7200s'!$A$1:$AD$1300,14, FALSE)</f>
        <v>0</v>
      </c>
      <c r="D8" s="20">
        <f>VLOOKUP(CONCATENATE($A8,"_",B$3),'10 seeds 7200s'!$A$1:$AD$1300,18, FALSE)</f>
        <v>21.2</v>
      </c>
      <c r="E8" s="20">
        <f t="shared" si="0"/>
        <v>1</v>
      </c>
      <c r="F8" s="21">
        <f t="shared" si="1"/>
        <v>1</v>
      </c>
      <c r="G8" s="19">
        <f>VLOOKUP(CONCATENATE($A8,"_",G$3),'Checkpoint 7'!$A$1:$AD$1300,12, FALSE)</f>
        <v>1</v>
      </c>
      <c r="H8" s="20">
        <f>VLOOKUP(CONCATENATE($A8,"_",G$3),'Checkpoint 7'!$A$1:$AD$1300,14, FALSE)</f>
        <v>0</v>
      </c>
      <c r="I8" s="20">
        <f>VLOOKUP(CONCATENATE($A8,"_",G$3),'Checkpoint 7'!$A$1:$AD$1300,18, FALSE)</f>
        <v>31.1</v>
      </c>
      <c r="J8" s="20">
        <f t="shared" si="2"/>
        <v>1</v>
      </c>
      <c r="K8" s="21">
        <f t="shared" si="3"/>
        <v>1</v>
      </c>
      <c r="L8" s="19">
        <f>VLOOKUP(CONCATENATE($A8,"_",L$3),'10 seeds 7200s'!$A$1:$AD$1300,12, FALSE)</f>
        <v>1</v>
      </c>
      <c r="M8" s="20">
        <f>VLOOKUP(CONCATENATE($A8,"_",L$3),'10 seeds 7200s'!$A$1:$AD$1300,14, FALSE)</f>
        <v>0</v>
      </c>
      <c r="N8" s="20">
        <f>VLOOKUP(CONCATENATE($A8,"_",L$3),'10 seeds 7200s'!$A$1:$AD$1300,18, FALSE)</f>
        <v>21.8</v>
      </c>
      <c r="O8" s="20">
        <f t="shared" si="4"/>
        <v>1</v>
      </c>
      <c r="P8" s="21">
        <f t="shared" si="5"/>
        <v>1</v>
      </c>
      <c r="Q8" s="19">
        <f>VLOOKUP(CONCATENATE($A8,"_",Q$3),'10 seeds 7200s'!$A$1:$AD$1300,12, FALSE)</f>
        <v>1</v>
      </c>
      <c r="R8" s="20">
        <f>VLOOKUP(CONCATENATE($A8,"_",Q$3),'10 seeds 7200s'!$A$1:$AD$1300,14, FALSE)</f>
        <v>0</v>
      </c>
      <c r="S8" s="20">
        <f>VLOOKUP(CONCATENATE($A8,"_",Q$3),'10 seeds 7200s'!$A$1:$AD$1300,18, FALSE)</f>
        <v>21</v>
      </c>
      <c r="T8" s="20">
        <f t="shared" si="6"/>
        <v>1</v>
      </c>
      <c r="U8" s="21">
        <f t="shared" si="7"/>
        <v>1</v>
      </c>
    </row>
    <row r="9" spans="1:21" x14ac:dyDescent="0.25">
      <c r="A9" s="27" t="s">
        <v>110</v>
      </c>
      <c r="B9" s="19">
        <f>VLOOKUP(CONCATENATE($A9,"_",B$3),'10 seeds 7200s'!$A$1:$AD$1300,12, FALSE)</f>
        <v>1</v>
      </c>
      <c r="C9" s="20">
        <f>VLOOKUP(CONCATENATE($A9,"_",B$3),'10 seeds 7200s'!$A$1:$AD$1300,14, FALSE)</f>
        <v>0</v>
      </c>
      <c r="D9" s="20">
        <f>VLOOKUP(CONCATENATE($A9,"_",B$3),'10 seeds 7200s'!$A$1:$AD$1300,18, FALSE)</f>
        <v>457.9</v>
      </c>
      <c r="E9" s="20">
        <f t="shared" si="0"/>
        <v>1</v>
      </c>
      <c r="F9" s="21">
        <f t="shared" si="1"/>
        <v>1</v>
      </c>
      <c r="G9" s="19">
        <f>VLOOKUP(CONCATENATE($A9,"_",G$3),'Checkpoint 7'!$A$1:$AD$1300,12, FALSE)</f>
        <v>1</v>
      </c>
      <c r="H9" s="20">
        <f>VLOOKUP(CONCATENATE($A9,"_",G$3),'Checkpoint 7'!$A$1:$AD$1300,14, FALSE)</f>
        <v>0</v>
      </c>
      <c r="I9" s="20">
        <f>VLOOKUP(CONCATENATE($A9,"_",G$3),'Checkpoint 7'!$A$1:$AD$1300,18, FALSE)</f>
        <v>1520.6</v>
      </c>
      <c r="J9" s="20">
        <f t="shared" si="2"/>
        <v>1</v>
      </c>
      <c r="K9" s="21">
        <f t="shared" si="3"/>
        <v>1</v>
      </c>
      <c r="L9" s="19">
        <f>VLOOKUP(CONCATENATE($A9,"_",L$3),'10 seeds 7200s'!$A$1:$AD$1300,12, FALSE)</f>
        <v>1</v>
      </c>
      <c r="M9" s="20">
        <f>VLOOKUP(CONCATENATE($A9,"_",L$3),'10 seeds 7200s'!$A$1:$AD$1300,14, FALSE)</f>
        <v>0</v>
      </c>
      <c r="N9" s="20">
        <f>VLOOKUP(CONCATENATE($A9,"_",L$3),'10 seeds 7200s'!$A$1:$AD$1300,18, FALSE)</f>
        <v>18.899999999999999</v>
      </c>
      <c r="O9" s="20">
        <f t="shared" si="4"/>
        <v>1</v>
      </c>
      <c r="P9" s="21">
        <f t="shared" si="5"/>
        <v>1</v>
      </c>
      <c r="Q9" s="19">
        <f>VLOOKUP(CONCATENATE($A9,"_",Q$3),'10 seeds 7200s'!$A$1:$AD$1300,12, FALSE)</f>
        <v>1</v>
      </c>
      <c r="R9" s="20">
        <f>VLOOKUP(CONCATENATE($A9,"_",Q$3),'10 seeds 7200s'!$A$1:$AD$1300,14, FALSE)</f>
        <v>0</v>
      </c>
      <c r="S9" s="20">
        <f>VLOOKUP(CONCATENATE($A9,"_",Q$3),'10 seeds 7200s'!$A$1:$AD$1300,18, FALSE)</f>
        <v>19</v>
      </c>
      <c r="T9" s="20">
        <f t="shared" si="6"/>
        <v>1</v>
      </c>
      <c r="U9" s="21">
        <f t="shared" si="7"/>
        <v>1</v>
      </c>
    </row>
    <row r="10" spans="1:21" x14ac:dyDescent="0.25">
      <c r="A10" s="27" t="s">
        <v>83</v>
      </c>
      <c r="B10" s="19">
        <f>VLOOKUP(CONCATENATE($A10,"_",B$3),'10 seeds 7200s'!$A$1:$AD$1300,12, FALSE)</f>
        <v>1</v>
      </c>
      <c r="C10" s="20">
        <f>VLOOKUP(CONCATENATE($A10,"_",B$3),'10 seeds 7200s'!$A$1:$AD$1300,14, FALSE)</f>
        <v>0</v>
      </c>
      <c r="D10" s="20">
        <f>VLOOKUP(CONCATENATE($A10,"_",B$3),'10 seeds 7200s'!$A$1:$AD$1300,18, FALSE)</f>
        <v>8.5</v>
      </c>
      <c r="E10" s="20">
        <f t="shared" si="0"/>
        <v>1</v>
      </c>
      <c r="F10" s="21">
        <f t="shared" si="1"/>
        <v>1</v>
      </c>
      <c r="G10" s="19">
        <f>VLOOKUP(CONCATENATE($A10,"_",G$3),'Checkpoint 7'!$A$1:$AD$1300,12, FALSE)</f>
        <v>1</v>
      </c>
      <c r="H10" s="20">
        <f>VLOOKUP(CONCATENATE($A10,"_",G$3),'Checkpoint 7'!$A$1:$AD$1300,14, FALSE)</f>
        <v>0</v>
      </c>
      <c r="I10" s="20">
        <f>VLOOKUP(CONCATENATE($A10,"_",G$3),'Checkpoint 7'!$A$1:$AD$1300,18, FALSE)</f>
        <v>12.4</v>
      </c>
      <c r="J10" s="20">
        <f t="shared" si="2"/>
        <v>1</v>
      </c>
      <c r="K10" s="21">
        <f t="shared" si="3"/>
        <v>1</v>
      </c>
      <c r="L10" s="19">
        <f>VLOOKUP(CONCATENATE($A10,"_",L$3),'10 seeds 7200s'!$A$1:$AD$1300,12, FALSE)</f>
        <v>1</v>
      </c>
      <c r="M10" s="20">
        <f>VLOOKUP(CONCATENATE($A10,"_",L$3),'10 seeds 7200s'!$A$1:$AD$1300,14, FALSE)</f>
        <v>0</v>
      </c>
      <c r="N10" s="20">
        <f>VLOOKUP(CONCATENATE($A10,"_",L$3),'10 seeds 7200s'!$A$1:$AD$1300,18, FALSE)</f>
        <v>8.4</v>
      </c>
      <c r="O10" s="20">
        <f t="shared" si="4"/>
        <v>1</v>
      </c>
      <c r="P10" s="21">
        <f t="shared" si="5"/>
        <v>1</v>
      </c>
      <c r="Q10" s="19">
        <f>VLOOKUP(CONCATENATE($A10,"_",Q$3),'10 seeds 7200s'!$A$1:$AD$1300,12, FALSE)</f>
        <v>1</v>
      </c>
      <c r="R10" s="20">
        <f>VLOOKUP(CONCATENATE($A10,"_",Q$3),'10 seeds 7200s'!$A$1:$AD$1300,14, FALSE)</f>
        <v>0</v>
      </c>
      <c r="S10" s="20">
        <f>VLOOKUP(CONCATENATE($A10,"_",Q$3),'10 seeds 7200s'!$A$1:$AD$1300,18, FALSE)</f>
        <v>7.9</v>
      </c>
      <c r="T10" s="20">
        <f t="shared" si="6"/>
        <v>1</v>
      </c>
      <c r="U10" s="21">
        <f t="shared" si="7"/>
        <v>1</v>
      </c>
    </row>
    <row r="11" spans="1:21" x14ac:dyDescent="0.25">
      <c r="A11" s="27" t="s">
        <v>36</v>
      </c>
      <c r="B11" s="19">
        <f>VLOOKUP(CONCATENATE($A11,"_",B$3),'10 seeds 7200s'!$A$1:$AD$1300,12, FALSE)</f>
        <v>1</v>
      </c>
      <c r="C11" s="20">
        <f>VLOOKUP(CONCATENATE($A11,"_",B$3),'10 seeds 7200s'!$A$1:$AD$1300,14, FALSE)</f>
        <v>0</v>
      </c>
      <c r="D11" s="20">
        <f>VLOOKUP(CONCATENATE($A11,"_",B$3),'10 seeds 7200s'!$A$1:$AD$1300,18, FALSE)</f>
        <v>1.4</v>
      </c>
      <c r="E11" s="20">
        <f t="shared" si="0"/>
        <v>1</v>
      </c>
      <c r="F11" s="21">
        <f t="shared" si="1"/>
        <v>1</v>
      </c>
      <c r="G11" s="19">
        <f>VLOOKUP(CONCATENATE($A11,"_",G$3),'Checkpoint 7'!$A$1:$AD$1300,12, FALSE)</f>
        <v>1</v>
      </c>
      <c r="H11" s="20">
        <f>VLOOKUP(CONCATENATE($A11,"_",G$3),'Checkpoint 7'!$A$1:$AD$1300,14, FALSE)</f>
        <v>0</v>
      </c>
      <c r="I11" s="20">
        <f>VLOOKUP(CONCATENATE($A11,"_",G$3),'Checkpoint 7'!$A$1:$AD$1300,18, FALSE)</f>
        <v>1.7</v>
      </c>
      <c r="J11" s="20">
        <f t="shared" si="2"/>
        <v>1</v>
      </c>
      <c r="K11" s="21">
        <f t="shared" si="3"/>
        <v>1</v>
      </c>
      <c r="L11" s="19">
        <f>VLOOKUP(CONCATENATE($A11,"_",L$3),'10 seeds 7200s'!$A$1:$AD$1300,12, FALSE)</f>
        <v>1</v>
      </c>
      <c r="M11" s="20">
        <f>VLOOKUP(CONCATENATE($A11,"_",L$3),'10 seeds 7200s'!$A$1:$AD$1300,14, FALSE)</f>
        <v>0</v>
      </c>
      <c r="N11" s="20">
        <f>VLOOKUP(CONCATENATE($A11,"_",L$3),'10 seeds 7200s'!$A$1:$AD$1300,18, FALSE)</f>
        <v>1.2</v>
      </c>
      <c r="O11" s="20">
        <f t="shared" si="4"/>
        <v>1</v>
      </c>
      <c r="P11" s="21">
        <f t="shared" si="5"/>
        <v>1</v>
      </c>
      <c r="Q11" s="19">
        <f>VLOOKUP(CONCATENATE($A11,"_",Q$3),'10 seeds 7200s'!$A$1:$AD$1300,12, FALSE)</f>
        <v>1</v>
      </c>
      <c r="R11" s="20">
        <f>VLOOKUP(CONCATENATE($A11,"_",Q$3),'10 seeds 7200s'!$A$1:$AD$1300,14, FALSE)</f>
        <v>0</v>
      </c>
      <c r="S11" s="20">
        <f>VLOOKUP(CONCATENATE($A11,"_",Q$3),'10 seeds 7200s'!$A$1:$AD$1300,18, FALSE)</f>
        <v>1.2</v>
      </c>
      <c r="T11" s="20">
        <f t="shared" si="6"/>
        <v>1</v>
      </c>
      <c r="U11" s="21">
        <f t="shared" si="7"/>
        <v>1</v>
      </c>
    </row>
    <row r="12" spans="1:21" x14ac:dyDescent="0.25">
      <c r="A12" s="27" t="s">
        <v>128</v>
      </c>
      <c r="B12" s="19">
        <f>VLOOKUP(CONCATENATE($A12,"_",B$3),'10 seeds 7200s'!$A$1:$AD$1300,12, FALSE)</f>
        <v>0.9999768</v>
      </c>
      <c r="C12" s="20">
        <f>VLOOKUP(CONCATENATE($A12,"_",B$3),'10 seeds 7200s'!$A$1:$AD$1300,14, FALSE)</f>
        <v>4.3743999999999998E-2</v>
      </c>
      <c r="D12" s="20">
        <f>VLOOKUP(CONCATENATE($A12,"_",B$3),'10 seeds 7200s'!$A$1:$AD$1300,18, FALSE)</f>
        <v>7201.9</v>
      </c>
      <c r="E12" s="20">
        <f t="shared" si="0"/>
        <v>0</v>
      </c>
      <c r="F12" s="21">
        <f t="shared" si="1"/>
        <v>1</v>
      </c>
      <c r="G12" s="19">
        <f>VLOOKUP(CONCATENATE($A12,"_",G$3),'Checkpoint 7'!$A$1:$AD$1300,12, FALSE)</f>
        <v>1</v>
      </c>
      <c r="H12" s="20">
        <f>VLOOKUP(CONCATENATE($A12,"_",G$3),'Checkpoint 7'!$A$1:$AD$1300,14, FALSE)</f>
        <v>0</v>
      </c>
      <c r="I12" s="20">
        <f>VLOOKUP(CONCATENATE($A12,"_",G$3),'Checkpoint 7'!$A$1:$AD$1300,18, FALSE)</f>
        <v>1532.9</v>
      </c>
      <c r="J12" s="20">
        <f t="shared" si="2"/>
        <v>1</v>
      </c>
      <c r="K12" s="21">
        <f t="shared" si="3"/>
        <v>1</v>
      </c>
      <c r="L12" s="19">
        <f>VLOOKUP(CONCATENATE($A12,"_",L$3),'10 seeds 7200s'!$A$1:$AD$1300,12, FALSE)</f>
        <v>0.9999962</v>
      </c>
      <c r="M12" s="20">
        <f>VLOOKUP(CONCATENATE($A12,"_",L$3),'10 seeds 7200s'!$A$1:$AD$1300,14, FALSE)</f>
        <v>1.7681100000000002E-2</v>
      </c>
      <c r="N12" s="20">
        <f>VLOOKUP(CONCATENATE($A12,"_",L$3),'10 seeds 7200s'!$A$1:$AD$1300,18, FALSE)</f>
        <v>7200.2</v>
      </c>
      <c r="O12" s="20">
        <f t="shared" si="4"/>
        <v>0</v>
      </c>
      <c r="P12" s="21">
        <f t="shared" si="5"/>
        <v>1</v>
      </c>
      <c r="Q12" s="19" t="e">
        <f>VLOOKUP(CONCATENATE($A12,"_",Q$3),'10 seeds 7200s'!$A$1:$AD$1300,12, FALSE)</f>
        <v>#N/A</v>
      </c>
      <c r="R12" s="20" t="e">
        <f>VLOOKUP(CONCATENATE($A12,"_",Q$3),'10 seeds 7200s'!$A$1:$AD$1300,14, FALSE)</f>
        <v>#N/A</v>
      </c>
      <c r="S12" s="20" t="e">
        <f>VLOOKUP(CONCATENATE($A12,"_",Q$3),'10 seeds 7200s'!$A$1:$AD$1300,18, FALSE)</f>
        <v>#N/A</v>
      </c>
      <c r="T12" s="20" t="e">
        <f t="shared" si="6"/>
        <v>#N/A</v>
      </c>
      <c r="U12" s="21" t="e">
        <f t="shared" si="7"/>
        <v>#N/A</v>
      </c>
    </row>
    <row r="13" spans="1:21" x14ac:dyDescent="0.25">
      <c r="A13" s="27" t="s">
        <v>107</v>
      </c>
      <c r="B13" s="19">
        <f>VLOOKUP(CONCATENATE($A13,"_",B$3),'10 seeds 7200s'!$A$1:$AD$1300,12, FALSE)</f>
        <v>1</v>
      </c>
      <c r="C13" s="20">
        <f>VLOOKUP(CONCATENATE($A13,"_",B$3),'10 seeds 7200s'!$A$1:$AD$1300,14, FALSE)</f>
        <v>0</v>
      </c>
      <c r="D13" s="20">
        <f>VLOOKUP(CONCATENATE($A13,"_",B$3),'10 seeds 7200s'!$A$1:$AD$1300,18, FALSE)</f>
        <v>202.6</v>
      </c>
      <c r="E13" s="20">
        <f t="shared" si="0"/>
        <v>1</v>
      </c>
      <c r="F13" s="21">
        <f t="shared" si="1"/>
        <v>1</v>
      </c>
      <c r="G13" s="19">
        <f>VLOOKUP(CONCATENATE($A13,"_",G$3),'Checkpoint 7'!$A$1:$AD$1300,12, FALSE)</f>
        <v>1</v>
      </c>
      <c r="H13" s="20">
        <f>VLOOKUP(CONCATENATE($A13,"_",G$3),'Checkpoint 7'!$A$1:$AD$1300,14, FALSE)</f>
        <v>0</v>
      </c>
      <c r="I13" s="20">
        <f>VLOOKUP(CONCATENATE($A13,"_",G$3),'Checkpoint 7'!$A$1:$AD$1300,18, FALSE)</f>
        <v>43.8</v>
      </c>
      <c r="J13" s="20">
        <f t="shared" si="2"/>
        <v>1</v>
      </c>
      <c r="K13" s="21">
        <f t="shared" si="3"/>
        <v>1</v>
      </c>
      <c r="L13" s="19">
        <f>VLOOKUP(CONCATENATE($A13,"_",L$3),'10 seeds 7200s'!$A$1:$AD$1300,12, FALSE)</f>
        <v>1</v>
      </c>
      <c r="M13" s="20">
        <f>VLOOKUP(CONCATENATE($A13,"_",L$3),'10 seeds 7200s'!$A$1:$AD$1300,14, FALSE)</f>
        <v>0</v>
      </c>
      <c r="N13" s="20">
        <f>VLOOKUP(CONCATENATE($A13,"_",L$3),'10 seeds 7200s'!$A$1:$AD$1300,18, FALSE)</f>
        <v>219.5</v>
      </c>
      <c r="O13" s="20">
        <f t="shared" si="4"/>
        <v>1</v>
      </c>
      <c r="P13" s="21">
        <f t="shared" si="5"/>
        <v>1</v>
      </c>
      <c r="Q13" s="19">
        <f>VLOOKUP(CONCATENATE($A13,"_",Q$3),'10 seeds 7200s'!$A$1:$AD$1300,12, FALSE)</f>
        <v>1</v>
      </c>
      <c r="R13" s="20">
        <f>VLOOKUP(CONCATENATE($A13,"_",Q$3),'10 seeds 7200s'!$A$1:$AD$1300,14, FALSE)</f>
        <v>0</v>
      </c>
      <c r="S13" s="20">
        <f>VLOOKUP(CONCATENATE($A13,"_",Q$3),'10 seeds 7200s'!$A$1:$AD$1300,18, FALSE)</f>
        <v>313</v>
      </c>
      <c r="T13" s="20">
        <f t="shared" si="6"/>
        <v>1</v>
      </c>
      <c r="U13" s="21">
        <f t="shared" si="7"/>
        <v>1</v>
      </c>
    </row>
    <row r="14" spans="1:21" x14ac:dyDescent="0.25">
      <c r="A14" s="27" t="s">
        <v>73</v>
      </c>
      <c r="B14" s="19">
        <f>VLOOKUP(CONCATENATE($A14,"_",B$3),'10 seeds 7200s'!$A$1:$AD$1300,12, FALSE)</f>
        <v>1</v>
      </c>
      <c r="C14" s="20">
        <f>VLOOKUP(CONCATENATE($A14,"_",B$3),'10 seeds 7200s'!$A$1:$AD$1300,14, FALSE)</f>
        <v>0</v>
      </c>
      <c r="D14" s="20">
        <f>VLOOKUP(CONCATENATE($A14,"_",B$3),'10 seeds 7200s'!$A$1:$AD$1300,18, FALSE)</f>
        <v>3.3</v>
      </c>
      <c r="E14" s="20">
        <f t="shared" si="0"/>
        <v>1</v>
      </c>
      <c r="F14" s="21">
        <f t="shared" si="1"/>
        <v>1</v>
      </c>
      <c r="G14" s="19">
        <f>VLOOKUP(CONCATENATE($A14,"_",G$3),'Checkpoint 7'!$A$1:$AD$1300,12, FALSE)</f>
        <v>1</v>
      </c>
      <c r="H14" s="20">
        <f>VLOOKUP(CONCATENATE($A14,"_",G$3),'Checkpoint 7'!$A$1:$AD$1300,14, FALSE)</f>
        <v>0</v>
      </c>
      <c r="I14" s="20">
        <f>VLOOKUP(CONCATENATE($A14,"_",G$3),'Checkpoint 7'!$A$1:$AD$1300,18, FALSE)</f>
        <v>3.8</v>
      </c>
      <c r="J14" s="20">
        <f t="shared" si="2"/>
        <v>1</v>
      </c>
      <c r="K14" s="21">
        <f t="shared" si="3"/>
        <v>1</v>
      </c>
      <c r="L14" s="19">
        <f>VLOOKUP(CONCATENATE($A14,"_",L$3),'10 seeds 7200s'!$A$1:$AD$1300,12, FALSE)</f>
        <v>1</v>
      </c>
      <c r="M14" s="20">
        <f>VLOOKUP(CONCATENATE($A14,"_",L$3),'10 seeds 7200s'!$A$1:$AD$1300,14, FALSE)</f>
        <v>0</v>
      </c>
      <c r="N14" s="20">
        <f>VLOOKUP(CONCATENATE($A14,"_",L$3),'10 seeds 7200s'!$A$1:$AD$1300,18, FALSE)</f>
        <v>3.1</v>
      </c>
      <c r="O14" s="20">
        <f t="shared" si="4"/>
        <v>1</v>
      </c>
      <c r="P14" s="21">
        <f t="shared" si="5"/>
        <v>1</v>
      </c>
      <c r="Q14" s="19">
        <f>VLOOKUP(CONCATENATE($A14,"_",Q$3),'10 seeds 7200s'!$A$1:$AD$1300,12, FALSE)</f>
        <v>1</v>
      </c>
      <c r="R14" s="20">
        <f>VLOOKUP(CONCATENATE($A14,"_",Q$3),'10 seeds 7200s'!$A$1:$AD$1300,14, FALSE)</f>
        <v>0</v>
      </c>
      <c r="S14" s="20">
        <f>VLOOKUP(CONCATENATE($A14,"_",Q$3),'10 seeds 7200s'!$A$1:$AD$1300,18, FALSE)</f>
        <v>3.1</v>
      </c>
      <c r="T14" s="20">
        <f t="shared" si="6"/>
        <v>1</v>
      </c>
      <c r="U14" s="21">
        <f t="shared" si="7"/>
        <v>1</v>
      </c>
    </row>
    <row r="15" spans="1:21" x14ac:dyDescent="0.25">
      <c r="A15" s="27" t="s">
        <v>41</v>
      </c>
      <c r="B15" s="19">
        <f>VLOOKUP(CONCATENATE($A15,"_",B$3),'10 seeds 7200s'!$A$1:$AD$1300,12, FALSE)</f>
        <v>1</v>
      </c>
      <c r="C15" s="20">
        <f>VLOOKUP(CONCATENATE($A15,"_",B$3),'10 seeds 7200s'!$A$1:$AD$1300,14, FALSE)</f>
        <v>0</v>
      </c>
      <c r="D15" s="20">
        <f>VLOOKUP(CONCATENATE($A15,"_",B$3),'10 seeds 7200s'!$A$1:$AD$1300,18, FALSE)</f>
        <v>3.1</v>
      </c>
      <c r="E15" s="20">
        <f t="shared" si="0"/>
        <v>1</v>
      </c>
      <c r="F15" s="21">
        <f t="shared" si="1"/>
        <v>1</v>
      </c>
      <c r="G15" s="19">
        <f>VLOOKUP(CONCATENATE($A15,"_",G$3),'Checkpoint 7'!$A$1:$AD$1300,12, FALSE)</f>
        <v>1</v>
      </c>
      <c r="H15" s="20">
        <f>VLOOKUP(CONCATENATE($A15,"_",G$3),'Checkpoint 7'!$A$1:$AD$1300,14, FALSE)</f>
        <v>0</v>
      </c>
      <c r="I15" s="20">
        <f>VLOOKUP(CONCATENATE($A15,"_",G$3),'Checkpoint 7'!$A$1:$AD$1300,18, FALSE)</f>
        <v>3</v>
      </c>
      <c r="J15" s="20">
        <f t="shared" si="2"/>
        <v>1</v>
      </c>
      <c r="K15" s="21">
        <f t="shared" si="3"/>
        <v>1</v>
      </c>
      <c r="L15" s="19">
        <f>VLOOKUP(CONCATENATE($A15,"_",L$3),'10 seeds 7200s'!$A$1:$AD$1300,12, FALSE)</f>
        <v>1</v>
      </c>
      <c r="M15" s="20">
        <f>VLOOKUP(CONCATENATE($A15,"_",L$3),'10 seeds 7200s'!$A$1:$AD$1300,14, FALSE)</f>
        <v>0</v>
      </c>
      <c r="N15" s="20">
        <f>VLOOKUP(CONCATENATE($A15,"_",L$3),'10 seeds 7200s'!$A$1:$AD$1300,18, FALSE)</f>
        <v>2.8</v>
      </c>
      <c r="O15" s="20">
        <f t="shared" si="4"/>
        <v>1</v>
      </c>
      <c r="P15" s="21">
        <f t="shared" si="5"/>
        <v>1</v>
      </c>
      <c r="Q15" s="19">
        <f>VLOOKUP(CONCATENATE($A15,"_",Q$3),'10 seeds 7200s'!$A$1:$AD$1300,12, FALSE)</f>
        <v>1</v>
      </c>
      <c r="R15" s="20">
        <f>VLOOKUP(CONCATENATE($A15,"_",Q$3),'10 seeds 7200s'!$A$1:$AD$1300,14, FALSE)</f>
        <v>0</v>
      </c>
      <c r="S15" s="20">
        <f>VLOOKUP(CONCATENATE($A15,"_",Q$3),'10 seeds 7200s'!$A$1:$AD$1300,18, FALSE)</f>
        <v>2.7</v>
      </c>
      <c r="T15" s="20">
        <f t="shared" si="6"/>
        <v>1</v>
      </c>
      <c r="U15" s="21">
        <f t="shared" si="7"/>
        <v>1</v>
      </c>
    </row>
    <row r="16" spans="1:21" x14ac:dyDescent="0.25">
      <c r="A16" s="27" t="s">
        <v>55</v>
      </c>
      <c r="B16" s="19">
        <f>VLOOKUP(CONCATENATE($A16,"_",B$3),'10 seeds 7200s'!$A$1:$AD$1300,12, FALSE)</f>
        <v>1</v>
      </c>
      <c r="C16" s="20">
        <f>VLOOKUP(CONCATENATE($A16,"_",B$3),'10 seeds 7200s'!$A$1:$AD$1300,14, FALSE)</f>
        <v>0</v>
      </c>
      <c r="D16" s="20">
        <f>VLOOKUP(CONCATENATE($A16,"_",B$3),'10 seeds 7200s'!$A$1:$AD$1300,18, FALSE)</f>
        <v>6477</v>
      </c>
      <c r="E16" s="20">
        <f t="shared" si="0"/>
        <v>1</v>
      </c>
      <c r="F16" s="21">
        <f t="shared" si="1"/>
        <v>1</v>
      </c>
      <c r="G16" s="19">
        <f>VLOOKUP(CONCATENATE($A16,"_",G$3),'Checkpoint 7'!$A$1:$AD$1300,12, FALSE)</f>
        <v>0.99999919999999998</v>
      </c>
      <c r="H16" s="20">
        <f>VLOOKUP(CONCATENATE($A16,"_",G$3),'Checkpoint 7'!$A$1:$AD$1300,14, FALSE)</f>
        <v>1.9229E-3</v>
      </c>
      <c r="I16" s="20">
        <f>VLOOKUP(CONCATENATE($A16,"_",G$3),'Checkpoint 7'!$A$1:$AD$1300,18, FALSE)</f>
        <v>6787</v>
      </c>
      <c r="J16" s="20">
        <f t="shared" si="2"/>
        <v>0</v>
      </c>
      <c r="K16" s="21">
        <f t="shared" si="3"/>
        <v>1</v>
      </c>
      <c r="L16" s="19">
        <f>VLOOKUP(CONCATENATE($A16,"_",L$3),'10 seeds 7200s'!$A$1:$AD$1300,12, FALSE)</f>
        <v>0.99998050000000005</v>
      </c>
      <c r="M16" s="20">
        <f>VLOOKUP(CONCATENATE($A16,"_",L$3),'10 seeds 7200s'!$A$1:$AD$1300,14, FALSE)</f>
        <v>9.3231000000000008E-3</v>
      </c>
      <c r="N16" s="20">
        <f>VLOOKUP(CONCATENATE($A16,"_",L$3),'10 seeds 7200s'!$A$1:$AD$1300,18, FALSE)</f>
        <v>7200.7</v>
      </c>
      <c r="O16" s="20">
        <f t="shared" si="4"/>
        <v>0</v>
      </c>
      <c r="P16" s="21">
        <f t="shared" si="5"/>
        <v>1</v>
      </c>
      <c r="Q16" s="19" t="e">
        <f>VLOOKUP(CONCATENATE($A16,"_",Q$3),'10 seeds 7200s'!$A$1:$AD$1300,12, FALSE)</f>
        <v>#N/A</v>
      </c>
      <c r="R16" s="20" t="e">
        <f>VLOOKUP(CONCATENATE($A16,"_",Q$3),'10 seeds 7200s'!$A$1:$AD$1300,14, FALSE)</f>
        <v>#N/A</v>
      </c>
      <c r="S16" s="20" t="e">
        <f>VLOOKUP(CONCATENATE($A16,"_",Q$3),'10 seeds 7200s'!$A$1:$AD$1300,18, FALSE)</f>
        <v>#N/A</v>
      </c>
      <c r="T16" s="20" t="e">
        <f t="shared" si="6"/>
        <v>#N/A</v>
      </c>
      <c r="U16" s="21" t="e">
        <f t="shared" si="7"/>
        <v>#N/A</v>
      </c>
    </row>
    <row r="17" spans="1:21" x14ac:dyDescent="0.25">
      <c r="A17" s="27" t="s">
        <v>92</v>
      </c>
      <c r="B17" s="19">
        <f>VLOOKUP(CONCATENATE($A17,"_",B$3),'10 seeds 7200s'!$A$1:$AD$1300,12, FALSE)</f>
        <v>0.9999458</v>
      </c>
      <c r="C17" s="20">
        <f>VLOOKUP(CONCATENATE($A17,"_",B$3),'10 seeds 7200s'!$A$1:$AD$1300,14, FALSE)</f>
        <v>8.9178999999999994E-3</v>
      </c>
      <c r="D17" s="20">
        <f>VLOOKUP(CONCATENATE($A17,"_",B$3),'10 seeds 7200s'!$A$1:$AD$1300,18, FALSE)</f>
        <v>7201.4</v>
      </c>
      <c r="E17" s="20">
        <f t="shared" si="0"/>
        <v>0</v>
      </c>
      <c r="F17" s="21">
        <f t="shared" si="1"/>
        <v>1</v>
      </c>
      <c r="G17" s="19">
        <f>VLOOKUP(CONCATENATE($A17,"_",G$3),'Checkpoint 7'!$A$1:$AD$1300,12, FALSE)</f>
        <v>0.99994499999999997</v>
      </c>
      <c r="H17" s="20">
        <f>VLOOKUP(CONCATENATE($A17,"_",G$3),'Checkpoint 7'!$A$1:$AD$1300,14, FALSE)</f>
        <v>8.9812999999999994E-3</v>
      </c>
      <c r="I17" s="20">
        <f>VLOOKUP(CONCATENATE($A17,"_",G$3),'Checkpoint 7'!$A$1:$AD$1300,18, FALSE)</f>
        <v>7200.4</v>
      </c>
      <c r="J17" s="20">
        <f t="shared" si="2"/>
        <v>0</v>
      </c>
      <c r="K17" s="21">
        <f t="shared" si="3"/>
        <v>1</v>
      </c>
      <c r="L17" s="19">
        <f>VLOOKUP(CONCATENATE($A17,"_",L$3),'10 seeds 7200s'!$A$1:$AD$1300,12, FALSE)</f>
        <v>0.99994130000000003</v>
      </c>
      <c r="M17" s="20">
        <f>VLOOKUP(CONCATENATE($A17,"_",L$3),'10 seeds 7200s'!$A$1:$AD$1300,14, FALSE)</f>
        <v>9.2738999999999999E-3</v>
      </c>
      <c r="N17" s="20">
        <f>VLOOKUP(CONCATENATE($A17,"_",L$3),'10 seeds 7200s'!$A$1:$AD$1300,18, FALSE)</f>
        <v>7201.6</v>
      </c>
      <c r="O17" s="20">
        <f t="shared" si="4"/>
        <v>0</v>
      </c>
      <c r="P17" s="21">
        <f t="shared" si="5"/>
        <v>1</v>
      </c>
      <c r="Q17" s="19" t="e">
        <f>VLOOKUP(CONCATENATE($A17,"_",Q$3),'10 seeds 7200s'!$A$1:$AD$1300,12, FALSE)</f>
        <v>#N/A</v>
      </c>
      <c r="R17" s="20" t="e">
        <f>VLOOKUP(CONCATENATE($A17,"_",Q$3),'10 seeds 7200s'!$A$1:$AD$1300,14, FALSE)</f>
        <v>#N/A</v>
      </c>
      <c r="S17" s="20" t="e">
        <f>VLOOKUP(CONCATENATE($A17,"_",Q$3),'10 seeds 7200s'!$A$1:$AD$1300,18, FALSE)</f>
        <v>#N/A</v>
      </c>
      <c r="T17" s="20" t="e">
        <f t="shared" si="6"/>
        <v>#N/A</v>
      </c>
      <c r="U17" s="21" t="e">
        <f t="shared" si="7"/>
        <v>#N/A</v>
      </c>
    </row>
    <row r="18" spans="1:21" x14ac:dyDescent="0.25">
      <c r="A18" s="27" t="s">
        <v>93</v>
      </c>
      <c r="B18" s="19">
        <f>VLOOKUP(CONCATENATE($A18,"_",B$3),'10 seeds 7200s'!$A$1:$AD$1300,12, FALSE)</f>
        <v>0.99969549999999996</v>
      </c>
      <c r="C18" s="20">
        <f>VLOOKUP(CONCATENATE($A18,"_",B$3),'10 seeds 7200s'!$A$1:$AD$1300,14, FALSE)</f>
        <v>2.7969999999999998E-2</v>
      </c>
      <c r="D18" s="20">
        <f>VLOOKUP(CONCATENATE($A18,"_",B$3),'10 seeds 7200s'!$A$1:$AD$1300,18, FALSE)</f>
        <v>7200.8</v>
      </c>
      <c r="E18" s="20">
        <f t="shared" si="0"/>
        <v>0</v>
      </c>
      <c r="F18" s="21">
        <f t="shared" si="1"/>
        <v>1</v>
      </c>
      <c r="G18" s="19">
        <f>VLOOKUP(CONCATENATE($A18,"_",G$3),'Checkpoint 7'!$A$1:$AD$1300,12, FALSE)</f>
        <v>0.99994159999999999</v>
      </c>
      <c r="H18" s="20">
        <f>VLOOKUP(CONCATENATE($A18,"_",G$3),'Checkpoint 7'!$A$1:$AD$1300,14, FALSE)</f>
        <v>1.22515E-2</v>
      </c>
      <c r="I18" s="20">
        <f>VLOOKUP(CONCATENATE($A18,"_",G$3),'Checkpoint 7'!$A$1:$AD$1300,18, FALSE)</f>
        <v>7200.8</v>
      </c>
      <c r="J18" s="20">
        <f t="shared" si="2"/>
        <v>0</v>
      </c>
      <c r="K18" s="21">
        <f t="shared" si="3"/>
        <v>1</v>
      </c>
      <c r="L18" s="19">
        <f>VLOOKUP(CONCATENATE($A18,"_",L$3),'10 seeds 7200s'!$A$1:$AD$1300,12, FALSE)</f>
        <v>0.99994799999999995</v>
      </c>
      <c r="M18" s="20">
        <f>VLOOKUP(CONCATENATE($A18,"_",L$3),'10 seeds 7200s'!$A$1:$AD$1300,14, FALSE)</f>
        <v>1.15508E-2</v>
      </c>
      <c r="N18" s="20">
        <f>VLOOKUP(CONCATENATE($A18,"_",L$3),'10 seeds 7200s'!$A$1:$AD$1300,18, FALSE)</f>
        <v>7200.1</v>
      </c>
      <c r="O18" s="20">
        <f t="shared" si="4"/>
        <v>0</v>
      </c>
      <c r="P18" s="21">
        <f t="shared" si="5"/>
        <v>1</v>
      </c>
      <c r="Q18" s="19" t="e">
        <f>VLOOKUP(CONCATENATE($A18,"_",Q$3),'10 seeds 7200s'!$A$1:$AD$1300,12, FALSE)</f>
        <v>#N/A</v>
      </c>
      <c r="R18" s="20" t="e">
        <f>VLOOKUP(CONCATENATE($A18,"_",Q$3),'10 seeds 7200s'!$A$1:$AD$1300,14, FALSE)</f>
        <v>#N/A</v>
      </c>
      <c r="S18" s="20" t="e">
        <f>VLOOKUP(CONCATENATE($A18,"_",Q$3),'10 seeds 7200s'!$A$1:$AD$1300,18, FALSE)</f>
        <v>#N/A</v>
      </c>
      <c r="T18" s="20" t="e">
        <f t="shared" si="6"/>
        <v>#N/A</v>
      </c>
      <c r="U18" s="21" t="e">
        <f t="shared" si="7"/>
        <v>#N/A</v>
      </c>
    </row>
    <row r="19" spans="1:21" x14ac:dyDescent="0.25">
      <c r="A19" s="27" t="s">
        <v>50</v>
      </c>
      <c r="B19" s="19">
        <f>VLOOKUP(CONCATENATE($A19,"_",B$3),'10 seeds 7200s'!$A$1:$AD$1300,12, FALSE)</f>
        <v>0.99963919999999995</v>
      </c>
      <c r="C19" s="20">
        <f>VLOOKUP(CONCATENATE($A19,"_",B$3),'10 seeds 7200s'!$A$1:$AD$1300,14, FALSE)</f>
        <v>2.16305E-2</v>
      </c>
      <c r="D19" s="20">
        <f>VLOOKUP(CONCATENATE($A19,"_",B$3),'10 seeds 7200s'!$A$1:$AD$1300,18, FALSE)</f>
        <v>7200.7</v>
      </c>
      <c r="E19" s="20">
        <f t="shared" si="0"/>
        <v>0</v>
      </c>
      <c r="F19" s="21">
        <f t="shared" si="1"/>
        <v>1</v>
      </c>
      <c r="G19" s="19">
        <f>VLOOKUP(CONCATENATE($A19,"_",G$3),'Checkpoint 7'!$A$1:$AD$1300,12, FALSE)</f>
        <v>0.99963900000000006</v>
      </c>
      <c r="H19" s="20">
        <f>VLOOKUP(CONCATENATE($A19,"_",G$3),'Checkpoint 7'!$A$1:$AD$1300,14, FALSE)</f>
        <v>2.1634299999999999E-2</v>
      </c>
      <c r="I19" s="20">
        <f>VLOOKUP(CONCATENATE($A19,"_",G$3),'Checkpoint 7'!$A$1:$AD$1300,18, FALSE)</f>
        <v>7003.5</v>
      </c>
      <c r="J19" s="20">
        <f t="shared" si="2"/>
        <v>0</v>
      </c>
      <c r="K19" s="21">
        <f t="shared" si="3"/>
        <v>1</v>
      </c>
      <c r="L19" s="19">
        <f>VLOOKUP(CONCATENATE($A19,"_",L$3),'10 seeds 7200s'!$A$1:$AD$1300,12, FALSE)</f>
        <v>0.99804870000000001</v>
      </c>
      <c r="M19" s="20">
        <f>VLOOKUP(CONCATENATE($A19,"_",L$3),'10 seeds 7200s'!$A$1:$AD$1300,14, FALSE)</f>
        <v>5.0287499999999999E-2</v>
      </c>
      <c r="N19" s="20">
        <f>VLOOKUP(CONCATENATE($A19,"_",L$3),'10 seeds 7200s'!$A$1:$AD$1300,18, FALSE)</f>
        <v>7200.6</v>
      </c>
      <c r="O19" s="20">
        <f t="shared" si="4"/>
        <v>0</v>
      </c>
      <c r="P19" s="21">
        <f t="shared" si="5"/>
        <v>0</v>
      </c>
      <c r="Q19" s="19" t="e">
        <f>VLOOKUP(CONCATENATE($A19,"_",Q$3),'10 seeds 7200s'!$A$1:$AD$1300,12, FALSE)</f>
        <v>#N/A</v>
      </c>
      <c r="R19" s="20" t="e">
        <f>VLOOKUP(CONCATENATE($A19,"_",Q$3),'10 seeds 7200s'!$A$1:$AD$1300,14, FALSE)</f>
        <v>#N/A</v>
      </c>
      <c r="S19" s="20" t="e">
        <f>VLOOKUP(CONCATENATE($A19,"_",Q$3),'10 seeds 7200s'!$A$1:$AD$1300,18, FALSE)</f>
        <v>#N/A</v>
      </c>
      <c r="T19" s="20" t="e">
        <f t="shared" si="6"/>
        <v>#N/A</v>
      </c>
      <c r="U19" s="21" t="e">
        <f t="shared" si="7"/>
        <v>#N/A</v>
      </c>
    </row>
    <row r="20" spans="1:21" x14ac:dyDescent="0.25">
      <c r="A20" s="27" t="s">
        <v>78</v>
      </c>
      <c r="B20" s="19">
        <f>VLOOKUP(CONCATENATE($A20,"_",B$3),'10 seeds 7200s'!$A$1:$AD$1300,12, FALSE)</f>
        <v>1</v>
      </c>
      <c r="C20" s="20">
        <f>VLOOKUP(CONCATENATE($A20,"_",B$3),'10 seeds 7200s'!$A$1:$AD$1300,14, FALSE)</f>
        <v>0</v>
      </c>
      <c r="D20" s="20">
        <f>VLOOKUP(CONCATENATE($A20,"_",B$3),'10 seeds 7200s'!$A$1:$AD$1300,18, FALSE)</f>
        <v>4.5999999999999996</v>
      </c>
      <c r="E20" s="20">
        <f t="shared" si="0"/>
        <v>1</v>
      </c>
      <c r="F20" s="21">
        <f t="shared" si="1"/>
        <v>1</v>
      </c>
      <c r="G20" s="19">
        <f>VLOOKUP(CONCATENATE($A20,"_",G$3),'Checkpoint 7'!$A$1:$AD$1300,12, FALSE)</f>
        <v>1</v>
      </c>
      <c r="H20" s="20">
        <f>VLOOKUP(CONCATENATE($A20,"_",G$3),'Checkpoint 7'!$A$1:$AD$1300,14, FALSE)</f>
        <v>0</v>
      </c>
      <c r="I20" s="20">
        <f>VLOOKUP(CONCATENATE($A20,"_",G$3),'Checkpoint 7'!$A$1:$AD$1300,18, FALSE)</f>
        <v>7.9</v>
      </c>
      <c r="J20" s="20">
        <f t="shared" si="2"/>
        <v>1</v>
      </c>
      <c r="K20" s="21">
        <f t="shared" si="3"/>
        <v>1</v>
      </c>
      <c r="L20" s="19">
        <f>VLOOKUP(CONCATENATE($A20,"_",L$3),'10 seeds 7200s'!$A$1:$AD$1300,12, FALSE)</f>
        <v>1</v>
      </c>
      <c r="M20" s="20">
        <f>VLOOKUP(CONCATENATE($A20,"_",L$3),'10 seeds 7200s'!$A$1:$AD$1300,14, FALSE)</f>
        <v>0</v>
      </c>
      <c r="N20" s="20">
        <f>VLOOKUP(CONCATENATE($A20,"_",L$3),'10 seeds 7200s'!$A$1:$AD$1300,18, FALSE)</f>
        <v>4.5</v>
      </c>
      <c r="O20" s="20">
        <f t="shared" si="4"/>
        <v>1</v>
      </c>
      <c r="P20" s="21">
        <f t="shared" si="5"/>
        <v>1</v>
      </c>
      <c r="Q20" s="19">
        <f>VLOOKUP(CONCATENATE($A20,"_",Q$3),'10 seeds 7200s'!$A$1:$AD$1300,12, FALSE)</f>
        <v>1</v>
      </c>
      <c r="R20" s="20">
        <f>VLOOKUP(CONCATENATE($A20,"_",Q$3),'10 seeds 7200s'!$A$1:$AD$1300,14, FALSE)</f>
        <v>0</v>
      </c>
      <c r="S20" s="20">
        <f>VLOOKUP(CONCATENATE($A20,"_",Q$3),'10 seeds 7200s'!$A$1:$AD$1300,18, FALSE)</f>
        <v>4.4000000000000004</v>
      </c>
      <c r="T20" s="20">
        <f t="shared" si="6"/>
        <v>1</v>
      </c>
      <c r="U20" s="21">
        <f t="shared" si="7"/>
        <v>1</v>
      </c>
    </row>
    <row r="21" spans="1:21" x14ac:dyDescent="0.25">
      <c r="A21" s="27" t="s">
        <v>111</v>
      </c>
      <c r="B21" s="19">
        <f>VLOOKUP(CONCATENATE($A21,"_",B$3),'10 seeds 7200s'!$A$1:$AD$1300,12, FALSE)</f>
        <v>1</v>
      </c>
      <c r="C21" s="20">
        <f>VLOOKUP(CONCATENATE($A21,"_",B$3),'10 seeds 7200s'!$A$1:$AD$1300,14, FALSE)</f>
        <v>0</v>
      </c>
      <c r="D21" s="20">
        <f>VLOOKUP(CONCATENATE($A21,"_",B$3),'10 seeds 7200s'!$A$1:$AD$1300,18, FALSE)</f>
        <v>8.1999999999999993</v>
      </c>
      <c r="E21" s="20">
        <f t="shared" si="0"/>
        <v>1</v>
      </c>
      <c r="F21" s="21">
        <f t="shared" si="1"/>
        <v>1</v>
      </c>
      <c r="G21" s="19">
        <f>VLOOKUP(CONCATENATE($A21,"_",G$3),'Checkpoint 7'!$A$1:$AD$1300,12, FALSE)</f>
        <v>1</v>
      </c>
      <c r="H21" s="20">
        <f>VLOOKUP(CONCATENATE($A21,"_",G$3),'Checkpoint 7'!$A$1:$AD$1300,14, FALSE)</f>
        <v>0</v>
      </c>
      <c r="I21" s="20">
        <f>VLOOKUP(CONCATENATE($A21,"_",G$3),'Checkpoint 7'!$A$1:$AD$1300,18, FALSE)</f>
        <v>9.6</v>
      </c>
      <c r="J21" s="20">
        <f t="shared" si="2"/>
        <v>1</v>
      </c>
      <c r="K21" s="21">
        <f t="shared" si="3"/>
        <v>1</v>
      </c>
      <c r="L21" s="19">
        <f>VLOOKUP(CONCATENATE($A21,"_",L$3),'10 seeds 7200s'!$A$1:$AD$1300,12, FALSE)</f>
        <v>1</v>
      </c>
      <c r="M21" s="20">
        <f>VLOOKUP(CONCATENATE($A21,"_",L$3),'10 seeds 7200s'!$A$1:$AD$1300,14, FALSE)</f>
        <v>0</v>
      </c>
      <c r="N21" s="20">
        <f>VLOOKUP(CONCATENATE($A21,"_",L$3),'10 seeds 7200s'!$A$1:$AD$1300,18, FALSE)</f>
        <v>8.3000000000000007</v>
      </c>
      <c r="O21" s="20">
        <f t="shared" si="4"/>
        <v>1</v>
      </c>
      <c r="P21" s="21">
        <f t="shared" si="5"/>
        <v>1</v>
      </c>
      <c r="Q21" s="19">
        <f>VLOOKUP(CONCATENATE($A21,"_",Q$3),'10 seeds 7200s'!$A$1:$AD$1300,12, FALSE)</f>
        <v>1</v>
      </c>
      <c r="R21" s="20">
        <f>VLOOKUP(CONCATENATE($A21,"_",Q$3),'10 seeds 7200s'!$A$1:$AD$1300,14, FALSE)</f>
        <v>0</v>
      </c>
      <c r="S21" s="20">
        <f>VLOOKUP(CONCATENATE($A21,"_",Q$3),'10 seeds 7200s'!$A$1:$AD$1300,18, FALSE)</f>
        <v>7.9</v>
      </c>
      <c r="T21" s="20">
        <f t="shared" si="6"/>
        <v>1</v>
      </c>
      <c r="U21" s="21">
        <f t="shared" si="7"/>
        <v>1</v>
      </c>
    </row>
    <row r="22" spans="1:21" x14ac:dyDescent="0.25">
      <c r="A22" s="27" t="s">
        <v>85</v>
      </c>
      <c r="B22" s="19">
        <f>VLOOKUP(CONCATENATE($A22,"_",B$3),'10 seeds 7200s'!$A$1:$AD$1300,12, FALSE)</f>
        <v>0.92411049999999995</v>
      </c>
      <c r="C22" s="20">
        <f>VLOOKUP(CONCATENATE($A22,"_",B$3),'10 seeds 7200s'!$A$1:$AD$1300,14, FALSE)</f>
        <v>0.234073</v>
      </c>
      <c r="D22" s="20">
        <f>VLOOKUP(CONCATENATE($A22,"_",B$3),'10 seeds 7200s'!$A$1:$AD$1300,18, FALSE)</f>
        <v>2016</v>
      </c>
      <c r="E22" s="20">
        <f t="shared" si="0"/>
        <v>0</v>
      </c>
      <c r="F22" s="21">
        <f t="shared" si="1"/>
        <v>0</v>
      </c>
      <c r="G22" s="19">
        <f>VLOOKUP(CONCATENATE($A22,"_",G$3),'Checkpoint 7'!$A$1:$AD$1300,12, FALSE)</f>
        <v>0.99861429999999995</v>
      </c>
      <c r="H22" s="20">
        <f>VLOOKUP(CONCATENATE($A22,"_",G$3),'Checkpoint 7'!$A$1:$AD$1300,14, FALSE)</f>
        <v>3.1629200000000003E-2</v>
      </c>
      <c r="I22" s="20">
        <f>VLOOKUP(CONCATENATE($A22,"_",G$3),'Checkpoint 7'!$A$1:$AD$1300,18, FALSE)</f>
        <v>7201.5</v>
      </c>
      <c r="J22" s="20">
        <f t="shared" si="2"/>
        <v>0</v>
      </c>
      <c r="K22" s="21">
        <f t="shared" si="3"/>
        <v>0</v>
      </c>
      <c r="L22" s="19">
        <f>VLOOKUP(CONCATENATE($A22,"_",L$3),'10 seeds 7200s'!$A$1:$AD$1300,12, FALSE)</f>
        <v>0.92343209999999998</v>
      </c>
      <c r="M22" s="20">
        <f>VLOOKUP(CONCATENATE($A22,"_",L$3),'10 seeds 7200s'!$A$1:$AD$1300,14, FALSE)</f>
        <v>0.23507349999999999</v>
      </c>
      <c r="N22" s="20">
        <f>VLOOKUP(CONCATENATE($A22,"_",L$3),'10 seeds 7200s'!$A$1:$AD$1300,18, FALSE)</f>
        <v>2004.5</v>
      </c>
      <c r="O22" s="20">
        <f t="shared" si="4"/>
        <v>0</v>
      </c>
      <c r="P22" s="21">
        <f t="shared" si="5"/>
        <v>0</v>
      </c>
      <c r="Q22" s="19" t="e">
        <f>VLOOKUP(CONCATENATE($A22,"_",Q$3),'10 seeds 7200s'!$A$1:$AD$1300,12, FALSE)</f>
        <v>#N/A</v>
      </c>
      <c r="R22" s="20" t="e">
        <f>VLOOKUP(CONCATENATE($A22,"_",Q$3),'10 seeds 7200s'!$A$1:$AD$1300,14, FALSE)</f>
        <v>#N/A</v>
      </c>
      <c r="S22" s="20" t="e">
        <f>VLOOKUP(CONCATENATE($A22,"_",Q$3),'10 seeds 7200s'!$A$1:$AD$1300,18, FALSE)</f>
        <v>#N/A</v>
      </c>
      <c r="T22" s="20" t="e">
        <f t="shared" si="6"/>
        <v>#N/A</v>
      </c>
      <c r="U22" s="21" t="e">
        <f t="shared" si="7"/>
        <v>#N/A</v>
      </c>
    </row>
    <row r="23" spans="1:21" x14ac:dyDescent="0.25">
      <c r="A23" s="27" t="s">
        <v>106</v>
      </c>
      <c r="B23" s="19">
        <f>VLOOKUP(CONCATENATE($A23,"_",B$3),'10 seeds 7200s'!$A$1:$AD$1300,12, FALSE)</f>
        <v>1</v>
      </c>
      <c r="C23" s="20">
        <f>VLOOKUP(CONCATENATE($A23,"_",B$3),'10 seeds 7200s'!$A$1:$AD$1300,14, FALSE)</f>
        <v>0</v>
      </c>
      <c r="D23" s="20">
        <f>VLOOKUP(CONCATENATE($A23,"_",B$3),'10 seeds 7200s'!$A$1:$AD$1300,18, FALSE)</f>
        <v>63.8</v>
      </c>
      <c r="E23" s="20">
        <f t="shared" si="0"/>
        <v>1</v>
      </c>
      <c r="F23" s="21">
        <f t="shared" si="1"/>
        <v>1</v>
      </c>
      <c r="G23" s="19">
        <f>VLOOKUP(CONCATENATE($A23,"_",G$3),'Checkpoint 7'!$A$1:$AD$1300,12, FALSE)</f>
        <v>1</v>
      </c>
      <c r="H23" s="20">
        <f>VLOOKUP(CONCATENATE($A23,"_",G$3),'Checkpoint 7'!$A$1:$AD$1300,14, FALSE)</f>
        <v>0</v>
      </c>
      <c r="I23" s="20">
        <f>VLOOKUP(CONCATENATE($A23,"_",G$3),'Checkpoint 7'!$A$1:$AD$1300,18, FALSE)</f>
        <v>68.400000000000006</v>
      </c>
      <c r="J23" s="20">
        <f t="shared" si="2"/>
        <v>1</v>
      </c>
      <c r="K23" s="21">
        <f t="shared" si="3"/>
        <v>1</v>
      </c>
      <c r="L23" s="19">
        <f>VLOOKUP(CONCATENATE($A23,"_",L$3),'10 seeds 7200s'!$A$1:$AD$1300,12, FALSE)</f>
        <v>1</v>
      </c>
      <c r="M23" s="20">
        <f>VLOOKUP(CONCATENATE($A23,"_",L$3),'10 seeds 7200s'!$A$1:$AD$1300,14, FALSE)</f>
        <v>0</v>
      </c>
      <c r="N23" s="20">
        <f>VLOOKUP(CONCATENATE($A23,"_",L$3),'10 seeds 7200s'!$A$1:$AD$1300,18, FALSE)</f>
        <v>89.5</v>
      </c>
      <c r="O23" s="20">
        <f t="shared" si="4"/>
        <v>1</v>
      </c>
      <c r="P23" s="21">
        <f t="shared" si="5"/>
        <v>1</v>
      </c>
      <c r="Q23" s="19">
        <f>VLOOKUP(CONCATENATE($A23,"_",Q$3),'10 seeds 7200s'!$A$1:$AD$1300,12, FALSE)</f>
        <v>1</v>
      </c>
      <c r="R23" s="20">
        <f>VLOOKUP(CONCATENATE($A23,"_",Q$3),'10 seeds 7200s'!$A$1:$AD$1300,14, FALSE)</f>
        <v>0</v>
      </c>
      <c r="S23" s="20">
        <f>VLOOKUP(CONCATENATE($A23,"_",Q$3),'10 seeds 7200s'!$A$1:$AD$1300,18, FALSE)</f>
        <v>43</v>
      </c>
      <c r="T23" s="20">
        <f t="shared" si="6"/>
        <v>1</v>
      </c>
      <c r="U23" s="21">
        <f t="shared" si="7"/>
        <v>1</v>
      </c>
    </row>
    <row r="24" spans="1:21" x14ac:dyDescent="0.25">
      <c r="A24" s="27" t="s">
        <v>35</v>
      </c>
      <c r="B24" s="19">
        <f>VLOOKUP(CONCATENATE($A24,"_",B$3),'10 seeds 7200s'!$A$1:$AD$1300,12, FALSE)</f>
        <v>1</v>
      </c>
      <c r="C24" s="20">
        <f>VLOOKUP(CONCATENATE($A24,"_",B$3),'10 seeds 7200s'!$A$1:$AD$1300,14, FALSE)</f>
        <v>0</v>
      </c>
      <c r="D24" s="20">
        <f>VLOOKUP(CONCATENATE($A24,"_",B$3),'10 seeds 7200s'!$A$1:$AD$1300,18, FALSE)</f>
        <v>1.7</v>
      </c>
      <c r="E24" s="20">
        <f t="shared" si="0"/>
        <v>1</v>
      </c>
      <c r="F24" s="21">
        <f t="shared" si="1"/>
        <v>1</v>
      </c>
      <c r="G24" s="19">
        <f>VLOOKUP(CONCATENATE($A24,"_",G$3),'Checkpoint 7'!$A$1:$AD$1300,12, FALSE)</f>
        <v>1</v>
      </c>
      <c r="H24" s="20">
        <f>VLOOKUP(CONCATENATE($A24,"_",G$3),'Checkpoint 7'!$A$1:$AD$1300,14, FALSE)</f>
        <v>0</v>
      </c>
      <c r="I24" s="20">
        <f>VLOOKUP(CONCATENATE($A24,"_",G$3),'Checkpoint 7'!$A$1:$AD$1300,18, FALSE)</f>
        <v>2.2000000000000002</v>
      </c>
      <c r="J24" s="20">
        <f t="shared" si="2"/>
        <v>1</v>
      </c>
      <c r="K24" s="21">
        <f t="shared" si="3"/>
        <v>1</v>
      </c>
      <c r="L24" s="19">
        <f>VLOOKUP(CONCATENATE($A24,"_",L$3),'10 seeds 7200s'!$A$1:$AD$1300,12, FALSE)</f>
        <v>1</v>
      </c>
      <c r="M24" s="20">
        <f>VLOOKUP(CONCATENATE($A24,"_",L$3),'10 seeds 7200s'!$A$1:$AD$1300,14, FALSE)</f>
        <v>0</v>
      </c>
      <c r="N24" s="20">
        <f>VLOOKUP(CONCATENATE($A24,"_",L$3),'10 seeds 7200s'!$A$1:$AD$1300,18, FALSE)</f>
        <v>1.5</v>
      </c>
      <c r="O24" s="20">
        <f t="shared" si="4"/>
        <v>1</v>
      </c>
      <c r="P24" s="21">
        <f t="shared" si="5"/>
        <v>1</v>
      </c>
      <c r="Q24" s="19" t="e">
        <f>VLOOKUP(CONCATENATE($A24,"_",Q$3),'10 seeds 7200s'!$A$1:$AD$1300,12, FALSE)</f>
        <v>#N/A</v>
      </c>
      <c r="R24" s="20" t="e">
        <f>VLOOKUP(CONCATENATE($A24,"_",Q$3),'10 seeds 7200s'!$A$1:$AD$1300,14, FALSE)</f>
        <v>#N/A</v>
      </c>
      <c r="S24" s="20" t="e">
        <f>VLOOKUP(CONCATENATE($A24,"_",Q$3),'10 seeds 7200s'!$A$1:$AD$1300,18, FALSE)</f>
        <v>#N/A</v>
      </c>
      <c r="T24" s="20" t="e">
        <f t="shared" si="6"/>
        <v>#N/A</v>
      </c>
      <c r="U24" s="21" t="e">
        <f t="shared" si="7"/>
        <v>#N/A</v>
      </c>
    </row>
    <row r="25" spans="1:21" x14ac:dyDescent="0.25">
      <c r="A25" s="27" t="s">
        <v>60</v>
      </c>
      <c r="B25" s="19">
        <f>VLOOKUP(CONCATENATE($A25,"_",B$3),'10 seeds 7200s'!$A$1:$AD$1300,12, FALSE)</f>
        <v>1</v>
      </c>
      <c r="C25" s="20">
        <f>VLOOKUP(CONCATENATE($A25,"_",B$3),'10 seeds 7200s'!$A$1:$AD$1300,14, FALSE)</f>
        <v>0</v>
      </c>
      <c r="D25" s="20">
        <f>VLOOKUP(CONCATENATE($A25,"_",B$3),'10 seeds 7200s'!$A$1:$AD$1300,18, FALSE)</f>
        <v>16.2</v>
      </c>
      <c r="E25" s="20">
        <f t="shared" si="0"/>
        <v>1</v>
      </c>
      <c r="F25" s="21">
        <f t="shared" si="1"/>
        <v>1</v>
      </c>
      <c r="G25" s="19">
        <f>VLOOKUP(CONCATENATE($A25,"_",G$3),'Checkpoint 7'!$A$1:$AD$1300,12, FALSE)</f>
        <v>1</v>
      </c>
      <c r="H25" s="20">
        <f>VLOOKUP(CONCATENATE($A25,"_",G$3),'Checkpoint 7'!$A$1:$AD$1300,14, FALSE)</f>
        <v>0</v>
      </c>
      <c r="I25" s="20">
        <f>VLOOKUP(CONCATENATE($A25,"_",G$3),'Checkpoint 7'!$A$1:$AD$1300,18, FALSE)</f>
        <v>18.7</v>
      </c>
      <c r="J25" s="20">
        <f t="shared" si="2"/>
        <v>1</v>
      </c>
      <c r="K25" s="21">
        <f t="shared" si="3"/>
        <v>1</v>
      </c>
      <c r="L25" s="19">
        <f>VLOOKUP(CONCATENATE($A25,"_",L$3),'10 seeds 7200s'!$A$1:$AD$1300,12, FALSE)</f>
        <v>1</v>
      </c>
      <c r="M25" s="20">
        <f>VLOOKUP(CONCATENATE($A25,"_",L$3),'10 seeds 7200s'!$A$1:$AD$1300,14, FALSE)</f>
        <v>0</v>
      </c>
      <c r="N25" s="20">
        <f>VLOOKUP(CONCATENATE($A25,"_",L$3),'10 seeds 7200s'!$A$1:$AD$1300,18, FALSE)</f>
        <v>16.5</v>
      </c>
      <c r="O25" s="20">
        <f t="shared" si="4"/>
        <v>1</v>
      </c>
      <c r="P25" s="21">
        <f t="shared" si="5"/>
        <v>1</v>
      </c>
      <c r="Q25" s="19">
        <f>VLOOKUP(CONCATENATE($A25,"_",Q$3),'10 seeds 7200s'!$A$1:$AD$1300,12, FALSE)</f>
        <v>1</v>
      </c>
      <c r="R25" s="20">
        <f>VLOOKUP(CONCATENATE($A25,"_",Q$3),'10 seeds 7200s'!$A$1:$AD$1300,14, FALSE)</f>
        <v>0</v>
      </c>
      <c r="S25" s="20">
        <f>VLOOKUP(CONCATENATE($A25,"_",Q$3),'10 seeds 7200s'!$A$1:$AD$1300,18, FALSE)</f>
        <v>16.3</v>
      </c>
      <c r="T25" s="20">
        <f t="shared" si="6"/>
        <v>1</v>
      </c>
      <c r="U25" s="21">
        <f t="shared" si="7"/>
        <v>1</v>
      </c>
    </row>
    <row r="26" spans="1:21" x14ac:dyDescent="0.25">
      <c r="A26" s="27" t="s">
        <v>88</v>
      </c>
      <c r="B26" s="19">
        <f>VLOOKUP(CONCATENATE($A26,"_",B$3),'10 seeds 7200s'!$A$1:$AD$1300,12, FALSE)</f>
        <v>0.97664910000000005</v>
      </c>
      <c r="C26" s="20">
        <f>VLOOKUP(CONCATENATE($A26,"_",B$3),'10 seeds 7200s'!$A$1:$AD$1300,14, FALSE)</f>
        <v>0.29336279999999998</v>
      </c>
      <c r="D26" s="20">
        <f>VLOOKUP(CONCATENATE($A26,"_",B$3),'10 seeds 7200s'!$A$1:$AD$1300,18, FALSE)</f>
        <v>7201.2</v>
      </c>
      <c r="E26" s="20">
        <f t="shared" si="0"/>
        <v>0</v>
      </c>
      <c r="F26" s="21">
        <f t="shared" si="1"/>
        <v>0</v>
      </c>
      <c r="G26" s="19">
        <f>VLOOKUP(CONCATENATE($A26,"_",G$3),'Checkpoint 7'!$A$1:$AD$1300,12, FALSE)</f>
        <v>0.98528649999999995</v>
      </c>
      <c r="H26" s="20">
        <f>VLOOKUP(CONCATENATE($A26,"_",G$3),'Checkpoint 7'!$A$1:$AD$1300,14, FALSE)</f>
        <v>0.23286860000000001</v>
      </c>
      <c r="I26" s="20">
        <f>VLOOKUP(CONCATENATE($A26,"_",G$3),'Checkpoint 7'!$A$1:$AD$1300,18, FALSE)</f>
        <v>7201.2</v>
      </c>
      <c r="J26" s="20">
        <f t="shared" si="2"/>
        <v>0</v>
      </c>
      <c r="K26" s="21">
        <f t="shared" si="3"/>
        <v>0</v>
      </c>
      <c r="L26" s="19">
        <f>VLOOKUP(CONCATENATE($A26,"_",L$3),'10 seeds 7200s'!$A$1:$AD$1300,12, FALSE)</f>
        <v>0.96318400000000004</v>
      </c>
      <c r="M26" s="20">
        <f>VLOOKUP(CONCATENATE($A26,"_",L$3),'10 seeds 7200s'!$A$1:$AD$1300,14, FALSE)</f>
        <v>0.36867280000000002</v>
      </c>
      <c r="N26" s="20">
        <f>VLOOKUP(CONCATENATE($A26,"_",L$3),'10 seeds 7200s'!$A$1:$AD$1300,18, FALSE)</f>
        <v>7201</v>
      </c>
      <c r="O26" s="20">
        <f t="shared" si="4"/>
        <v>0</v>
      </c>
      <c r="P26" s="21">
        <f t="shared" si="5"/>
        <v>0</v>
      </c>
      <c r="Q26" s="19" t="e">
        <f>VLOOKUP(CONCATENATE($A26,"_",Q$3),'10 seeds 7200s'!$A$1:$AD$1300,12, FALSE)</f>
        <v>#N/A</v>
      </c>
      <c r="R26" s="20" t="e">
        <f>VLOOKUP(CONCATENATE($A26,"_",Q$3),'10 seeds 7200s'!$A$1:$AD$1300,14, FALSE)</f>
        <v>#N/A</v>
      </c>
      <c r="S26" s="20" t="e">
        <f>VLOOKUP(CONCATENATE($A26,"_",Q$3),'10 seeds 7200s'!$A$1:$AD$1300,18, FALSE)</f>
        <v>#N/A</v>
      </c>
      <c r="T26" s="20" t="e">
        <f t="shared" si="6"/>
        <v>#N/A</v>
      </c>
      <c r="U26" s="21" t="e">
        <f t="shared" si="7"/>
        <v>#N/A</v>
      </c>
    </row>
    <row r="27" spans="1:21" x14ac:dyDescent="0.25">
      <c r="A27" s="27" t="s">
        <v>38</v>
      </c>
      <c r="B27" s="19">
        <f>VLOOKUP(CONCATENATE($A27,"_",B$3),'10 seeds 7200s'!$A$1:$AD$1300,12, FALSE)</f>
        <v>1</v>
      </c>
      <c r="C27" s="20">
        <f>VLOOKUP(CONCATENATE($A27,"_",B$3),'10 seeds 7200s'!$A$1:$AD$1300,14, FALSE)</f>
        <v>0</v>
      </c>
      <c r="D27" s="20">
        <f>VLOOKUP(CONCATENATE($A27,"_",B$3),'10 seeds 7200s'!$A$1:$AD$1300,18, FALSE)</f>
        <v>1.8</v>
      </c>
      <c r="E27" s="20">
        <f t="shared" si="0"/>
        <v>1</v>
      </c>
      <c r="F27" s="21">
        <f t="shared" si="1"/>
        <v>1</v>
      </c>
      <c r="G27" s="19">
        <f>VLOOKUP(CONCATENATE($A27,"_",G$3),'Checkpoint 7'!$A$1:$AD$1300,12, FALSE)</f>
        <v>1</v>
      </c>
      <c r="H27" s="20">
        <f>VLOOKUP(CONCATENATE($A27,"_",G$3),'Checkpoint 7'!$A$1:$AD$1300,14, FALSE)</f>
        <v>0</v>
      </c>
      <c r="I27" s="20">
        <f>VLOOKUP(CONCATENATE($A27,"_",G$3),'Checkpoint 7'!$A$1:$AD$1300,18, FALSE)</f>
        <v>2.4</v>
      </c>
      <c r="J27" s="20">
        <f t="shared" si="2"/>
        <v>1</v>
      </c>
      <c r="K27" s="21">
        <f t="shared" si="3"/>
        <v>1</v>
      </c>
      <c r="L27" s="19">
        <f>VLOOKUP(CONCATENATE($A27,"_",L$3),'10 seeds 7200s'!$A$1:$AD$1300,12, FALSE)</f>
        <v>1</v>
      </c>
      <c r="M27" s="20">
        <f>VLOOKUP(CONCATENATE($A27,"_",L$3),'10 seeds 7200s'!$A$1:$AD$1300,14, FALSE)</f>
        <v>0</v>
      </c>
      <c r="N27" s="20">
        <f>VLOOKUP(CONCATENATE($A27,"_",L$3),'10 seeds 7200s'!$A$1:$AD$1300,18, FALSE)</f>
        <v>1.5</v>
      </c>
      <c r="O27" s="20">
        <f t="shared" si="4"/>
        <v>1</v>
      </c>
      <c r="P27" s="21">
        <f t="shared" si="5"/>
        <v>1</v>
      </c>
      <c r="Q27" s="19">
        <f>VLOOKUP(CONCATENATE($A27,"_",Q$3),'10 seeds 7200s'!$A$1:$AD$1300,12, FALSE)</f>
        <v>1</v>
      </c>
      <c r="R27" s="20">
        <f>VLOOKUP(CONCATENATE($A27,"_",Q$3),'10 seeds 7200s'!$A$1:$AD$1300,14, FALSE)</f>
        <v>0</v>
      </c>
      <c r="S27" s="20">
        <f>VLOOKUP(CONCATENATE($A27,"_",Q$3),'10 seeds 7200s'!$A$1:$AD$1300,18, FALSE)</f>
        <v>1.6</v>
      </c>
      <c r="T27" s="20">
        <f t="shared" si="6"/>
        <v>1</v>
      </c>
      <c r="U27" s="21">
        <f t="shared" si="7"/>
        <v>1</v>
      </c>
    </row>
    <row r="28" spans="1:21" x14ac:dyDescent="0.25">
      <c r="A28" s="27" t="s">
        <v>64</v>
      </c>
      <c r="B28" s="19">
        <f>VLOOKUP(CONCATENATE($A28,"_",B$3),'10 seeds 7200s'!$A$1:$AD$1300,12, FALSE)</f>
        <v>0.99685550000000001</v>
      </c>
      <c r="C28" s="20">
        <f>VLOOKUP(CONCATENATE($A28,"_",B$3),'10 seeds 7200s'!$A$1:$AD$1300,14, FALSE)</f>
        <v>0.1443564</v>
      </c>
      <c r="D28" s="20">
        <f>VLOOKUP(CONCATENATE($A28,"_",B$3),'10 seeds 7200s'!$A$1:$AD$1300,18, FALSE)</f>
        <v>7200.1</v>
      </c>
      <c r="E28" s="20">
        <f t="shared" si="0"/>
        <v>0</v>
      </c>
      <c r="F28" s="21">
        <f t="shared" si="1"/>
        <v>0</v>
      </c>
      <c r="G28" s="19">
        <f>VLOOKUP(CONCATENATE($A28,"_",G$3),'Checkpoint 7'!$A$1:$AD$1300,12, FALSE)</f>
        <v>0.99719990000000003</v>
      </c>
      <c r="H28" s="20">
        <f>VLOOKUP(CONCATENATE($A28,"_",G$3),'Checkpoint 7'!$A$1:$AD$1300,14, FALSE)</f>
        <v>0.13622219999999999</v>
      </c>
      <c r="I28" s="20">
        <f>VLOOKUP(CONCATENATE($A28,"_",G$3),'Checkpoint 7'!$A$1:$AD$1300,18, FALSE)</f>
        <v>7201.4</v>
      </c>
      <c r="J28" s="20">
        <f t="shared" si="2"/>
        <v>0</v>
      </c>
      <c r="K28" s="21">
        <f t="shared" si="3"/>
        <v>0</v>
      </c>
      <c r="L28" s="19">
        <f>VLOOKUP(CONCATENATE($A28,"_",L$3),'10 seeds 7200s'!$A$1:$AD$1300,12, FALSE)</f>
        <v>0.99870340000000002</v>
      </c>
      <c r="M28" s="20">
        <f>VLOOKUP(CONCATENATE($A28,"_",L$3),'10 seeds 7200s'!$A$1:$AD$1300,14, FALSE)</f>
        <v>9.2857999999999996E-2</v>
      </c>
      <c r="N28" s="20">
        <f>VLOOKUP(CONCATENATE($A28,"_",L$3),'10 seeds 7200s'!$A$1:$AD$1300,18, FALSE)</f>
        <v>7200.8</v>
      </c>
      <c r="O28" s="20">
        <f t="shared" si="4"/>
        <v>0</v>
      </c>
      <c r="P28" s="21">
        <f t="shared" si="5"/>
        <v>0</v>
      </c>
      <c r="Q28" s="19" t="e">
        <f>VLOOKUP(CONCATENATE($A28,"_",Q$3),'10 seeds 7200s'!$A$1:$AD$1300,12, FALSE)</f>
        <v>#N/A</v>
      </c>
      <c r="R28" s="20" t="e">
        <f>VLOOKUP(CONCATENATE($A28,"_",Q$3),'10 seeds 7200s'!$A$1:$AD$1300,14, FALSE)</f>
        <v>#N/A</v>
      </c>
      <c r="S28" s="20" t="e">
        <f>VLOOKUP(CONCATENATE($A28,"_",Q$3),'10 seeds 7200s'!$A$1:$AD$1300,18, FALSE)</f>
        <v>#N/A</v>
      </c>
      <c r="T28" s="20" t="e">
        <f t="shared" si="6"/>
        <v>#N/A</v>
      </c>
      <c r="U28" s="21" t="e">
        <f t="shared" si="7"/>
        <v>#N/A</v>
      </c>
    </row>
    <row r="29" spans="1:21" x14ac:dyDescent="0.25">
      <c r="A29" s="27" t="s">
        <v>137</v>
      </c>
      <c r="B29" s="19">
        <f>VLOOKUP(CONCATENATE($A29,"_",B$3),'10 seeds 7200s'!$A$1:$AD$1300,12, FALSE)</f>
        <v>0.99931460000000005</v>
      </c>
      <c r="C29" s="20">
        <f>VLOOKUP(CONCATENATE($A29,"_",B$3),'10 seeds 7200s'!$A$1:$AD$1300,14, FALSE)</f>
        <v>0.1225415</v>
      </c>
      <c r="D29" s="20">
        <f>VLOOKUP(CONCATENATE($A29,"_",B$3),'10 seeds 7200s'!$A$1:$AD$1300,18, FALSE)</f>
        <v>7201</v>
      </c>
      <c r="E29" s="20">
        <f t="shared" si="0"/>
        <v>0</v>
      </c>
      <c r="F29" s="21">
        <f t="shared" si="1"/>
        <v>1</v>
      </c>
      <c r="G29" s="19">
        <f>VLOOKUP(CONCATENATE($A29,"_",G$3),'Checkpoint 7'!$A$1:$AD$1300,12, FALSE)</f>
        <v>0.99974099999999999</v>
      </c>
      <c r="H29" s="20">
        <f>VLOOKUP(CONCATENATE($A29,"_",G$3),'Checkpoint 7'!$A$1:$AD$1300,14, FALSE)</f>
        <v>7.5333200000000003E-2</v>
      </c>
      <c r="I29" s="20">
        <f>VLOOKUP(CONCATENATE($A29,"_",G$3),'Checkpoint 7'!$A$1:$AD$1300,18, FALSE)</f>
        <v>7203</v>
      </c>
      <c r="J29" s="20">
        <f t="shared" si="2"/>
        <v>0</v>
      </c>
      <c r="K29" s="21">
        <f t="shared" si="3"/>
        <v>1</v>
      </c>
      <c r="L29" s="19">
        <f>VLOOKUP(CONCATENATE($A29,"_",L$3),'10 seeds 7200s'!$A$1:$AD$1300,12, FALSE)</f>
        <v>0.99848490000000001</v>
      </c>
      <c r="M29" s="20">
        <f>VLOOKUP(CONCATENATE($A29,"_",L$3),'10 seeds 7200s'!$A$1:$AD$1300,14, FALSE)</f>
        <v>0.18260999999999999</v>
      </c>
      <c r="N29" s="20">
        <f>VLOOKUP(CONCATENATE($A29,"_",L$3),'10 seeds 7200s'!$A$1:$AD$1300,18, FALSE)</f>
        <v>7200.8</v>
      </c>
      <c r="O29" s="20">
        <f t="shared" si="4"/>
        <v>0</v>
      </c>
      <c r="P29" s="21">
        <f t="shared" si="5"/>
        <v>0</v>
      </c>
      <c r="Q29" s="19" t="e">
        <f>VLOOKUP(CONCATENATE($A29,"_",Q$3),'10 seeds 7200s'!$A$1:$AD$1300,12, FALSE)</f>
        <v>#N/A</v>
      </c>
      <c r="R29" s="20" t="e">
        <f>VLOOKUP(CONCATENATE($A29,"_",Q$3),'10 seeds 7200s'!$A$1:$AD$1300,14, FALSE)</f>
        <v>#N/A</v>
      </c>
      <c r="S29" s="20" t="e">
        <f>VLOOKUP(CONCATENATE($A29,"_",Q$3),'10 seeds 7200s'!$A$1:$AD$1300,18, FALSE)</f>
        <v>#N/A</v>
      </c>
      <c r="T29" s="20" t="e">
        <f t="shared" si="6"/>
        <v>#N/A</v>
      </c>
      <c r="U29" s="21" t="e">
        <f t="shared" si="7"/>
        <v>#N/A</v>
      </c>
    </row>
    <row r="30" spans="1:21" x14ac:dyDescent="0.25">
      <c r="A30" s="27" t="s">
        <v>108</v>
      </c>
      <c r="B30" s="19">
        <f>VLOOKUP(CONCATENATE($A30,"_",B$3),'10 seeds 7200s'!$A$1:$AD$1300,12, FALSE)</f>
        <v>1</v>
      </c>
      <c r="C30" s="20">
        <f>VLOOKUP(CONCATENATE($A30,"_",B$3),'10 seeds 7200s'!$A$1:$AD$1300,14, FALSE)</f>
        <v>0</v>
      </c>
      <c r="D30" s="20">
        <f>VLOOKUP(CONCATENATE($A30,"_",B$3),'10 seeds 7200s'!$A$1:$AD$1300,18, FALSE)</f>
        <v>26.5</v>
      </c>
      <c r="E30" s="20">
        <f t="shared" si="0"/>
        <v>1</v>
      </c>
      <c r="F30" s="21">
        <f t="shared" si="1"/>
        <v>1</v>
      </c>
      <c r="G30" s="19">
        <f>VLOOKUP(CONCATENATE($A30,"_",G$3),'Checkpoint 7'!$A$1:$AD$1300,12, FALSE)</f>
        <v>1</v>
      </c>
      <c r="H30" s="20">
        <f>VLOOKUP(CONCATENATE($A30,"_",G$3),'Checkpoint 7'!$A$1:$AD$1300,14, FALSE)</f>
        <v>0</v>
      </c>
      <c r="I30" s="20">
        <f>VLOOKUP(CONCATENATE($A30,"_",G$3),'Checkpoint 7'!$A$1:$AD$1300,18, FALSE)</f>
        <v>29.9</v>
      </c>
      <c r="J30" s="20">
        <f t="shared" si="2"/>
        <v>1</v>
      </c>
      <c r="K30" s="21">
        <f t="shared" si="3"/>
        <v>1</v>
      </c>
      <c r="L30" s="19">
        <f>VLOOKUP(CONCATENATE($A30,"_",L$3),'10 seeds 7200s'!$A$1:$AD$1300,12, FALSE)</f>
        <v>1</v>
      </c>
      <c r="M30" s="20">
        <f>VLOOKUP(CONCATENATE($A30,"_",L$3),'10 seeds 7200s'!$A$1:$AD$1300,14, FALSE)</f>
        <v>0</v>
      </c>
      <c r="N30" s="20">
        <f>VLOOKUP(CONCATENATE($A30,"_",L$3),'10 seeds 7200s'!$A$1:$AD$1300,18, FALSE)</f>
        <v>21.4</v>
      </c>
      <c r="O30" s="20">
        <f t="shared" si="4"/>
        <v>1</v>
      </c>
      <c r="P30" s="21">
        <f t="shared" si="5"/>
        <v>1</v>
      </c>
      <c r="Q30" s="19">
        <f>VLOOKUP(CONCATENATE($A30,"_",Q$3),'10 seeds 7200s'!$A$1:$AD$1300,12, FALSE)</f>
        <v>1</v>
      </c>
      <c r="R30" s="20">
        <f>VLOOKUP(CONCATENATE($A30,"_",Q$3),'10 seeds 7200s'!$A$1:$AD$1300,14, FALSE)</f>
        <v>0</v>
      </c>
      <c r="S30" s="20">
        <f>VLOOKUP(CONCATENATE($A30,"_",Q$3),'10 seeds 7200s'!$A$1:$AD$1300,18, FALSE)</f>
        <v>486.7</v>
      </c>
      <c r="T30" s="20">
        <f t="shared" si="6"/>
        <v>1</v>
      </c>
      <c r="U30" s="21">
        <f t="shared" si="7"/>
        <v>1</v>
      </c>
    </row>
    <row r="31" spans="1:21" x14ac:dyDescent="0.25">
      <c r="A31" s="27" t="s">
        <v>52</v>
      </c>
      <c r="B31" s="19">
        <f>VLOOKUP(CONCATENATE($A31,"_",B$3),'10 seeds 7200s'!$A$1:$AD$1300,12, FALSE)</f>
        <v>1</v>
      </c>
      <c r="C31" s="20">
        <f>VLOOKUP(CONCATENATE($A31,"_",B$3),'10 seeds 7200s'!$A$1:$AD$1300,14, FALSE)</f>
        <v>0</v>
      </c>
      <c r="D31" s="20">
        <f>VLOOKUP(CONCATENATE($A31,"_",B$3),'10 seeds 7200s'!$A$1:$AD$1300,18, FALSE)</f>
        <v>13.2</v>
      </c>
      <c r="E31" s="20">
        <f t="shared" si="0"/>
        <v>1</v>
      </c>
      <c r="F31" s="21">
        <f t="shared" si="1"/>
        <v>1</v>
      </c>
      <c r="G31" s="19">
        <f>VLOOKUP(CONCATENATE($A31,"_",G$3),'Checkpoint 7'!$A$1:$AD$1300,12, FALSE)</f>
        <v>1</v>
      </c>
      <c r="H31" s="20">
        <f>VLOOKUP(CONCATENATE($A31,"_",G$3),'Checkpoint 7'!$A$1:$AD$1300,14, FALSE)</f>
        <v>0</v>
      </c>
      <c r="I31" s="20">
        <f>VLOOKUP(CONCATENATE($A31,"_",G$3),'Checkpoint 7'!$A$1:$AD$1300,18, FALSE)</f>
        <v>14.4</v>
      </c>
      <c r="J31" s="20">
        <f t="shared" si="2"/>
        <v>1</v>
      </c>
      <c r="K31" s="21">
        <f t="shared" si="3"/>
        <v>1</v>
      </c>
      <c r="L31" s="19">
        <f>VLOOKUP(CONCATENATE($A31,"_",L$3),'10 seeds 7200s'!$A$1:$AD$1300,12, FALSE)</f>
        <v>1</v>
      </c>
      <c r="M31" s="20">
        <f>VLOOKUP(CONCATENATE($A31,"_",L$3),'10 seeds 7200s'!$A$1:$AD$1300,14, FALSE)</f>
        <v>0</v>
      </c>
      <c r="N31" s="20">
        <f>VLOOKUP(CONCATENATE($A31,"_",L$3),'10 seeds 7200s'!$A$1:$AD$1300,18, FALSE)</f>
        <v>11.8</v>
      </c>
      <c r="O31" s="20">
        <f t="shared" si="4"/>
        <v>1</v>
      </c>
      <c r="P31" s="21">
        <f t="shared" si="5"/>
        <v>1</v>
      </c>
      <c r="Q31" s="19">
        <f>VLOOKUP(CONCATENATE($A31,"_",Q$3),'10 seeds 7200s'!$A$1:$AD$1300,12, FALSE)</f>
        <v>1</v>
      </c>
      <c r="R31" s="20">
        <f>VLOOKUP(CONCATENATE($A31,"_",Q$3),'10 seeds 7200s'!$A$1:$AD$1300,14, FALSE)</f>
        <v>0</v>
      </c>
      <c r="S31" s="20">
        <f>VLOOKUP(CONCATENATE($A31,"_",Q$3),'10 seeds 7200s'!$A$1:$AD$1300,18, FALSE)</f>
        <v>11.8</v>
      </c>
      <c r="T31" s="20">
        <f t="shared" si="6"/>
        <v>1</v>
      </c>
      <c r="U31" s="21">
        <f t="shared" si="7"/>
        <v>1</v>
      </c>
    </row>
    <row r="32" spans="1:21" x14ac:dyDescent="0.25">
      <c r="A32" s="27" t="s">
        <v>51</v>
      </c>
      <c r="B32" s="19">
        <f>VLOOKUP(CONCATENATE($A32,"_",B$3),'10 seeds 7200s'!$A$1:$AD$1300,12, FALSE)</f>
        <v>0.99999360000000004</v>
      </c>
      <c r="C32" s="20">
        <f>VLOOKUP(CONCATENATE($A32,"_",B$3),'10 seeds 7200s'!$A$1:$AD$1300,14, FALSE)</f>
        <v>4.1070999999999998E-3</v>
      </c>
      <c r="D32" s="20">
        <f>VLOOKUP(CONCATENATE($A32,"_",B$3),'10 seeds 7200s'!$A$1:$AD$1300,18, FALSE)</f>
        <v>7201.6</v>
      </c>
      <c r="E32" s="20">
        <f t="shared" si="0"/>
        <v>0</v>
      </c>
      <c r="F32" s="21">
        <f t="shared" si="1"/>
        <v>1</v>
      </c>
      <c r="G32" s="19">
        <f>VLOOKUP(CONCATENATE($A32,"_",G$3),'Checkpoint 7'!$A$1:$AD$1300,12, FALSE)</f>
        <v>0.99999360000000004</v>
      </c>
      <c r="H32" s="20">
        <f>VLOOKUP(CONCATENATE($A32,"_",G$3),'Checkpoint 7'!$A$1:$AD$1300,14, FALSE)</f>
        <v>4.1038999999999997E-3</v>
      </c>
      <c r="I32" s="20">
        <f>VLOOKUP(CONCATENATE($A32,"_",G$3),'Checkpoint 7'!$A$1:$AD$1300,18, FALSE)</f>
        <v>6938.4</v>
      </c>
      <c r="J32" s="20">
        <f t="shared" si="2"/>
        <v>0</v>
      </c>
      <c r="K32" s="21">
        <f t="shared" si="3"/>
        <v>1</v>
      </c>
      <c r="L32" s="19">
        <f>VLOOKUP(CONCATENATE($A32,"_",L$3),'10 seeds 7200s'!$A$1:$AD$1300,12, FALSE)</f>
        <v>0.99998869999999995</v>
      </c>
      <c r="M32" s="20">
        <f>VLOOKUP(CONCATENATE($A32,"_",L$3),'10 seeds 7200s'!$A$1:$AD$1300,14, FALSE)</f>
        <v>5.4416999999999998E-3</v>
      </c>
      <c r="N32" s="20">
        <f>VLOOKUP(CONCATENATE($A32,"_",L$3),'10 seeds 7200s'!$A$1:$AD$1300,18, FALSE)</f>
        <v>7200.4</v>
      </c>
      <c r="O32" s="20">
        <f t="shared" si="4"/>
        <v>0</v>
      </c>
      <c r="P32" s="21">
        <f t="shared" si="5"/>
        <v>1</v>
      </c>
      <c r="Q32" s="19" t="e">
        <f>VLOOKUP(CONCATENATE($A32,"_",Q$3),'10 seeds 7200s'!$A$1:$AD$1300,12, FALSE)</f>
        <v>#N/A</v>
      </c>
      <c r="R32" s="20" t="e">
        <f>VLOOKUP(CONCATENATE($A32,"_",Q$3),'10 seeds 7200s'!$A$1:$AD$1300,14, FALSE)</f>
        <v>#N/A</v>
      </c>
      <c r="S32" s="20" t="e">
        <f>VLOOKUP(CONCATENATE($A32,"_",Q$3),'10 seeds 7200s'!$A$1:$AD$1300,18, FALSE)</f>
        <v>#N/A</v>
      </c>
      <c r="T32" s="20" t="e">
        <f t="shared" si="6"/>
        <v>#N/A</v>
      </c>
      <c r="U32" s="21" t="e">
        <f t="shared" si="7"/>
        <v>#N/A</v>
      </c>
    </row>
    <row r="33" spans="1:21" x14ac:dyDescent="0.25">
      <c r="A33" s="27" t="s">
        <v>34</v>
      </c>
      <c r="B33" s="19">
        <f>VLOOKUP(CONCATENATE($A33,"_",B$3),'10 seeds 7200s'!$A$1:$AD$1300,12, FALSE)</f>
        <v>1</v>
      </c>
      <c r="C33" s="20">
        <f>VLOOKUP(CONCATENATE($A33,"_",B$3),'10 seeds 7200s'!$A$1:$AD$1300,14, FALSE)</f>
        <v>0</v>
      </c>
      <c r="D33" s="20">
        <f>VLOOKUP(CONCATENATE($A33,"_",B$3),'10 seeds 7200s'!$A$1:$AD$1300,18, FALSE)</f>
        <v>1.3</v>
      </c>
      <c r="E33" s="20">
        <f t="shared" si="0"/>
        <v>1</v>
      </c>
      <c r="F33" s="21">
        <f t="shared" si="1"/>
        <v>1</v>
      </c>
      <c r="G33" s="19">
        <f>VLOOKUP(CONCATENATE($A33,"_",G$3),'Checkpoint 7'!$A$1:$AD$1300,12, FALSE)</f>
        <v>1</v>
      </c>
      <c r="H33" s="20">
        <f>VLOOKUP(CONCATENATE($A33,"_",G$3),'Checkpoint 7'!$A$1:$AD$1300,14, FALSE)</f>
        <v>0</v>
      </c>
      <c r="I33" s="20">
        <f>VLOOKUP(CONCATENATE($A33,"_",G$3),'Checkpoint 7'!$A$1:$AD$1300,18, FALSE)</f>
        <v>1.8</v>
      </c>
      <c r="J33" s="20">
        <f t="shared" si="2"/>
        <v>1</v>
      </c>
      <c r="K33" s="21">
        <f t="shared" si="3"/>
        <v>1</v>
      </c>
      <c r="L33" s="19">
        <f>VLOOKUP(CONCATENATE($A33,"_",L$3),'10 seeds 7200s'!$A$1:$AD$1300,12, FALSE)</f>
        <v>1</v>
      </c>
      <c r="M33" s="20">
        <f>VLOOKUP(CONCATENATE($A33,"_",L$3),'10 seeds 7200s'!$A$1:$AD$1300,14, FALSE)</f>
        <v>0</v>
      </c>
      <c r="N33" s="20">
        <f>VLOOKUP(CONCATENATE($A33,"_",L$3),'10 seeds 7200s'!$A$1:$AD$1300,18, FALSE)</f>
        <v>1.2</v>
      </c>
      <c r="O33" s="20">
        <f t="shared" si="4"/>
        <v>1</v>
      </c>
      <c r="P33" s="21">
        <f t="shared" si="5"/>
        <v>1</v>
      </c>
      <c r="Q33" s="19" t="e">
        <f>VLOOKUP(CONCATENATE($A33,"_",Q$3),'10 seeds 7200s'!$A$1:$AD$1300,12, FALSE)</f>
        <v>#N/A</v>
      </c>
      <c r="R33" s="20" t="e">
        <f>VLOOKUP(CONCATENATE($A33,"_",Q$3),'10 seeds 7200s'!$A$1:$AD$1300,14, FALSE)</f>
        <v>#N/A</v>
      </c>
      <c r="S33" s="20" t="e">
        <f>VLOOKUP(CONCATENATE($A33,"_",Q$3),'10 seeds 7200s'!$A$1:$AD$1300,18, FALSE)</f>
        <v>#N/A</v>
      </c>
      <c r="T33" s="20" t="e">
        <f t="shared" si="6"/>
        <v>#N/A</v>
      </c>
      <c r="U33" s="21" t="e">
        <f t="shared" si="7"/>
        <v>#N/A</v>
      </c>
    </row>
    <row r="34" spans="1:21" x14ac:dyDescent="0.25">
      <c r="A34" s="27" t="s">
        <v>102</v>
      </c>
      <c r="B34" s="19">
        <f>VLOOKUP(CONCATENATE($A34,"_",B$3),'10 seeds 7200s'!$A$1:$AD$1300,12, FALSE)</f>
        <v>1</v>
      </c>
      <c r="C34" s="20">
        <f>VLOOKUP(CONCATENATE($A34,"_",B$3),'10 seeds 7200s'!$A$1:$AD$1300,14, FALSE)</f>
        <v>0</v>
      </c>
      <c r="D34" s="20">
        <f>VLOOKUP(CONCATENATE($A34,"_",B$3),'10 seeds 7200s'!$A$1:$AD$1300,18, FALSE)</f>
        <v>8.4</v>
      </c>
      <c r="E34" s="20">
        <f t="shared" si="0"/>
        <v>1</v>
      </c>
      <c r="F34" s="21">
        <f t="shared" si="1"/>
        <v>1</v>
      </c>
      <c r="G34" s="19">
        <f>VLOOKUP(CONCATENATE($A34,"_",G$3),'Checkpoint 7'!$A$1:$AD$1300,12, FALSE)</f>
        <v>1</v>
      </c>
      <c r="H34" s="20">
        <f>VLOOKUP(CONCATENATE($A34,"_",G$3),'Checkpoint 7'!$A$1:$AD$1300,14, FALSE)</f>
        <v>0</v>
      </c>
      <c r="I34" s="20">
        <f>VLOOKUP(CONCATENATE($A34,"_",G$3),'Checkpoint 7'!$A$1:$AD$1300,18, FALSE)</f>
        <v>9.6</v>
      </c>
      <c r="J34" s="20">
        <f t="shared" si="2"/>
        <v>1</v>
      </c>
      <c r="K34" s="21">
        <f t="shared" si="3"/>
        <v>1</v>
      </c>
      <c r="L34" s="19">
        <f>VLOOKUP(CONCATENATE($A34,"_",L$3),'10 seeds 7200s'!$A$1:$AD$1300,12, FALSE)</f>
        <v>1</v>
      </c>
      <c r="M34" s="20">
        <f>VLOOKUP(CONCATENATE($A34,"_",L$3),'10 seeds 7200s'!$A$1:$AD$1300,14, FALSE)</f>
        <v>0</v>
      </c>
      <c r="N34" s="20">
        <f>VLOOKUP(CONCATENATE($A34,"_",L$3),'10 seeds 7200s'!$A$1:$AD$1300,18, FALSE)</f>
        <v>7.4</v>
      </c>
      <c r="O34" s="20">
        <f t="shared" si="4"/>
        <v>1</v>
      </c>
      <c r="P34" s="21">
        <f t="shared" si="5"/>
        <v>1</v>
      </c>
      <c r="Q34" s="19">
        <f>VLOOKUP(CONCATENATE($A34,"_",Q$3),'10 seeds 7200s'!$A$1:$AD$1300,12, FALSE)</f>
        <v>1</v>
      </c>
      <c r="R34" s="20">
        <f>VLOOKUP(CONCATENATE($A34,"_",Q$3),'10 seeds 7200s'!$A$1:$AD$1300,14, FALSE)</f>
        <v>0</v>
      </c>
      <c r="S34" s="20">
        <f>VLOOKUP(CONCATENATE($A34,"_",Q$3),'10 seeds 7200s'!$A$1:$AD$1300,18, FALSE)</f>
        <v>7.6</v>
      </c>
      <c r="T34" s="20">
        <f t="shared" si="6"/>
        <v>1</v>
      </c>
      <c r="U34" s="21">
        <f t="shared" si="7"/>
        <v>1</v>
      </c>
    </row>
    <row r="35" spans="1:21" x14ac:dyDescent="0.25">
      <c r="A35" s="27" t="s">
        <v>61</v>
      </c>
      <c r="B35" s="19">
        <f>VLOOKUP(CONCATENATE($A35,"_",B$3),'10 seeds 7200s'!$A$1:$AD$1300,12, FALSE)</f>
        <v>1</v>
      </c>
      <c r="C35" s="20">
        <f>VLOOKUP(CONCATENATE($A35,"_",B$3),'10 seeds 7200s'!$A$1:$AD$1300,14, FALSE)</f>
        <v>0</v>
      </c>
      <c r="D35" s="20">
        <f>VLOOKUP(CONCATENATE($A35,"_",B$3),'10 seeds 7200s'!$A$1:$AD$1300,18, FALSE)</f>
        <v>1353.6</v>
      </c>
      <c r="E35" s="20">
        <f t="shared" si="0"/>
        <v>1</v>
      </c>
      <c r="F35" s="21">
        <f t="shared" si="1"/>
        <v>1</v>
      </c>
      <c r="G35" s="19">
        <f>VLOOKUP(CONCATENATE($A35,"_",G$3),'Checkpoint 7'!$A$1:$AD$1300,12, FALSE)</f>
        <v>1</v>
      </c>
      <c r="H35" s="20">
        <f>VLOOKUP(CONCATENATE($A35,"_",G$3),'Checkpoint 7'!$A$1:$AD$1300,14, FALSE)</f>
        <v>0</v>
      </c>
      <c r="I35" s="20">
        <f>VLOOKUP(CONCATENATE($A35,"_",G$3),'Checkpoint 7'!$A$1:$AD$1300,18, FALSE)</f>
        <v>1629.9</v>
      </c>
      <c r="J35" s="20">
        <f t="shared" si="2"/>
        <v>1</v>
      </c>
      <c r="K35" s="21">
        <f t="shared" si="3"/>
        <v>1</v>
      </c>
      <c r="L35" s="19">
        <f>VLOOKUP(CONCATENATE($A35,"_",L$3),'10 seeds 7200s'!$A$1:$AD$1300,12, FALSE)</f>
        <v>1</v>
      </c>
      <c r="M35" s="20">
        <f>VLOOKUP(CONCATENATE($A35,"_",L$3),'10 seeds 7200s'!$A$1:$AD$1300,14, FALSE)</f>
        <v>0</v>
      </c>
      <c r="N35" s="20">
        <f>VLOOKUP(CONCATENATE($A35,"_",L$3),'10 seeds 7200s'!$A$1:$AD$1300,18, FALSE)</f>
        <v>63.1</v>
      </c>
      <c r="O35" s="20">
        <f t="shared" si="4"/>
        <v>1</v>
      </c>
      <c r="P35" s="21">
        <f t="shared" si="5"/>
        <v>1</v>
      </c>
      <c r="Q35" s="19">
        <f>VLOOKUP(CONCATENATE($A35,"_",Q$3),'10 seeds 7200s'!$A$1:$AD$1300,12, FALSE)</f>
        <v>1</v>
      </c>
      <c r="R35" s="20">
        <f>VLOOKUP(CONCATENATE($A35,"_",Q$3),'10 seeds 7200s'!$A$1:$AD$1300,14, FALSE)</f>
        <v>0</v>
      </c>
      <c r="S35" s="20">
        <f>VLOOKUP(CONCATENATE($A35,"_",Q$3),'10 seeds 7200s'!$A$1:$AD$1300,18, FALSE)</f>
        <v>241.7</v>
      </c>
      <c r="T35" s="20">
        <f t="shared" si="6"/>
        <v>1</v>
      </c>
      <c r="U35" s="21">
        <f t="shared" si="7"/>
        <v>1</v>
      </c>
    </row>
    <row r="36" spans="1:21" x14ac:dyDescent="0.25">
      <c r="A36" s="27" t="s">
        <v>104</v>
      </c>
      <c r="B36" s="19">
        <f>VLOOKUP(CONCATENATE($A36,"_",B$3),'10 seeds 7200s'!$A$1:$AD$1300,12, FALSE)</f>
        <v>1</v>
      </c>
      <c r="C36" s="20">
        <f>VLOOKUP(CONCATENATE($A36,"_",B$3),'10 seeds 7200s'!$A$1:$AD$1300,14, FALSE)</f>
        <v>0</v>
      </c>
      <c r="D36" s="20">
        <f>VLOOKUP(CONCATENATE($A36,"_",B$3),'10 seeds 7200s'!$A$1:$AD$1300,18, FALSE)</f>
        <v>19</v>
      </c>
      <c r="E36" s="20">
        <f t="shared" si="0"/>
        <v>1</v>
      </c>
      <c r="F36" s="21">
        <f t="shared" si="1"/>
        <v>1</v>
      </c>
      <c r="G36" s="19">
        <f>VLOOKUP(CONCATENATE($A36,"_",G$3),'Checkpoint 7'!$A$1:$AD$1300,12, FALSE)</f>
        <v>1</v>
      </c>
      <c r="H36" s="20">
        <f>VLOOKUP(CONCATENATE($A36,"_",G$3),'Checkpoint 7'!$A$1:$AD$1300,14, FALSE)</f>
        <v>0</v>
      </c>
      <c r="I36" s="20">
        <f>VLOOKUP(CONCATENATE($A36,"_",G$3),'Checkpoint 7'!$A$1:$AD$1300,18, FALSE)</f>
        <v>22</v>
      </c>
      <c r="J36" s="20">
        <f t="shared" si="2"/>
        <v>1</v>
      </c>
      <c r="K36" s="21">
        <f t="shared" si="3"/>
        <v>1</v>
      </c>
      <c r="L36" s="19">
        <f>VLOOKUP(CONCATENATE($A36,"_",L$3),'10 seeds 7200s'!$A$1:$AD$1300,12, FALSE)</f>
        <v>1</v>
      </c>
      <c r="M36" s="20">
        <f>VLOOKUP(CONCATENATE($A36,"_",L$3),'10 seeds 7200s'!$A$1:$AD$1300,14, FALSE)</f>
        <v>0</v>
      </c>
      <c r="N36" s="20">
        <f>VLOOKUP(CONCATENATE($A36,"_",L$3),'10 seeds 7200s'!$A$1:$AD$1300,18, FALSE)</f>
        <v>30</v>
      </c>
      <c r="O36" s="20">
        <f t="shared" si="4"/>
        <v>1</v>
      </c>
      <c r="P36" s="21">
        <f t="shared" si="5"/>
        <v>1</v>
      </c>
      <c r="Q36" s="19">
        <f>VLOOKUP(CONCATENATE($A36,"_",Q$3),'10 seeds 7200s'!$A$1:$AD$1300,12, FALSE)</f>
        <v>1</v>
      </c>
      <c r="R36" s="20">
        <f>VLOOKUP(CONCATENATE($A36,"_",Q$3),'10 seeds 7200s'!$A$1:$AD$1300,14, FALSE)</f>
        <v>0</v>
      </c>
      <c r="S36" s="20">
        <f>VLOOKUP(CONCATENATE($A36,"_",Q$3),'10 seeds 7200s'!$A$1:$AD$1300,18, FALSE)</f>
        <v>29.1</v>
      </c>
      <c r="T36" s="20">
        <f t="shared" si="6"/>
        <v>1</v>
      </c>
      <c r="U36" s="21">
        <f t="shared" si="7"/>
        <v>1</v>
      </c>
    </row>
    <row r="37" spans="1:21" x14ac:dyDescent="0.25">
      <c r="A37" s="27" t="s">
        <v>39</v>
      </c>
      <c r="B37" s="19">
        <f>VLOOKUP(CONCATENATE($A37,"_",B$3),'10 seeds 7200s'!$A$1:$AD$1300,12, FALSE)</f>
        <v>1</v>
      </c>
      <c r="C37" s="20">
        <f>VLOOKUP(CONCATENATE($A37,"_",B$3),'10 seeds 7200s'!$A$1:$AD$1300,14, FALSE)</f>
        <v>0</v>
      </c>
      <c r="D37" s="20">
        <f>VLOOKUP(CONCATENATE($A37,"_",B$3),'10 seeds 7200s'!$A$1:$AD$1300,18, FALSE)</f>
        <v>1.3</v>
      </c>
      <c r="E37" s="20">
        <f t="shared" si="0"/>
        <v>1</v>
      </c>
      <c r="F37" s="21">
        <f t="shared" si="1"/>
        <v>1</v>
      </c>
      <c r="G37" s="19">
        <f>VLOOKUP(CONCATENATE($A37,"_",G$3),'Checkpoint 7'!$A$1:$AD$1300,12, FALSE)</f>
        <v>1</v>
      </c>
      <c r="H37" s="20">
        <f>VLOOKUP(CONCATENATE($A37,"_",G$3),'Checkpoint 7'!$A$1:$AD$1300,14, FALSE)</f>
        <v>0</v>
      </c>
      <c r="I37" s="20">
        <f>VLOOKUP(CONCATENATE($A37,"_",G$3),'Checkpoint 7'!$A$1:$AD$1300,18, FALSE)</f>
        <v>1.6</v>
      </c>
      <c r="J37" s="20">
        <f t="shared" si="2"/>
        <v>1</v>
      </c>
      <c r="K37" s="21">
        <f t="shared" si="3"/>
        <v>1</v>
      </c>
      <c r="L37" s="19">
        <f>VLOOKUP(CONCATENATE($A37,"_",L$3),'10 seeds 7200s'!$A$1:$AD$1300,12, FALSE)</f>
        <v>1</v>
      </c>
      <c r="M37" s="20">
        <f>VLOOKUP(CONCATENATE($A37,"_",L$3),'10 seeds 7200s'!$A$1:$AD$1300,14, FALSE)</f>
        <v>0</v>
      </c>
      <c r="N37" s="20">
        <f>VLOOKUP(CONCATENATE($A37,"_",L$3),'10 seeds 7200s'!$A$1:$AD$1300,18, FALSE)</f>
        <v>1.1000000000000001</v>
      </c>
      <c r="O37" s="20">
        <f t="shared" si="4"/>
        <v>1</v>
      </c>
      <c r="P37" s="21">
        <f t="shared" si="5"/>
        <v>1</v>
      </c>
      <c r="Q37" s="19">
        <f>VLOOKUP(CONCATENATE($A37,"_",Q$3),'10 seeds 7200s'!$A$1:$AD$1300,12, FALSE)</f>
        <v>1</v>
      </c>
      <c r="R37" s="20">
        <f>VLOOKUP(CONCATENATE($A37,"_",Q$3),'10 seeds 7200s'!$A$1:$AD$1300,14, FALSE)</f>
        <v>0</v>
      </c>
      <c r="S37" s="20">
        <f>VLOOKUP(CONCATENATE($A37,"_",Q$3),'10 seeds 7200s'!$A$1:$AD$1300,18, FALSE)</f>
        <v>1.3</v>
      </c>
      <c r="T37" s="20">
        <f t="shared" si="6"/>
        <v>1</v>
      </c>
      <c r="U37" s="21">
        <f t="shared" si="7"/>
        <v>1</v>
      </c>
    </row>
    <row r="38" spans="1:21" x14ac:dyDescent="0.25">
      <c r="A38" s="27" t="s">
        <v>53</v>
      </c>
      <c r="B38" s="19">
        <f>VLOOKUP(CONCATENATE($A38,"_",B$3),'10 seeds 7200s'!$A$1:$AD$1300,12, FALSE)</f>
        <v>1</v>
      </c>
      <c r="C38" s="20">
        <f>VLOOKUP(CONCATENATE($A38,"_",B$3),'10 seeds 7200s'!$A$1:$AD$1300,14, FALSE)</f>
        <v>0</v>
      </c>
      <c r="D38" s="20">
        <f>VLOOKUP(CONCATENATE($A38,"_",B$3),'10 seeds 7200s'!$A$1:$AD$1300,18, FALSE)</f>
        <v>9.3000000000000007</v>
      </c>
      <c r="E38" s="20">
        <f t="shared" si="0"/>
        <v>1</v>
      </c>
      <c r="F38" s="21">
        <f t="shared" si="1"/>
        <v>1</v>
      </c>
      <c r="G38" s="19">
        <f>VLOOKUP(CONCATENATE($A38,"_",G$3),'Checkpoint 7'!$A$1:$AD$1300,12, FALSE)</f>
        <v>1</v>
      </c>
      <c r="H38" s="20">
        <f>VLOOKUP(CONCATENATE($A38,"_",G$3),'Checkpoint 7'!$A$1:$AD$1300,14, FALSE)</f>
        <v>0</v>
      </c>
      <c r="I38" s="20">
        <f>VLOOKUP(CONCATENATE($A38,"_",G$3),'Checkpoint 7'!$A$1:$AD$1300,18, FALSE)</f>
        <v>10</v>
      </c>
      <c r="J38" s="20">
        <f t="shared" si="2"/>
        <v>1</v>
      </c>
      <c r="K38" s="21">
        <f t="shared" si="3"/>
        <v>1</v>
      </c>
      <c r="L38" s="19">
        <f>VLOOKUP(CONCATENATE($A38,"_",L$3),'10 seeds 7200s'!$A$1:$AD$1300,12, FALSE)</f>
        <v>1</v>
      </c>
      <c r="M38" s="20">
        <f>VLOOKUP(CONCATENATE($A38,"_",L$3),'10 seeds 7200s'!$A$1:$AD$1300,14, FALSE)</f>
        <v>0</v>
      </c>
      <c r="N38" s="20">
        <f>VLOOKUP(CONCATENATE($A38,"_",L$3),'10 seeds 7200s'!$A$1:$AD$1300,18, FALSE)</f>
        <v>6.9</v>
      </c>
      <c r="O38" s="20">
        <f t="shared" si="4"/>
        <v>1</v>
      </c>
      <c r="P38" s="21">
        <f t="shared" si="5"/>
        <v>1</v>
      </c>
      <c r="Q38" s="19">
        <f>VLOOKUP(CONCATENATE($A38,"_",Q$3),'10 seeds 7200s'!$A$1:$AD$1300,12, FALSE)</f>
        <v>1</v>
      </c>
      <c r="R38" s="20">
        <f>VLOOKUP(CONCATENATE($A38,"_",Q$3),'10 seeds 7200s'!$A$1:$AD$1300,14, FALSE)</f>
        <v>0</v>
      </c>
      <c r="S38" s="20">
        <f>VLOOKUP(CONCATENATE($A38,"_",Q$3),'10 seeds 7200s'!$A$1:$AD$1300,18, FALSE)</f>
        <v>7.6</v>
      </c>
      <c r="T38" s="20">
        <f t="shared" si="6"/>
        <v>1</v>
      </c>
      <c r="U38" s="21">
        <f t="shared" si="7"/>
        <v>1</v>
      </c>
    </row>
    <row r="39" spans="1:21" x14ac:dyDescent="0.25">
      <c r="A39" s="27" t="s">
        <v>99</v>
      </c>
      <c r="B39" s="19">
        <f>VLOOKUP(CONCATENATE($A39,"_",B$3),'10 seeds 7200s'!$A$1:$AD$1300,12, FALSE)</f>
        <v>1</v>
      </c>
      <c r="C39" s="20">
        <f>VLOOKUP(CONCATENATE($A39,"_",B$3),'10 seeds 7200s'!$A$1:$AD$1300,14, FALSE)</f>
        <v>0</v>
      </c>
      <c r="D39" s="20">
        <f>VLOOKUP(CONCATENATE($A39,"_",B$3),'10 seeds 7200s'!$A$1:$AD$1300,18, FALSE)</f>
        <v>8.5</v>
      </c>
      <c r="E39" s="20">
        <f t="shared" si="0"/>
        <v>1</v>
      </c>
      <c r="F39" s="21">
        <f t="shared" si="1"/>
        <v>1</v>
      </c>
      <c r="G39" s="19">
        <f>VLOOKUP(CONCATENATE($A39,"_",G$3),'Checkpoint 7'!$A$1:$AD$1300,12, FALSE)</f>
        <v>1</v>
      </c>
      <c r="H39" s="20">
        <f>VLOOKUP(CONCATENATE($A39,"_",G$3),'Checkpoint 7'!$A$1:$AD$1300,14, FALSE)</f>
        <v>0</v>
      </c>
      <c r="I39" s="20">
        <f>VLOOKUP(CONCATENATE($A39,"_",G$3),'Checkpoint 7'!$A$1:$AD$1300,18, FALSE)</f>
        <v>9.4</v>
      </c>
      <c r="J39" s="20">
        <f t="shared" si="2"/>
        <v>1</v>
      </c>
      <c r="K39" s="21">
        <f t="shared" si="3"/>
        <v>1</v>
      </c>
      <c r="L39" s="19">
        <f>VLOOKUP(CONCATENATE($A39,"_",L$3),'10 seeds 7200s'!$A$1:$AD$1300,12, FALSE)</f>
        <v>1</v>
      </c>
      <c r="M39" s="20">
        <f>VLOOKUP(CONCATENATE($A39,"_",L$3),'10 seeds 7200s'!$A$1:$AD$1300,14, FALSE)</f>
        <v>0</v>
      </c>
      <c r="N39" s="20">
        <f>VLOOKUP(CONCATENATE($A39,"_",L$3),'10 seeds 7200s'!$A$1:$AD$1300,18, FALSE)</f>
        <v>7.7</v>
      </c>
      <c r="O39" s="20">
        <f t="shared" si="4"/>
        <v>1</v>
      </c>
      <c r="P39" s="21">
        <f t="shared" si="5"/>
        <v>1</v>
      </c>
      <c r="Q39" s="19" t="e">
        <f>VLOOKUP(CONCATENATE($A39,"_",Q$3),'10 seeds 7200s'!$A$1:$AD$1300,12, FALSE)</f>
        <v>#N/A</v>
      </c>
      <c r="R39" s="20" t="e">
        <f>VLOOKUP(CONCATENATE($A39,"_",Q$3),'10 seeds 7200s'!$A$1:$AD$1300,14, FALSE)</f>
        <v>#N/A</v>
      </c>
      <c r="S39" s="20" t="e">
        <f>VLOOKUP(CONCATENATE($A39,"_",Q$3),'10 seeds 7200s'!$A$1:$AD$1300,18, FALSE)</f>
        <v>#N/A</v>
      </c>
      <c r="T39" s="20" t="e">
        <f t="shared" si="6"/>
        <v>#N/A</v>
      </c>
      <c r="U39" s="21" t="e">
        <f t="shared" si="7"/>
        <v>#N/A</v>
      </c>
    </row>
    <row r="40" spans="1:21" x14ac:dyDescent="0.25">
      <c r="A40" s="27" t="s">
        <v>144</v>
      </c>
      <c r="B40" s="19">
        <f>VLOOKUP(CONCATENATE($A40,"_",B$3),'10 seeds 7200s'!$A$1:$AD$1300,12, FALSE)</f>
        <v>0.91481869999999998</v>
      </c>
      <c r="C40" s="20">
        <f>VLOOKUP(CONCATENATE($A40,"_",B$3),'10 seeds 7200s'!$A$1:$AD$1300,14, FALSE)</f>
        <v>0.1907112</v>
      </c>
      <c r="D40" s="20">
        <f>VLOOKUP(CONCATENATE($A40,"_",B$3),'10 seeds 7200s'!$A$1:$AD$1300,18, FALSE)</f>
        <v>7200.7</v>
      </c>
      <c r="E40" s="20">
        <f t="shared" si="0"/>
        <v>0</v>
      </c>
      <c r="F40" s="21">
        <f t="shared" si="1"/>
        <v>0</v>
      </c>
      <c r="G40" s="19">
        <f>VLOOKUP(CONCATENATE($A40,"_",G$3),'Checkpoint 7'!$A$1:$AD$1300,12, FALSE)</f>
        <v>0.91286730000000005</v>
      </c>
      <c r="H40" s="20">
        <f>VLOOKUP(CONCATENATE($A40,"_",G$3),'Checkpoint 7'!$A$1:$AD$1300,14, FALSE)</f>
        <v>0.19288330000000001</v>
      </c>
      <c r="I40" s="20">
        <f>VLOOKUP(CONCATENATE($A40,"_",G$3),'Checkpoint 7'!$A$1:$AD$1300,18, FALSE)</f>
        <v>7202.4</v>
      </c>
      <c r="J40" s="20">
        <f t="shared" si="2"/>
        <v>0</v>
      </c>
      <c r="K40" s="21">
        <f t="shared" si="3"/>
        <v>0</v>
      </c>
      <c r="L40" s="19">
        <f>VLOOKUP(CONCATENATE($A40,"_",L$3),'10 seeds 7200s'!$A$1:$AD$1300,12, FALSE)</f>
        <v>0.97962899999999997</v>
      </c>
      <c r="M40" s="20">
        <f>VLOOKUP(CONCATENATE($A40,"_",L$3),'10 seeds 7200s'!$A$1:$AD$1300,14, FALSE)</f>
        <v>9.3028799999999995E-2</v>
      </c>
      <c r="N40" s="20">
        <f>VLOOKUP(CONCATENATE($A40,"_",L$3),'10 seeds 7200s'!$A$1:$AD$1300,18, FALSE)</f>
        <v>7200.8</v>
      </c>
      <c r="O40" s="20">
        <f t="shared" si="4"/>
        <v>0</v>
      </c>
      <c r="P40" s="21">
        <f t="shared" si="5"/>
        <v>0</v>
      </c>
      <c r="Q40" s="19">
        <f>VLOOKUP(CONCATENATE($A40,"_",Q$3),'10 seeds 7200s'!$A$1:$AD$1300,12, FALSE)</f>
        <v>0.96473589999999998</v>
      </c>
      <c r="R40" s="20">
        <f>VLOOKUP(CONCATENATE($A40,"_",Q$3),'10 seeds 7200s'!$A$1:$AD$1300,14, FALSE)</f>
        <v>0.1223426</v>
      </c>
      <c r="S40" s="20">
        <f>VLOOKUP(CONCATENATE($A40,"_",Q$3),'10 seeds 7200s'!$A$1:$AD$1300,18, FALSE)</f>
        <v>7215.9</v>
      </c>
      <c r="T40" s="20">
        <f t="shared" si="6"/>
        <v>0</v>
      </c>
      <c r="U40" s="21">
        <f t="shared" si="7"/>
        <v>0</v>
      </c>
    </row>
    <row r="41" spans="1:21" x14ac:dyDescent="0.25">
      <c r="A41" s="27" t="s">
        <v>125</v>
      </c>
      <c r="B41" s="19">
        <f>VLOOKUP(CONCATENATE($A41,"_",B$3),'10 seeds 7200s'!$A$1:$AD$1300,12, FALSE)</f>
        <v>0.99982879999999996</v>
      </c>
      <c r="C41" s="20">
        <f>VLOOKUP(CONCATENATE($A41,"_",B$3),'10 seeds 7200s'!$A$1:$AD$1300,14, FALSE)</f>
        <v>3.8788599999999999E-2</v>
      </c>
      <c r="D41" s="20">
        <f>VLOOKUP(CONCATENATE($A41,"_",B$3),'10 seeds 7200s'!$A$1:$AD$1300,18, FALSE)</f>
        <v>7200.5</v>
      </c>
      <c r="E41" s="20">
        <f t="shared" si="0"/>
        <v>0</v>
      </c>
      <c r="F41" s="21">
        <f t="shared" si="1"/>
        <v>1</v>
      </c>
      <c r="G41" s="19">
        <f>VLOOKUP(CONCATENATE($A41,"_",G$3),'Checkpoint 7'!$A$1:$AD$1300,12, FALSE)</f>
        <v>0.99982879999999996</v>
      </c>
      <c r="H41" s="20">
        <f>VLOOKUP(CONCATENATE($A41,"_",G$3),'Checkpoint 7'!$A$1:$AD$1300,14, FALSE)</f>
        <v>3.8788599999999999E-2</v>
      </c>
      <c r="I41" s="20">
        <f>VLOOKUP(CONCATENATE($A41,"_",G$3),'Checkpoint 7'!$A$1:$AD$1300,18, FALSE)</f>
        <v>7200.6</v>
      </c>
      <c r="J41" s="20">
        <f t="shared" si="2"/>
        <v>0</v>
      </c>
      <c r="K41" s="21">
        <f t="shared" si="3"/>
        <v>1</v>
      </c>
      <c r="L41" s="19">
        <f>VLOOKUP(CONCATENATE($A41,"_",L$3),'10 seeds 7200s'!$A$1:$AD$1300,12, FALSE)</f>
        <v>0.99997139999999995</v>
      </c>
      <c r="M41" s="20">
        <f>VLOOKUP(CONCATENATE($A41,"_",L$3),'10 seeds 7200s'!$A$1:$AD$1300,14, FALSE)</f>
        <v>1.5892400000000001E-2</v>
      </c>
      <c r="N41" s="20">
        <f>VLOOKUP(CONCATENATE($A41,"_",L$3),'10 seeds 7200s'!$A$1:$AD$1300,18, FALSE)</f>
        <v>6872.5</v>
      </c>
      <c r="O41" s="20">
        <f t="shared" si="4"/>
        <v>0</v>
      </c>
      <c r="P41" s="21">
        <f t="shared" si="5"/>
        <v>1</v>
      </c>
      <c r="Q41" s="19" t="e">
        <f>VLOOKUP(CONCATENATE($A41,"_",Q$3),'10 seeds 7200s'!$A$1:$AD$1300,12, FALSE)</f>
        <v>#N/A</v>
      </c>
      <c r="R41" s="20" t="e">
        <f>VLOOKUP(CONCATENATE($A41,"_",Q$3),'10 seeds 7200s'!$A$1:$AD$1300,14, FALSE)</f>
        <v>#N/A</v>
      </c>
      <c r="S41" s="20" t="e">
        <f>VLOOKUP(CONCATENATE($A41,"_",Q$3),'10 seeds 7200s'!$A$1:$AD$1300,18, FALSE)</f>
        <v>#N/A</v>
      </c>
      <c r="T41" s="20" t="e">
        <f t="shared" si="6"/>
        <v>#N/A</v>
      </c>
      <c r="U41" s="21" t="e">
        <f t="shared" si="7"/>
        <v>#N/A</v>
      </c>
    </row>
    <row r="42" spans="1:21" x14ac:dyDescent="0.25">
      <c r="A42" s="27" t="s">
        <v>100</v>
      </c>
      <c r="B42" s="19">
        <f>VLOOKUP(CONCATENATE($A42,"_",B$3),'10 seeds 7200s'!$A$1:$AD$1300,12, FALSE)</f>
        <v>1</v>
      </c>
      <c r="C42" s="20">
        <f>VLOOKUP(CONCATENATE($A42,"_",B$3),'10 seeds 7200s'!$A$1:$AD$1300,14, FALSE)</f>
        <v>0</v>
      </c>
      <c r="D42" s="20">
        <f>VLOOKUP(CONCATENATE($A42,"_",B$3),'10 seeds 7200s'!$A$1:$AD$1300,18, FALSE)</f>
        <v>8.1999999999999993</v>
      </c>
      <c r="E42" s="20">
        <f t="shared" si="0"/>
        <v>1</v>
      </c>
      <c r="F42" s="21">
        <f t="shared" si="1"/>
        <v>1</v>
      </c>
      <c r="G42" s="19">
        <f>VLOOKUP(CONCATENATE($A42,"_",G$3),'Checkpoint 7'!$A$1:$AD$1300,12, FALSE)</f>
        <v>1</v>
      </c>
      <c r="H42" s="20">
        <f>VLOOKUP(CONCATENATE($A42,"_",G$3),'Checkpoint 7'!$A$1:$AD$1300,14, FALSE)</f>
        <v>0</v>
      </c>
      <c r="I42" s="20">
        <f>VLOOKUP(CONCATENATE($A42,"_",G$3),'Checkpoint 7'!$A$1:$AD$1300,18, FALSE)</f>
        <v>9.1</v>
      </c>
      <c r="J42" s="20">
        <f t="shared" si="2"/>
        <v>1</v>
      </c>
      <c r="K42" s="21">
        <f t="shared" si="3"/>
        <v>1</v>
      </c>
      <c r="L42" s="19">
        <f>VLOOKUP(CONCATENATE($A42,"_",L$3),'10 seeds 7200s'!$A$1:$AD$1300,12, FALSE)</f>
        <v>1</v>
      </c>
      <c r="M42" s="20">
        <f>VLOOKUP(CONCATENATE($A42,"_",L$3),'10 seeds 7200s'!$A$1:$AD$1300,14, FALSE)</f>
        <v>0</v>
      </c>
      <c r="N42" s="20">
        <f>VLOOKUP(CONCATENATE($A42,"_",L$3),'10 seeds 7200s'!$A$1:$AD$1300,18, FALSE)</f>
        <v>7.4</v>
      </c>
      <c r="O42" s="20">
        <f t="shared" si="4"/>
        <v>1</v>
      </c>
      <c r="P42" s="21">
        <f t="shared" si="5"/>
        <v>1</v>
      </c>
      <c r="Q42" s="19">
        <f>VLOOKUP(CONCATENATE($A42,"_",Q$3),'10 seeds 7200s'!$A$1:$AD$1300,12, FALSE)</f>
        <v>1</v>
      </c>
      <c r="R42" s="20">
        <f>VLOOKUP(CONCATENATE($A42,"_",Q$3),'10 seeds 7200s'!$A$1:$AD$1300,14, FALSE)</f>
        <v>0</v>
      </c>
      <c r="S42" s="20">
        <f>VLOOKUP(CONCATENATE($A42,"_",Q$3),'10 seeds 7200s'!$A$1:$AD$1300,18, FALSE)</f>
        <v>7.5</v>
      </c>
      <c r="T42" s="20">
        <f t="shared" si="6"/>
        <v>1</v>
      </c>
      <c r="U42" s="21">
        <f t="shared" si="7"/>
        <v>1</v>
      </c>
    </row>
    <row r="43" spans="1:21" x14ac:dyDescent="0.25">
      <c r="A43" s="27" t="s">
        <v>72</v>
      </c>
      <c r="B43" s="19">
        <f>VLOOKUP(CONCATENATE($A43,"_",B$3),'10 seeds 7200s'!$A$1:$AD$1300,12, FALSE)</f>
        <v>1</v>
      </c>
      <c r="C43" s="20">
        <f>VLOOKUP(CONCATENATE($A43,"_",B$3),'10 seeds 7200s'!$A$1:$AD$1300,14, FALSE)</f>
        <v>0</v>
      </c>
      <c r="D43" s="20">
        <f>VLOOKUP(CONCATENATE($A43,"_",B$3),'10 seeds 7200s'!$A$1:$AD$1300,18, FALSE)</f>
        <v>3.2</v>
      </c>
      <c r="E43" s="20">
        <f t="shared" si="0"/>
        <v>1</v>
      </c>
      <c r="F43" s="21">
        <f t="shared" si="1"/>
        <v>1</v>
      </c>
      <c r="G43" s="19">
        <f>VLOOKUP(CONCATENATE($A43,"_",G$3),'Checkpoint 7'!$A$1:$AD$1300,12, FALSE)</f>
        <v>1</v>
      </c>
      <c r="H43" s="20">
        <f>VLOOKUP(CONCATENATE($A43,"_",G$3),'Checkpoint 7'!$A$1:$AD$1300,14, FALSE)</f>
        <v>0</v>
      </c>
      <c r="I43" s="20">
        <f>VLOOKUP(CONCATENATE($A43,"_",G$3),'Checkpoint 7'!$A$1:$AD$1300,18, FALSE)</f>
        <v>3.9</v>
      </c>
      <c r="J43" s="20">
        <f t="shared" si="2"/>
        <v>1</v>
      </c>
      <c r="K43" s="21">
        <f t="shared" si="3"/>
        <v>1</v>
      </c>
      <c r="L43" s="19">
        <f>VLOOKUP(CONCATENATE($A43,"_",L$3),'10 seeds 7200s'!$A$1:$AD$1300,12, FALSE)</f>
        <v>1</v>
      </c>
      <c r="M43" s="20">
        <f>VLOOKUP(CONCATENATE($A43,"_",L$3),'10 seeds 7200s'!$A$1:$AD$1300,14, FALSE)</f>
        <v>0</v>
      </c>
      <c r="N43" s="20">
        <f>VLOOKUP(CONCATENATE($A43,"_",L$3),'10 seeds 7200s'!$A$1:$AD$1300,18, FALSE)</f>
        <v>3.1</v>
      </c>
      <c r="O43" s="20">
        <f t="shared" si="4"/>
        <v>1</v>
      </c>
      <c r="P43" s="21">
        <f t="shared" si="5"/>
        <v>1</v>
      </c>
      <c r="Q43" s="19">
        <f>VLOOKUP(CONCATENATE($A43,"_",Q$3),'10 seeds 7200s'!$A$1:$AD$1300,12, FALSE)</f>
        <v>1</v>
      </c>
      <c r="R43" s="20">
        <f>VLOOKUP(CONCATENATE($A43,"_",Q$3),'10 seeds 7200s'!$A$1:$AD$1300,14, FALSE)</f>
        <v>0</v>
      </c>
      <c r="S43" s="20">
        <f>VLOOKUP(CONCATENATE($A43,"_",Q$3),'10 seeds 7200s'!$A$1:$AD$1300,18, FALSE)</f>
        <v>3.1</v>
      </c>
      <c r="T43" s="20">
        <f t="shared" si="6"/>
        <v>1</v>
      </c>
      <c r="U43" s="21">
        <f t="shared" si="7"/>
        <v>1</v>
      </c>
    </row>
    <row r="44" spans="1:21" x14ac:dyDescent="0.25">
      <c r="A44" s="27" t="s">
        <v>90</v>
      </c>
      <c r="B44" s="19">
        <f>VLOOKUP(CONCATENATE($A44,"_",B$3),'10 seeds 7200s'!$A$1:$AD$1300,12, FALSE)</f>
        <v>1</v>
      </c>
      <c r="C44" s="20">
        <f>VLOOKUP(CONCATENATE($A44,"_",B$3),'10 seeds 7200s'!$A$1:$AD$1300,14, FALSE)</f>
        <v>0</v>
      </c>
      <c r="D44" s="20">
        <f>VLOOKUP(CONCATENATE($A44,"_",B$3),'10 seeds 7200s'!$A$1:$AD$1300,18, FALSE)</f>
        <v>15.8</v>
      </c>
      <c r="E44" s="20">
        <f t="shared" si="0"/>
        <v>1</v>
      </c>
      <c r="F44" s="21">
        <f t="shared" si="1"/>
        <v>1</v>
      </c>
      <c r="G44" s="19">
        <f>VLOOKUP(CONCATENATE($A44,"_",G$3),'Checkpoint 7'!$A$1:$AD$1300,12, FALSE)</f>
        <v>1</v>
      </c>
      <c r="H44" s="20">
        <f>VLOOKUP(CONCATENATE($A44,"_",G$3),'Checkpoint 7'!$A$1:$AD$1300,14, FALSE)</f>
        <v>0</v>
      </c>
      <c r="I44" s="20">
        <f>VLOOKUP(CONCATENATE($A44,"_",G$3),'Checkpoint 7'!$A$1:$AD$1300,18, FALSE)</f>
        <v>473</v>
      </c>
      <c r="J44" s="20">
        <f t="shared" si="2"/>
        <v>1</v>
      </c>
      <c r="K44" s="21">
        <f t="shared" si="3"/>
        <v>1</v>
      </c>
      <c r="L44" s="19">
        <f>VLOOKUP(CONCATENATE($A44,"_",L$3),'10 seeds 7200s'!$A$1:$AD$1300,12, FALSE)</f>
        <v>1</v>
      </c>
      <c r="M44" s="20">
        <f>VLOOKUP(CONCATENATE($A44,"_",L$3),'10 seeds 7200s'!$A$1:$AD$1300,14, FALSE)</f>
        <v>0</v>
      </c>
      <c r="N44" s="20">
        <f>VLOOKUP(CONCATENATE($A44,"_",L$3),'10 seeds 7200s'!$A$1:$AD$1300,18, FALSE)</f>
        <v>13.9</v>
      </c>
      <c r="O44" s="20">
        <f t="shared" si="4"/>
        <v>1</v>
      </c>
      <c r="P44" s="21">
        <f t="shared" si="5"/>
        <v>1</v>
      </c>
      <c r="Q44" s="19">
        <f>VLOOKUP(CONCATENATE($A44,"_",Q$3),'10 seeds 7200s'!$A$1:$AD$1300,12, FALSE)</f>
        <v>1</v>
      </c>
      <c r="R44" s="20">
        <f>VLOOKUP(CONCATENATE($A44,"_",Q$3),'10 seeds 7200s'!$A$1:$AD$1300,14, FALSE)</f>
        <v>0</v>
      </c>
      <c r="S44" s="20">
        <f>VLOOKUP(CONCATENATE($A44,"_",Q$3),'10 seeds 7200s'!$A$1:$AD$1300,18, FALSE)</f>
        <v>15.1</v>
      </c>
      <c r="T44" s="20">
        <f t="shared" si="6"/>
        <v>1</v>
      </c>
      <c r="U44" s="21">
        <f t="shared" si="7"/>
        <v>1</v>
      </c>
    </row>
    <row r="45" spans="1:21" x14ac:dyDescent="0.25">
      <c r="A45" s="27" t="s">
        <v>129</v>
      </c>
      <c r="B45" s="19">
        <f>VLOOKUP(CONCATENATE($A45,"_",B$3),'10 seeds 7200s'!$A$1:$AD$1300,12, FALSE)</f>
        <v>1</v>
      </c>
      <c r="C45" s="20">
        <f>VLOOKUP(CONCATENATE($A45,"_",B$3),'10 seeds 7200s'!$A$1:$AD$1300,14, FALSE)</f>
        <v>0</v>
      </c>
      <c r="D45" s="20">
        <f>VLOOKUP(CONCATENATE($A45,"_",B$3),'10 seeds 7200s'!$A$1:$AD$1300,18, FALSE)</f>
        <v>887.8</v>
      </c>
      <c r="E45" s="20">
        <f t="shared" si="0"/>
        <v>1</v>
      </c>
      <c r="F45" s="21">
        <f t="shared" si="1"/>
        <v>1</v>
      </c>
      <c r="G45" s="19">
        <f>VLOOKUP(CONCATENATE($A45,"_",G$3),'Checkpoint 7'!$A$1:$AD$1300,12, FALSE)</f>
        <v>1</v>
      </c>
      <c r="H45" s="20">
        <f>VLOOKUP(CONCATENATE($A45,"_",G$3),'Checkpoint 7'!$A$1:$AD$1300,14, FALSE)</f>
        <v>0</v>
      </c>
      <c r="I45" s="20">
        <f>VLOOKUP(CONCATENATE($A45,"_",G$3),'Checkpoint 7'!$A$1:$AD$1300,18, FALSE)</f>
        <v>998.2</v>
      </c>
      <c r="J45" s="20">
        <f t="shared" si="2"/>
        <v>1</v>
      </c>
      <c r="K45" s="21">
        <f t="shared" si="3"/>
        <v>1</v>
      </c>
      <c r="L45" s="19">
        <f>VLOOKUP(CONCATENATE($A45,"_",L$3),'10 seeds 7200s'!$A$1:$AD$1300,12, FALSE)</f>
        <v>1</v>
      </c>
      <c r="M45" s="20">
        <f>VLOOKUP(CONCATENATE($A45,"_",L$3),'10 seeds 7200s'!$A$1:$AD$1300,14, FALSE)</f>
        <v>0</v>
      </c>
      <c r="N45" s="20">
        <f>VLOOKUP(CONCATENATE($A45,"_",L$3),'10 seeds 7200s'!$A$1:$AD$1300,18, FALSE)</f>
        <v>16.7</v>
      </c>
      <c r="O45" s="20">
        <f t="shared" si="4"/>
        <v>1</v>
      </c>
      <c r="P45" s="21">
        <f t="shared" si="5"/>
        <v>1</v>
      </c>
      <c r="Q45" s="19" t="e">
        <f>VLOOKUP(CONCATENATE($A45,"_",Q$3),'10 seeds 7200s'!$A$1:$AD$1300,12, FALSE)</f>
        <v>#N/A</v>
      </c>
      <c r="R45" s="20" t="e">
        <f>VLOOKUP(CONCATENATE($A45,"_",Q$3),'10 seeds 7200s'!$A$1:$AD$1300,14, FALSE)</f>
        <v>#N/A</v>
      </c>
      <c r="S45" s="20" t="e">
        <f>VLOOKUP(CONCATENATE($A45,"_",Q$3),'10 seeds 7200s'!$A$1:$AD$1300,18, FALSE)</f>
        <v>#N/A</v>
      </c>
      <c r="T45" s="20" t="e">
        <f t="shared" si="6"/>
        <v>#N/A</v>
      </c>
      <c r="U45" s="21" t="e">
        <f t="shared" si="7"/>
        <v>#N/A</v>
      </c>
    </row>
    <row r="46" spans="1:21" x14ac:dyDescent="0.25">
      <c r="A46" s="27" t="s">
        <v>54</v>
      </c>
      <c r="B46" s="19">
        <f>VLOOKUP(CONCATENATE($A46,"_",B$3),'10 seeds 7200s'!$A$1:$AD$1300,12, FALSE)</f>
        <v>1</v>
      </c>
      <c r="C46" s="20">
        <f>VLOOKUP(CONCATENATE($A46,"_",B$3),'10 seeds 7200s'!$A$1:$AD$1300,14, FALSE)</f>
        <v>0</v>
      </c>
      <c r="D46" s="20">
        <f>VLOOKUP(CONCATENATE($A46,"_",B$3),'10 seeds 7200s'!$A$1:$AD$1300,18, FALSE)</f>
        <v>7.5</v>
      </c>
      <c r="E46" s="20">
        <f t="shared" si="0"/>
        <v>1</v>
      </c>
      <c r="F46" s="21">
        <f t="shared" si="1"/>
        <v>1</v>
      </c>
      <c r="G46" s="19">
        <f>VLOOKUP(CONCATENATE($A46,"_",G$3),'Checkpoint 7'!$A$1:$AD$1300,12, FALSE)</f>
        <v>1</v>
      </c>
      <c r="H46" s="20">
        <f>VLOOKUP(CONCATENATE($A46,"_",G$3),'Checkpoint 7'!$A$1:$AD$1300,14, FALSE)</f>
        <v>0</v>
      </c>
      <c r="I46" s="20">
        <f>VLOOKUP(CONCATENATE($A46,"_",G$3),'Checkpoint 7'!$A$1:$AD$1300,18, FALSE)</f>
        <v>8.5</v>
      </c>
      <c r="J46" s="20">
        <f t="shared" si="2"/>
        <v>1</v>
      </c>
      <c r="K46" s="21">
        <f t="shared" si="3"/>
        <v>1</v>
      </c>
      <c r="L46" s="19">
        <f>VLOOKUP(CONCATENATE($A46,"_",L$3),'10 seeds 7200s'!$A$1:$AD$1300,12, FALSE)</f>
        <v>1</v>
      </c>
      <c r="M46" s="20">
        <f>VLOOKUP(CONCATENATE($A46,"_",L$3),'10 seeds 7200s'!$A$1:$AD$1300,14, FALSE)</f>
        <v>0</v>
      </c>
      <c r="N46" s="20">
        <f>VLOOKUP(CONCATENATE($A46,"_",L$3),'10 seeds 7200s'!$A$1:$AD$1300,18, FALSE)</f>
        <v>6.9</v>
      </c>
      <c r="O46" s="20">
        <f t="shared" si="4"/>
        <v>1</v>
      </c>
      <c r="P46" s="21">
        <f t="shared" si="5"/>
        <v>1</v>
      </c>
      <c r="Q46" s="19">
        <f>VLOOKUP(CONCATENATE($A46,"_",Q$3),'10 seeds 7200s'!$A$1:$AD$1300,12, FALSE)</f>
        <v>1</v>
      </c>
      <c r="R46" s="20">
        <f>VLOOKUP(CONCATENATE($A46,"_",Q$3),'10 seeds 7200s'!$A$1:$AD$1300,14, FALSE)</f>
        <v>0</v>
      </c>
      <c r="S46" s="20">
        <f>VLOOKUP(CONCATENATE($A46,"_",Q$3),'10 seeds 7200s'!$A$1:$AD$1300,18, FALSE)</f>
        <v>9.3000000000000007</v>
      </c>
      <c r="T46" s="20">
        <f t="shared" si="6"/>
        <v>1</v>
      </c>
      <c r="U46" s="21">
        <f t="shared" si="7"/>
        <v>1</v>
      </c>
    </row>
    <row r="47" spans="1:21" x14ac:dyDescent="0.25">
      <c r="A47" s="27" t="s">
        <v>82</v>
      </c>
      <c r="B47" s="19">
        <f>VLOOKUP(CONCATENATE($A47,"_",B$3),'10 seeds 7200s'!$A$1:$AD$1300,12, FALSE)</f>
        <v>1</v>
      </c>
      <c r="C47" s="20">
        <f>VLOOKUP(CONCATENATE($A47,"_",B$3),'10 seeds 7200s'!$A$1:$AD$1300,14, FALSE)</f>
        <v>7.4798E-3</v>
      </c>
      <c r="D47" s="20">
        <f>VLOOKUP(CONCATENATE($A47,"_",B$3),'10 seeds 7200s'!$A$1:$AD$1300,18, FALSE)</f>
        <v>7200.7</v>
      </c>
      <c r="E47" s="20">
        <f t="shared" si="0"/>
        <v>0</v>
      </c>
      <c r="F47" s="21">
        <f t="shared" si="1"/>
        <v>1</v>
      </c>
      <c r="G47" s="19">
        <f>VLOOKUP(CONCATENATE($A47,"_",G$3),'Checkpoint 7'!$A$1:$AD$1300,12, FALSE)</f>
        <v>1</v>
      </c>
      <c r="H47" s="20">
        <f>VLOOKUP(CONCATENATE($A47,"_",G$3),'Checkpoint 7'!$A$1:$AD$1300,14, FALSE)</f>
        <v>3.1786000000000002E-3</v>
      </c>
      <c r="I47" s="20">
        <f>VLOOKUP(CONCATENATE($A47,"_",G$3),'Checkpoint 7'!$A$1:$AD$1300,18, FALSE)</f>
        <v>7201</v>
      </c>
      <c r="J47" s="20">
        <f t="shared" si="2"/>
        <v>0</v>
      </c>
      <c r="K47" s="21">
        <f t="shared" si="3"/>
        <v>1</v>
      </c>
      <c r="L47" s="19">
        <f>VLOOKUP(CONCATENATE($A47,"_",L$3),'10 seeds 7200s'!$A$1:$AD$1300,12, FALSE)</f>
        <v>1</v>
      </c>
      <c r="M47" s="20">
        <f>VLOOKUP(CONCATENATE($A47,"_",L$3),'10 seeds 7200s'!$A$1:$AD$1300,14, FALSE)</f>
        <v>9.1331999999999993E-3</v>
      </c>
      <c r="N47" s="20">
        <f>VLOOKUP(CONCATENATE($A47,"_",L$3),'10 seeds 7200s'!$A$1:$AD$1300,18, FALSE)</f>
        <v>7200.3</v>
      </c>
      <c r="O47" s="20">
        <f t="shared" si="4"/>
        <v>0</v>
      </c>
      <c r="P47" s="21">
        <f t="shared" si="5"/>
        <v>1</v>
      </c>
      <c r="Q47" s="19" t="e">
        <f>VLOOKUP(CONCATENATE($A47,"_",Q$3),'10 seeds 7200s'!$A$1:$AD$1300,12, FALSE)</f>
        <v>#N/A</v>
      </c>
      <c r="R47" s="20" t="e">
        <f>VLOOKUP(CONCATENATE($A47,"_",Q$3),'10 seeds 7200s'!$A$1:$AD$1300,14, FALSE)</f>
        <v>#N/A</v>
      </c>
      <c r="S47" s="20" t="e">
        <f>VLOOKUP(CONCATENATE($A47,"_",Q$3),'10 seeds 7200s'!$A$1:$AD$1300,18, FALSE)</f>
        <v>#N/A</v>
      </c>
      <c r="T47" s="20" t="e">
        <f t="shared" si="6"/>
        <v>#N/A</v>
      </c>
      <c r="U47" s="21" t="e">
        <f t="shared" si="7"/>
        <v>#N/A</v>
      </c>
    </row>
    <row r="48" spans="1:21" x14ac:dyDescent="0.25">
      <c r="A48" s="27" t="s">
        <v>105</v>
      </c>
      <c r="B48" s="19">
        <f>VLOOKUP(CONCATENATE($A48,"_",B$3),'10 seeds 7200s'!$A$1:$AD$1300,12, FALSE)</f>
        <v>1</v>
      </c>
      <c r="C48" s="20">
        <f>VLOOKUP(CONCATENATE($A48,"_",B$3),'10 seeds 7200s'!$A$1:$AD$1300,14, FALSE)</f>
        <v>0</v>
      </c>
      <c r="D48" s="20">
        <f>VLOOKUP(CONCATENATE($A48,"_",B$3),'10 seeds 7200s'!$A$1:$AD$1300,18, FALSE)</f>
        <v>931.5</v>
      </c>
      <c r="E48" s="20">
        <f t="shared" si="0"/>
        <v>1</v>
      </c>
      <c r="F48" s="21">
        <f t="shared" si="1"/>
        <v>1</v>
      </c>
      <c r="G48" s="19">
        <f>VLOOKUP(CONCATENATE($A48,"_",G$3),'Checkpoint 7'!$A$1:$AD$1300,12, FALSE)</f>
        <v>1</v>
      </c>
      <c r="H48" s="20">
        <f>VLOOKUP(CONCATENATE($A48,"_",G$3),'Checkpoint 7'!$A$1:$AD$1300,14, FALSE)</f>
        <v>0</v>
      </c>
      <c r="I48" s="20">
        <f>VLOOKUP(CONCATENATE($A48,"_",G$3),'Checkpoint 7'!$A$1:$AD$1300,18, FALSE)</f>
        <v>1077.5999999999999</v>
      </c>
      <c r="J48" s="20">
        <f t="shared" si="2"/>
        <v>1</v>
      </c>
      <c r="K48" s="21">
        <f t="shared" si="3"/>
        <v>1</v>
      </c>
      <c r="L48" s="19">
        <f>VLOOKUP(CONCATENATE($A48,"_",L$3),'10 seeds 7200s'!$A$1:$AD$1300,12, FALSE)</f>
        <v>1</v>
      </c>
      <c r="M48" s="20">
        <f>VLOOKUP(CONCATENATE($A48,"_",L$3),'10 seeds 7200s'!$A$1:$AD$1300,14, FALSE)</f>
        <v>0</v>
      </c>
      <c r="N48" s="20">
        <f>VLOOKUP(CONCATENATE($A48,"_",L$3),'10 seeds 7200s'!$A$1:$AD$1300,18, FALSE)</f>
        <v>178.6</v>
      </c>
      <c r="O48" s="20">
        <f t="shared" si="4"/>
        <v>1</v>
      </c>
      <c r="P48" s="21">
        <f t="shared" si="5"/>
        <v>1</v>
      </c>
      <c r="Q48" s="19" t="e">
        <f>VLOOKUP(CONCATENATE($A48,"_",Q$3),'10 seeds 7200s'!$A$1:$AD$1300,12, FALSE)</f>
        <v>#N/A</v>
      </c>
      <c r="R48" s="20" t="e">
        <f>VLOOKUP(CONCATENATE($A48,"_",Q$3),'10 seeds 7200s'!$A$1:$AD$1300,14, FALSE)</f>
        <v>#N/A</v>
      </c>
      <c r="S48" s="20" t="e">
        <f>VLOOKUP(CONCATENATE($A48,"_",Q$3),'10 seeds 7200s'!$A$1:$AD$1300,18, FALSE)</f>
        <v>#N/A</v>
      </c>
      <c r="T48" s="20" t="e">
        <f t="shared" si="6"/>
        <v>#N/A</v>
      </c>
      <c r="U48" s="21" t="e">
        <f t="shared" si="7"/>
        <v>#N/A</v>
      </c>
    </row>
    <row r="49" spans="1:21" x14ac:dyDescent="0.25">
      <c r="A49" s="27" t="s">
        <v>44</v>
      </c>
      <c r="B49" s="19">
        <f>VLOOKUP(CONCATENATE($A49,"_",B$3),'10 seeds 7200s'!$A$1:$AD$1300,12, FALSE)</f>
        <v>0.99505129999999997</v>
      </c>
      <c r="C49" s="20">
        <f>VLOOKUP(CONCATENATE($A49,"_",B$3),'10 seeds 7200s'!$A$1:$AD$1300,14, FALSE)</f>
        <v>2.9987E-3</v>
      </c>
      <c r="D49" s="20">
        <f>VLOOKUP(CONCATENATE($A49,"_",B$3),'10 seeds 7200s'!$A$1:$AD$1300,18, FALSE)</f>
        <v>7200.4</v>
      </c>
      <c r="E49" s="20">
        <f t="shared" si="0"/>
        <v>0</v>
      </c>
      <c r="F49" s="21">
        <f t="shared" si="1"/>
        <v>0</v>
      </c>
      <c r="G49" s="19">
        <f>VLOOKUP(CONCATENATE($A49,"_",G$3),'Checkpoint 7'!$A$1:$AD$1300,12, FALSE)</f>
        <v>0.99764079999999999</v>
      </c>
      <c r="H49" s="20">
        <f>VLOOKUP(CONCATENATE($A49,"_",G$3),'Checkpoint 7'!$A$1:$AD$1300,14, FALSE)</f>
        <v>2.0704999999999999E-3</v>
      </c>
      <c r="I49" s="20">
        <f>VLOOKUP(CONCATENATE($A49,"_",G$3),'Checkpoint 7'!$A$1:$AD$1300,18, FALSE)</f>
        <v>7201.8</v>
      </c>
      <c r="J49" s="20">
        <f t="shared" si="2"/>
        <v>0</v>
      </c>
      <c r="K49" s="21">
        <f t="shared" si="3"/>
        <v>0</v>
      </c>
      <c r="L49" s="19">
        <f>VLOOKUP(CONCATENATE($A49,"_",L$3),'10 seeds 7200s'!$A$1:$AD$1300,12, FALSE)</f>
        <v>0.99837100000000001</v>
      </c>
      <c r="M49" s="20">
        <f>VLOOKUP(CONCATENATE($A49,"_",L$3),'10 seeds 7200s'!$A$1:$AD$1300,14, FALSE)</f>
        <v>1.7189E-3</v>
      </c>
      <c r="N49" s="20">
        <f>VLOOKUP(CONCATENATE($A49,"_",L$3),'10 seeds 7200s'!$A$1:$AD$1300,18, FALSE)</f>
        <v>7200.5</v>
      </c>
      <c r="O49" s="20">
        <f t="shared" si="4"/>
        <v>0</v>
      </c>
      <c r="P49" s="21">
        <f t="shared" si="5"/>
        <v>0</v>
      </c>
      <c r="Q49" s="19" t="e">
        <f>VLOOKUP(CONCATENATE($A49,"_",Q$3),'10 seeds 7200s'!$A$1:$AD$1300,12, FALSE)</f>
        <v>#N/A</v>
      </c>
      <c r="R49" s="20" t="e">
        <f>VLOOKUP(CONCATENATE($A49,"_",Q$3),'10 seeds 7200s'!$A$1:$AD$1300,14, FALSE)</f>
        <v>#N/A</v>
      </c>
      <c r="S49" s="20" t="e">
        <f>VLOOKUP(CONCATENATE($A49,"_",Q$3),'10 seeds 7200s'!$A$1:$AD$1300,18, FALSE)</f>
        <v>#N/A</v>
      </c>
      <c r="T49" s="20" t="e">
        <f t="shared" si="6"/>
        <v>#N/A</v>
      </c>
      <c r="U49" s="21" t="e">
        <f t="shared" si="7"/>
        <v>#N/A</v>
      </c>
    </row>
    <row r="50" spans="1:21" x14ac:dyDescent="0.25">
      <c r="A50" s="27" t="s">
        <v>32</v>
      </c>
      <c r="B50" s="19">
        <f>VLOOKUP(CONCATENATE($A50,"_",B$3),'10 seeds 7200s'!$A$1:$AD$1300,12, FALSE)</f>
        <v>0.99994280000000002</v>
      </c>
      <c r="C50" s="20">
        <f>VLOOKUP(CONCATENATE($A50,"_",B$3),'10 seeds 7200s'!$A$1:$AD$1300,14, FALSE)</f>
        <v>5.2930000000000002E-4</v>
      </c>
      <c r="D50" s="20">
        <f>VLOOKUP(CONCATENATE($A50,"_",B$3),'10 seeds 7200s'!$A$1:$AD$1300,18, FALSE)</f>
        <v>7221.5</v>
      </c>
      <c r="E50" s="20">
        <f t="shared" si="0"/>
        <v>0</v>
      </c>
      <c r="F50" s="21">
        <f t="shared" si="1"/>
        <v>1</v>
      </c>
      <c r="G50" s="19"/>
      <c r="H50" s="20"/>
      <c r="I50" s="20"/>
      <c r="J50" s="20">
        <f t="shared" si="2"/>
        <v>0</v>
      </c>
      <c r="K50" s="21">
        <f t="shared" si="3"/>
        <v>0</v>
      </c>
      <c r="L50" s="19">
        <f>VLOOKUP(CONCATENATE($A50,"_",L$3),'10 seeds 7200s'!$A$1:$AD$1300,12, FALSE)</f>
        <v>0.99994340000000004</v>
      </c>
      <c r="M50" s="20">
        <f>VLOOKUP(CONCATENATE($A50,"_",L$3),'10 seeds 7200s'!$A$1:$AD$1300,14, FALSE)</f>
        <v>5.2689999999999996E-4</v>
      </c>
      <c r="N50" s="20">
        <f>VLOOKUP(CONCATENATE($A50,"_",L$3),'10 seeds 7200s'!$A$1:$AD$1300,18, FALSE)</f>
        <v>7204.7</v>
      </c>
      <c r="O50" s="20">
        <f t="shared" si="4"/>
        <v>0</v>
      </c>
      <c r="P50" s="21">
        <f t="shared" si="5"/>
        <v>1</v>
      </c>
      <c r="Q50" s="19" t="e">
        <f>VLOOKUP(CONCATENATE($A50,"_",Q$3),'10 seeds 7200s'!$A$1:$AD$1300,12, FALSE)</f>
        <v>#N/A</v>
      </c>
      <c r="R50" s="20" t="e">
        <f>VLOOKUP(CONCATENATE($A50,"_",Q$3),'10 seeds 7200s'!$A$1:$AD$1300,14, FALSE)</f>
        <v>#N/A</v>
      </c>
      <c r="S50" s="20" t="e">
        <f>VLOOKUP(CONCATENATE($A50,"_",Q$3),'10 seeds 7200s'!$A$1:$AD$1300,18, FALSE)</f>
        <v>#N/A</v>
      </c>
      <c r="T50" s="20" t="e">
        <f t="shared" si="6"/>
        <v>#N/A</v>
      </c>
      <c r="U50" s="21" t="e">
        <f t="shared" si="7"/>
        <v>#N/A</v>
      </c>
    </row>
    <row r="51" spans="1:21" x14ac:dyDescent="0.25">
      <c r="A51" s="27" t="s">
        <v>65</v>
      </c>
      <c r="B51" s="19">
        <f>VLOOKUP(CONCATENATE($A51,"_",B$3),'10 seeds 7200s'!$A$1:$AD$1300,12, FALSE)</f>
        <v>0.68324050000000003</v>
      </c>
      <c r="C51" s="20">
        <f>VLOOKUP(CONCATENATE($A51,"_",B$3),'10 seeds 7200s'!$A$1:$AD$1300,14, FALSE)</f>
        <v>3.38105E-2</v>
      </c>
      <c r="D51" s="20">
        <f>VLOOKUP(CONCATENATE($A51,"_",B$3),'10 seeds 7200s'!$A$1:$AD$1300,18, FALSE)</f>
        <v>3422.9</v>
      </c>
      <c r="E51" s="20">
        <f t="shared" si="0"/>
        <v>0</v>
      </c>
      <c r="F51" s="21">
        <f t="shared" si="1"/>
        <v>0</v>
      </c>
      <c r="G51" s="19">
        <f>VLOOKUP(CONCATENATE($A51,"_",G$3),'Checkpoint 7'!$A$1:$AD$1300,12, FALSE)</f>
        <v>0.99648930000000002</v>
      </c>
      <c r="H51" s="20">
        <f>VLOOKUP(CONCATENATE($A51,"_",G$3),'Checkpoint 7'!$A$1:$AD$1300,14, FALSE)</f>
        <v>3.5595000000000002E-3</v>
      </c>
      <c r="I51" s="20">
        <f>VLOOKUP(CONCATENATE($A51,"_",G$3),'Checkpoint 7'!$A$1:$AD$1300,18, FALSE)</f>
        <v>7200.4</v>
      </c>
      <c r="J51" s="20">
        <f t="shared" si="2"/>
        <v>0</v>
      </c>
      <c r="K51" s="21">
        <f t="shared" si="3"/>
        <v>0</v>
      </c>
      <c r="L51" s="19">
        <f>VLOOKUP(CONCATENATE($A51,"_",L$3),'10 seeds 7200s'!$A$1:$AD$1300,12, FALSE)</f>
        <v>0.9925948</v>
      </c>
      <c r="M51" s="20">
        <f>VLOOKUP(CONCATENATE($A51,"_",L$3),'10 seeds 7200s'!$A$1:$AD$1300,14, FALSE)</f>
        <v>5.1643000000000001E-3</v>
      </c>
      <c r="N51" s="20">
        <f>VLOOKUP(CONCATENATE($A51,"_",L$3),'10 seeds 7200s'!$A$1:$AD$1300,18, FALSE)</f>
        <v>7200.5</v>
      </c>
      <c r="O51" s="20">
        <f t="shared" si="4"/>
        <v>0</v>
      </c>
      <c r="P51" s="21">
        <f t="shared" si="5"/>
        <v>0</v>
      </c>
      <c r="Q51" s="19" t="e">
        <f>VLOOKUP(CONCATENATE($A51,"_",Q$3),'10 seeds 7200s'!$A$1:$AD$1300,12, FALSE)</f>
        <v>#N/A</v>
      </c>
      <c r="R51" s="20" t="e">
        <f>VLOOKUP(CONCATENATE($A51,"_",Q$3),'10 seeds 7200s'!$A$1:$AD$1300,14, FALSE)</f>
        <v>#N/A</v>
      </c>
      <c r="S51" s="20" t="e">
        <f>VLOOKUP(CONCATENATE($A51,"_",Q$3),'10 seeds 7200s'!$A$1:$AD$1300,18, FALSE)</f>
        <v>#N/A</v>
      </c>
      <c r="T51" s="20" t="e">
        <f t="shared" si="6"/>
        <v>#N/A</v>
      </c>
      <c r="U51" s="21" t="e">
        <f t="shared" si="7"/>
        <v>#N/A</v>
      </c>
    </row>
    <row r="52" spans="1:21" x14ac:dyDescent="0.25">
      <c r="A52" s="27" t="s">
        <v>89</v>
      </c>
      <c r="B52" s="19">
        <f>VLOOKUP(CONCATENATE($A52,"_",B$3),'10 seeds 7200s'!$A$1:$AD$1300,12, FALSE)</f>
        <v>0.96633979999999997</v>
      </c>
      <c r="C52" s="20">
        <f>VLOOKUP(CONCATENATE($A52,"_",B$3),'10 seeds 7200s'!$A$1:$AD$1300,14, FALSE)</f>
        <v>0.1827192</v>
      </c>
      <c r="D52" s="20">
        <f>VLOOKUP(CONCATENATE($A52,"_",B$3),'10 seeds 7200s'!$A$1:$AD$1300,18, FALSE)</f>
        <v>7200.4</v>
      </c>
      <c r="E52" s="20">
        <f t="shared" si="0"/>
        <v>0</v>
      </c>
      <c r="F52" s="21">
        <f t="shared" si="1"/>
        <v>0</v>
      </c>
      <c r="G52" s="19">
        <f>VLOOKUP(CONCATENATE($A52,"_",G$3),'Checkpoint 7'!$A$1:$AD$1300,12, FALSE)</f>
        <v>0.96641569999999999</v>
      </c>
      <c r="H52" s="20">
        <f>VLOOKUP(CONCATENATE($A52,"_",G$3),'Checkpoint 7'!$A$1:$AD$1300,14, FALSE)</f>
        <v>0.18251319999999999</v>
      </c>
      <c r="I52" s="20">
        <f>VLOOKUP(CONCATENATE($A52,"_",G$3),'Checkpoint 7'!$A$1:$AD$1300,18, FALSE)</f>
        <v>7201.1</v>
      </c>
      <c r="J52" s="20">
        <f t="shared" si="2"/>
        <v>0</v>
      </c>
      <c r="K52" s="21">
        <f t="shared" si="3"/>
        <v>0</v>
      </c>
      <c r="L52" s="19">
        <f>VLOOKUP(CONCATENATE($A52,"_",L$3),'10 seeds 7200s'!$A$1:$AD$1300,12, FALSE)</f>
        <v>0.96296519999999997</v>
      </c>
      <c r="M52" s="20">
        <f>VLOOKUP(CONCATENATE($A52,"_",L$3),'10 seeds 7200s'!$A$1:$AD$1300,14, FALSE)</f>
        <v>0.19119269999999999</v>
      </c>
      <c r="N52" s="20">
        <f>VLOOKUP(CONCATENATE($A52,"_",L$3),'10 seeds 7200s'!$A$1:$AD$1300,18, FALSE)</f>
        <v>7200.5</v>
      </c>
      <c r="O52" s="20">
        <f t="shared" si="4"/>
        <v>0</v>
      </c>
      <c r="P52" s="21">
        <f t="shared" si="5"/>
        <v>0</v>
      </c>
      <c r="Q52" s="19" t="e">
        <f>VLOOKUP(CONCATENATE($A52,"_",Q$3),'10 seeds 7200s'!$A$1:$AD$1300,12, FALSE)</f>
        <v>#N/A</v>
      </c>
      <c r="R52" s="20" t="e">
        <f>VLOOKUP(CONCATENATE($A52,"_",Q$3),'10 seeds 7200s'!$A$1:$AD$1300,14, FALSE)</f>
        <v>#N/A</v>
      </c>
      <c r="S52" s="20" t="e">
        <f>VLOOKUP(CONCATENATE($A52,"_",Q$3),'10 seeds 7200s'!$A$1:$AD$1300,18, FALSE)</f>
        <v>#N/A</v>
      </c>
      <c r="T52" s="20" t="e">
        <f t="shared" si="6"/>
        <v>#N/A</v>
      </c>
      <c r="U52" s="21" t="e">
        <f t="shared" si="7"/>
        <v>#N/A</v>
      </c>
    </row>
    <row r="53" spans="1:21" x14ac:dyDescent="0.25">
      <c r="A53" s="27" t="s">
        <v>150</v>
      </c>
      <c r="B53" s="19">
        <f>VLOOKUP(CONCATENATE($A53,"_",B$3),'10 seeds 7200s'!$A$1:$AD$1300,12, FALSE)</f>
        <v>0.99314789999999997</v>
      </c>
      <c r="C53" s="20">
        <f>VLOOKUP(CONCATENATE($A53,"_",B$3),'10 seeds 7200s'!$A$1:$AD$1300,14, FALSE)</f>
        <v>1.0180700000000001E-2</v>
      </c>
      <c r="D53" s="20">
        <f>VLOOKUP(CONCATENATE($A53,"_",B$3),'10 seeds 7200s'!$A$1:$AD$1300,18, FALSE)</f>
        <v>7201</v>
      </c>
      <c r="E53" s="20">
        <f t="shared" si="0"/>
        <v>0</v>
      </c>
      <c r="F53" s="21">
        <f t="shared" si="1"/>
        <v>0</v>
      </c>
      <c r="G53" s="19">
        <f>VLOOKUP(CONCATENATE($A53,"_",G$3),'Checkpoint 7'!$A$1:$AD$1300,12, FALSE)</f>
        <v>0.99314789999999997</v>
      </c>
      <c r="H53" s="20">
        <f>VLOOKUP(CONCATENATE($A53,"_",G$3),'Checkpoint 7'!$A$1:$AD$1300,14, FALSE)</f>
        <v>1.0180700000000001E-2</v>
      </c>
      <c r="I53" s="20">
        <f>VLOOKUP(CONCATENATE($A53,"_",G$3),'Checkpoint 7'!$A$1:$AD$1300,18, FALSE)</f>
        <v>7200.7</v>
      </c>
      <c r="J53" s="20">
        <f t="shared" si="2"/>
        <v>0</v>
      </c>
      <c r="K53" s="21">
        <f t="shared" si="3"/>
        <v>0</v>
      </c>
      <c r="L53" s="19">
        <f>VLOOKUP(CONCATENATE($A53,"_",L$3),'10 seeds 7200s'!$A$1:$AD$1300,12, FALSE)</f>
        <v>0.98798569999999997</v>
      </c>
      <c r="M53" s="20">
        <f>VLOOKUP(CONCATENATE($A53,"_",L$3),'10 seeds 7200s'!$A$1:$AD$1300,14, FALSE)</f>
        <v>1.3465700000000001E-2</v>
      </c>
      <c r="N53" s="20">
        <f>VLOOKUP(CONCATENATE($A53,"_",L$3),'10 seeds 7200s'!$A$1:$AD$1300,18, FALSE)</f>
        <v>7200</v>
      </c>
      <c r="O53" s="20">
        <f t="shared" si="4"/>
        <v>0</v>
      </c>
      <c r="P53" s="21">
        <f t="shared" si="5"/>
        <v>0</v>
      </c>
      <c r="Q53" s="19" t="e">
        <f>VLOOKUP(CONCATENATE($A53,"_",Q$3),'10 seeds 7200s'!$A$1:$AD$1300,12, FALSE)</f>
        <v>#N/A</v>
      </c>
      <c r="R53" s="20" t="e">
        <f>VLOOKUP(CONCATENATE($A53,"_",Q$3),'10 seeds 7200s'!$A$1:$AD$1300,14, FALSE)</f>
        <v>#N/A</v>
      </c>
      <c r="S53" s="20" t="e">
        <f>VLOOKUP(CONCATENATE($A53,"_",Q$3),'10 seeds 7200s'!$A$1:$AD$1300,18, FALSE)</f>
        <v>#N/A</v>
      </c>
      <c r="T53" s="20" t="e">
        <f t="shared" si="6"/>
        <v>#N/A</v>
      </c>
      <c r="U53" s="21" t="e">
        <f t="shared" si="7"/>
        <v>#N/A</v>
      </c>
    </row>
    <row r="54" spans="1:21" x14ac:dyDescent="0.25">
      <c r="A54" s="27" t="s">
        <v>68</v>
      </c>
      <c r="B54" s="19">
        <f>VLOOKUP(CONCATENATE($A54,"_",B$3),'10 seeds 7200s'!$A$1:$AD$1300,12, FALSE)</f>
        <v>1</v>
      </c>
      <c r="C54" s="20">
        <f>VLOOKUP(CONCATENATE($A54,"_",B$3),'10 seeds 7200s'!$A$1:$AD$1300,14, FALSE)</f>
        <v>0</v>
      </c>
      <c r="D54" s="20">
        <f>VLOOKUP(CONCATENATE($A54,"_",B$3),'10 seeds 7200s'!$A$1:$AD$1300,18, FALSE)</f>
        <v>9.1</v>
      </c>
      <c r="E54" s="20">
        <f t="shared" si="0"/>
        <v>1</v>
      </c>
      <c r="F54" s="21">
        <f t="shared" si="1"/>
        <v>1</v>
      </c>
      <c r="G54" s="19">
        <f>VLOOKUP(CONCATENATE($A54,"_",G$3),'Checkpoint 7'!$A$1:$AD$1300,12, FALSE)</f>
        <v>1</v>
      </c>
      <c r="H54" s="20">
        <f>VLOOKUP(CONCATENATE($A54,"_",G$3),'Checkpoint 7'!$A$1:$AD$1300,14, FALSE)</f>
        <v>0</v>
      </c>
      <c r="I54" s="20">
        <f>VLOOKUP(CONCATENATE($A54,"_",G$3),'Checkpoint 7'!$A$1:$AD$1300,18, FALSE)</f>
        <v>11.1</v>
      </c>
      <c r="J54" s="20">
        <f t="shared" si="2"/>
        <v>1</v>
      </c>
      <c r="K54" s="21">
        <f t="shared" si="3"/>
        <v>1</v>
      </c>
      <c r="L54" s="19">
        <f>VLOOKUP(CONCATENATE($A54,"_",L$3),'10 seeds 7200s'!$A$1:$AD$1300,12, FALSE)</f>
        <v>1</v>
      </c>
      <c r="M54" s="20">
        <f>VLOOKUP(CONCATENATE($A54,"_",L$3),'10 seeds 7200s'!$A$1:$AD$1300,14, FALSE)</f>
        <v>0</v>
      </c>
      <c r="N54" s="20">
        <f>VLOOKUP(CONCATENATE($A54,"_",L$3),'10 seeds 7200s'!$A$1:$AD$1300,18, FALSE)</f>
        <v>8.5</v>
      </c>
      <c r="O54" s="20">
        <f t="shared" si="4"/>
        <v>1</v>
      </c>
      <c r="P54" s="21">
        <f t="shared" si="5"/>
        <v>1</v>
      </c>
      <c r="Q54" s="19">
        <f>VLOOKUP(CONCATENATE($A54,"_",Q$3),'10 seeds 7200s'!$A$1:$AD$1300,12, FALSE)</f>
        <v>1</v>
      </c>
      <c r="R54" s="20">
        <f>VLOOKUP(CONCATENATE($A54,"_",Q$3),'10 seeds 7200s'!$A$1:$AD$1300,14, FALSE)</f>
        <v>0</v>
      </c>
      <c r="S54" s="20">
        <f>VLOOKUP(CONCATENATE($A54,"_",Q$3),'10 seeds 7200s'!$A$1:$AD$1300,18, FALSE)</f>
        <v>8.4</v>
      </c>
      <c r="T54" s="20">
        <f t="shared" si="6"/>
        <v>1</v>
      </c>
      <c r="U54" s="21">
        <f t="shared" si="7"/>
        <v>1</v>
      </c>
    </row>
    <row r="55" spans="1:21" x14ac:dyDescent="0.25">
      <c r="A55" s="27" t="s">
        <v>122</v>
      </c>
      <c r="B55" s="19">
        <f>VLOOKUP(CONCATENATE($A55,"_",B$3),'10 seeds 7200s'!$A$1:$AD$1300,12, FALSE)</f>
        <v>1</v>
      </c>
      <c r="C55" s="20">
        <f>VLOOKUP(CONCATENATE($A55,"_",B$3),'10 seeds 7200s'!$A$1:$AD$1300,14, FALSE)</f>
        <v>0</v>
      </c>
      <c r="D55" s="20">
        <f>VLOOKUP(CONCATENATE($A55,"_",B$3),'10 seeds 7200s'!$A$1:$AD$1300,18, FALSE)</f>
        <v>1584.8</v>
      </c>
      <c r="E55" s="20">
        <f t="shared" si="0"/>
        <v>1</v>
      </c>
      <c r="F55" s="21">
        <f t="shared" si="1"/>
        <v>1</v>
      </c>
      <c r="G55" s="19">
        <f>VLOOKUP(CONCATENATE($A55,"_",G$3),'Checkpoint 7'!$A$1:$AD$1300,12, FALSE)</f>
        <v>1</v>
      </c>
      <c r="H55" s="20">
        <f>VLOOKUP(CONCATENATE($A55,"_",G$3),'Checkpoint 7'!$A$1:$AD$1300,14, FALSE)</f>
        <v>0</v>
      </c>
      <c r="I55" s="20">
        <f>VLOOKUP(CONCATENATE($A55,"_",G$3),'Checkpoint 7'!$A$1:$AD$1300,18, FALSE)</f>
        <v>792.6</v>
      </c>
      <c r="J55" s="20">
        <f t="shared" si="2"/>
        <v>1</v>
      </c>
      <c r="K55" s="21">
        <f t="shared" si="3"/>
        <v>1</v>
      </c>
      <c r="L55" s="19">
        <f>VLOOKUP(CONCATENATE($A55,"_",L$3),'10 seeds 7200s'!$A$1:$AD$1300,12, FALSE)</f>
        <v>1</v>
      </c>
      <c r="M55" s="20">
        <f>VLOOKUP(CONCATENATE($A55,"_",L$3),'10 seeds 7200s'!$A$1:$AD$1300,14, FALSE)</f>
        <v>0</v>
      </c>
      <c r="N55" s="20">
        <f>VLOOKUP(CONCATENATE($A55,"_",L$3),'10 seeds 7200s'!$A$1:$AD$1300,18, FALSE)</f>
        <v>1061.5999999999999</v>
      </c>
      <c r="O55" s="20">
        <f t="shared" si="4"/>
        <v>1</v>
      </c>
      <c r="P55" s="21">
        <f t="shared" si="5"/>
        <v>1</v>
      </c>
      <c r="Q55" s="19">
        <f>VLOOKUP(CONCATENATE($A55,"_",Q$3),'10 seeds 7200s'!$A$1:$AD$1300,12, FALSE)</f>
        <v>1</v>
      </c>
      <c r="R55" s="20">
        <f>VLOOKUP(CONCATENATE($A55,"_",Q$3),'10 seeds 7200s'!$A$1:$AD$1300,14, FALSE)</f>
        <v>0</v>
      </c>
      <c r="S55" s="20">
        <f>VLOOKUP(CONCATENATE($A55,"_",Q$3),'10 seeds 7200s'!$A$1:$AD$1300,18, FALSE)</f>
        <v>23.5</v>
      </c>
      <c r="T55" s="20">
        <f t="shared" si="6"/>
        <v>1</v>
      </c>
      <c r="U55" s="21">
        <f t="shared" si="7"/>
        <v>1</v>
      </c>
    </row>
    <row r="56" spans="1:21" x14ac:dyDescent="0.25">
      <c r="A56" s="27" t="s">
        <v>112</v>
      </c>
      <c r="B56" s="19">
        <f>VLOOKUP(CONCATENATE($A56,"_",B$3),'10 seeds 7200s'!$A$1:$AD$1300,12, FALSE)</f>
        <v>0.99990749999999995</v>
      </c>
      <c r="C56" s="20">
        <f>VLOOKUP(CONCATENATE($A56,"_",B$3),'10 seeds 7200s'!$A$1:$AD$1300,14, FALSE)</f>
        <v>6.7324000000000004E-3</v>
      </c>
      <c r="D56" s="20">
        <f>VLOOKUP(CONCATENATE($A56,"_",B$3),'10 seeds 7200s'!$A$1:$AD$1300,18, FALSE)</f>
        <v>7200.9</v>
      </c>
      <c r="E56" s="20">
        <f t="shared" si="0"/>
        <v>0</v>
      </c>
      <c r="F56" s="21">
        <f t="shared" si="1"/>
        <v>1</v>
      </c>
      <c r="G56" s="19">
        <f>VLOOKUP(CONCATENATE($A56,"_",G$3),'Checkpoint 7'!$A$1:$AD$1300,12, FALSE)</f>
        <v>0.99990749999999995</v>
      </c>
      <c r="H56" s="20">
        <f>VLOOKUP(CONCATENATE($A56,"_",G$3),'Checkpoint 7'!$A$1:$AD$1300,14, FALSE)</f>
        <v>6.7324000000000004E-3</v>
      </c>
      <c r="I56" s="20">
        <f>VLOOKUP(CONCATENATE($A56,"_",G$3),'Checkpoint 7'!$A$1:$AD$1300,18, FALSE)</f>
        <v>6873.1</v>
      </c>
      <c r="J56" s="20">
        <f t="shared" si="2"/>
        <v>0</v>
      </c>
      <c r="K56" s="21">
        <f t="shared" si="3"/>
        <v>1</v>
      </c>
      <c r="L56" s="19">
        <f>VLOOKUP(CONCATENATE($A56,"_",L$3),'10 seeds 7200s'!$A$1:$AD$1300,12, FALSE)</f>
        <v>0.99990570000000001</v>
      </c>
      <c r="M56" s="20">
        <f>VLOOKUP(CONCATENATE($A56,"_",L$3),'10 seeds 7200s'!$A$1:$AD$1300,14, FALSE)</f>
        <v>6.8025999999999998E-3</v>
      </c>
      <c r="N56" s="20">
        <f>VLOOKUP(CONCATENATE($A56,"_",L$3),'10 seeds 7200s'!$A$1:$AD$1300,18, FALSE)</f>
        <v>7201.3</v>
      </c>
      <c r="O56" s="20">
        <f t="shared" si="4"/>
        <v>0</v>
      </c>
      <c r="P56" s="21">
        <f t="shared" si="5"/>
        <v>1</v>
      </c>
      <c r="Q56" s="19" t="e">
        <f>VLOOKUP(CONCATENATE($A56,"_",Q$3),'10 seeds 7200s'!$A$1:$AD$1300,12, FALSE)</f>
        <v>#N/A</v>
      </c>
      <c r="R56" s="20" t="e">
        <f>VLOOKUP(CONCATENATE($A56,"_",Q$3),'10 seeds 7200s'!$A$1:$AD$1300,14, FALSE)</f>
        <v>#N/A</v>
      </c>
      <c r="S56" s="20" t="e">
        <f>VLOOKUP(CONCATENATE($A56,"_",Q$3),'10 seeds 7200s'!$A$1:$AD$1300,18, FALSE)</f>
        <v>#N/A</v>
      </c>
      <c r="T56" s="20" t="e">
        <f t="shared" si="6"/>
        <v>#N/A</v>
      </c>
      <c r="U56" s="21" t="e">
        <f t="shared" si="7"/>
        <v>#N/A</v>
      </c>
    </row>
    <row r="57" spans="1:21" x14ac:dyDescent="0.25">
      <c r="A57" s="27" t="s">
        <v>45</v>
      </c>
      <c r="B57" s="19">
        <f>VLOOKUP(CONCATENATE($A57,"_",B$3),'10 seeds 7200s'!$A$1:$AD$1300,12, FALSE)</f>
        <v>0.9999827</v>
      </c>
      <c r="C57" s="20">
        <f>VLOOKUP(CONCATENATE($A57,"_",B$3),'10 seeds 7200s'!$A$1:$AD$1300,14, FALSE)</f>
        <v>1.2126999999999999E-3</v>
      </c>
      <c r="D57" s="20">
        <f>VLOOKUP(CONCATENATE($A57,"_",B$3),'10 seeds 7200s'!$A$1:$AD$1300,18, FALSE)</f>
        <v>7207</v>
      </c>
      <c r="E57" s="20">
        <f t="shared" si="0"/>
        <v>0</v>
      </c>
      <c r="F57" s="21">
        <f t="shared" si="1"/>
        <v>1</v>
      </c>
      <c r="G57" s="19"/>
      <c r="H57" s="20"/>
      <c r="I57" s="20"/>
      <c r="J57" s="20">
        <f t="shared" si="2"/>
        <v>0</v>
      </c>
      <c r="K57" s="21">
        <f t="shared" si="3"/>
        <v>0</v>
      </c>
      <c r="L57" s="19">
        <f>VLOOKUP(CONCATENATE($A57,"_",L$3),'10 seeds 7200s'!$A$1:$AD$1300,12, FALSE)</f>
        <v>0.99998580000000004</v>
      </c>
      <c r="M57" s="20">
        <f>VLOOKUP(CONCATENATE($A57,"_",L$3),'10 seeds 7200s'!$A$1:$AD$1300,14, FALSE)</f>
        <v>1.0973000000000001E-3</v>
      </c>
      <c r="N57" s="20">
        <f>VLOOKUP(CONCATENATE($A57,"_",L$3),'10 seeds 7200s'!$A$1:$AD$1300,18, FALSE)</f>
        <v>7226.5</v>
      </c>
      <c r="O57" s="20">
        <f t="shared" si="4"/>
        <v>0</v>
      </c>
      <c r="P57" s="21">
        <f t="shared" si="5"/>
        <v>1</v>
      </c>
      <c r="Q57" s="19" t="e">
        <f>VLOOKUP(CONCATENATE($A57,"_",Q$3),'10 seeds 7200s'!$A$1:$AD$1300,12, FALSE)</f>
        <v>#N/A</v>
      </c>
      <c r="R57" s="20" t="e">
        <f>VLOOKUP(CONCATENATE($A57,"_",Q$3),'10 seeds 7200s'!$A$1:$AD$1300,14, FALSE)</f>
        <v>#N/A</v>
      </c>
      <c r="S57" s="20" t="e">
        <f>VLOOKUP(CONCATENATE($A57,"_",Q$3),'10 seeds 7200s'!$A$1:$AD$1300,18, FALSE)</f>
        <v>#N/A</v>
      </c>
      <c r="T57" s="20" t="e">
        <f t="shared" si="6"/>
        <v>#N/A</v>
      </c>
      <c r="U57" s="21" t="e">
        <f t="shared" si="7"/>
        <v>#N/A</v>
      </c>
    </row>
    <row r="58" spans="1:21" x14ac:dyDescent="0.25">
      <c r="A58" s="27" t="s">
        <v>126</v>
      </c>
      <c r="B58" s="19">
        <f>VLOOKUP(CONCATENATE($A58,"_",B$3),'10 seeds 7200s'!$A$1:$AD$1300,12, FALSE)</f>
        <v>1</v>
      </c>
      <c r="C58" s="20">
        <f>VLOOKUP(CONCATENATE($A58,"_",B$3),'10 seeds 7200s'!$A$1:$AD$1300,14, FALSE)</f>
        <v>0</v>
      </c>
      <c r="D58" s="20">
        <f>VLOOKUP(CONCATENATE($A58,"_",B$3),'10 seeds 7200s'!$A$1:$AD$1300,18, FALSE)</f>
        <v>46.6</v>
      </c>
      <c r="E58" s="20">
        <f t="shared" si="0"/>
        <v>1</v>
      </c>
      <c r="F58" s="21">
        <f t="shared" si="1"/>
        <v>1</v>
      </c>
      <c r="G58" s="19">
        <f>VLOOKUP(CONCATENATE($A58,"_",G$3),'Checkpoint 7'!$A$1:$AD$1300,12, FALSE)</f>
        <v>1</v>
      </c>
      <c r="H58" s="20">
        <f>VLOOKUP(CONCATENATE($A58,"_",G$3),'Checkpoint 7'!$A$1:$AD$1300,14, FALSE)</f>
        <v>0</v>
      </c>
      <c r="I58" s="20">
        <f>VLOOKUP(CONCATENATE($A58,"_",G$3),'Checkpoint 7'!$A$1:$AD$1300,18, FALSE)</f>
        <v>244.5</v>
      </c>
      <c r="J58" s="20">
        <f t="shared" si="2"/>
        <v>1</v>
      </c>
      <c r="K58" s="21">
        <f t="shared" si="3"/>
        <v>1</v>
      </c>
      <c r="L58" s="19">
        <f>VLOOKUP(CONCATENATE($A58,"_",L$3),'10 seeds 7200s'!$A$1:$AD$1300,12, FALSE)</f>
        <v>1</v>
      </c>
      <c r="M58" s="20">
        <f>VLOOKUP(CONCATENATE($A58,"_",L$3),'10 seeds 7200s'!$A$1:$AD$1300,14, FALSE)</f>
        <v>0</v>
      </c>
      <c r="N58" s="20">
        <f>VLOOKUP(CONCATENATE($A58,"_",L$3),'10 seeds 7200s'!$A$1:$AD$1300,18, FALSE)</f>
        <v>43.8</v>
      </c>
      <c r="O58" s="20">
        <f t="shared" si="4"/>
        <v>1</v>
      </c>
      <c r="P58" s="21">
        <f t="shared" si="5"/>
        <v>1</v>
      </c>
      <c r="Q58" s="19">
        <f>VLOOKUP(CONCATENATE($A58,"_",Q$3),'10 seeds 7200s'!$A$1:$AD$1300,12, FALSE)</f>
        <v>1</v>
      </c>
      <c r="R58" s="20">
        <f>VLOOKUP(CONCATENATE($A58,"_",Q$3),'10 seeds 7200s'!$A$1:$AD$1300,14, FALSE)</f>
        <v>0</v>
      </c>
      <c r="S58" s="20">
        <f>VLOOKUP(CONCATENATE($A58,"_",Q$3),'10 seeds 7200s'!$A$1:$AD$1300,18, FALSE)</f>
        <v>72</v>
      </c>
      <c r="T58" s="20">
        <f t="shared" si="6"/>
        <v>1</v>
      </c>
      <c r="U58" s="21">
        <f t="shared" si="7"/>
        <v>1</v>
      </c>
    </row>
    <row r="59" spans="1:21" x14ac:dyDescent="0.25">
      <c r="A59" s="27" t="s">
        <v>113</v>
      </c>
      <c r="B59" s="19">
        <f>VLOOKUP(CONCATENATE($A59,"_",B$3),'10 seeds 7200s'!$A$1:$AD$1300,12, FALSE)</f>
        <v>1</v>
      </c>
      <c r="C59" s="20">
        <f>VLOOKUP(CONCATENATE($A59,"_",B$3),'10 seeds 7200s'!$A$1:$AD$1300,14, FALSE)</f>
        <v>0</v>
      </c>
      <c r="D59" s="20">
        <f>VLOOKUP(CONCATENATE($A59,"_",B$3),'10 seeds 7200s'!$A$1:$AD$1300,18, FALSE)</f>
        <v>367.9</v>
      </c>
      <c r="E59" s="20">
        <f t="shared" si="0"/>
        <v>1</v>
      </c>
      <c r="F59" s="21">
        <f t="shared" si="1"/>
        <v>1</v>
      </c>
      <c r="G59" s="19">
        <f>VLOOKUP(CONCATENATE($A59,"_",G$3),'Checkpoint 7'!$A$1:$AD$1300,12, FALSE)</f>
        <v>1</v>
      </c>
      <c r="H59" s="20">
        <f>VLOOKUP(CONCATENATE($A59,"_",G$3),'Checkpoint 7'!$A$1:$AD$1300,14, FALSE)</f>
        <v>0</v>
      </c>
      <c r="I59" s="20">
        <f>VLOOKUP(CONCATENATE($A59,"_",G$3),'Checkpoint 7'!$A$1:$AD$1300,18, FALSE)</f>
        <v>556.9</v>
      </c>
      <c r="J59" s="20">
        <f t="shared" si="2"/>
        <v>1</v>
      </c>
      <c r="K59" s="21">
        <f t="shared" si="3"/>
        <v>1</v>
      </c>
      <c r="L59" s="19">
        <f>VLOOKUP(CONCATENATE($A59,"_",L$3),'10 seeds 7200s'!$A$1:$AD$1300,12, FALSE)</f>
        <v>1</v>
      </c>
      <c r="M59" s="20">
        <f>VLOOKUP(CONCATENATE($A59,"_",L$3),'10 seeds 7200s'!$A$1:$AD$1300,14, FALSE)</f>
        <v>0</v>
      </c>
      <c r="N59" s="20">
        <f>VLOOKUP(CONCATENATE($A59,"_",L$3),'10 seeds 7200s'!$A$1:$AD$1300,18, FALSE)</f>
        <v>239.9</v>
      </c>
      <c r="O59" s="20">
        <f t="shared" si="4"/>
        <v>1</v>
      </c>
      <c r="P59" s="21">
        <f t="shared" si="5"/>
        <v>1</v>
      </c>
      <c r="Q59" s="19">
        <f>VLOOKUP(CONCATENATE($A59,"_",Q$3),'10 seeds 7200s'!$A$1:$AD$1300,12, FALSE)</f>
        <v>1</v>
      </c>
      <c r="R59" s="20">
        <f>VLOOKUP(CONCATENATE($A59,"_",Q$3),'10 seeds 7200s'!$A$1:$AD$1300,14, FALSE)</f>
        <v>0</v>
      </c>
      <c r="S59" s="20">
        <f>VLOOKUP(CONCATENATE($A59,"_",Q$3),'10 seeds 7200s'!$A$1:$AD$1300,18, FALSE)</f>
        <v>301.39999999999998</v>
      </c>
      <c r="T59" s="20">
        <f t="shared" si="6"/>
        <v>1</v>
      </c>
      <c r="U59" s="21">
        <f t="shared" si="7"/>
        <v>1</v>
      </c>
    </row>
    <row r="60" spans="1:21" x14ac:dyDescent="0.25">
      <c r="A60" s="27" t="s">
        <v>58</v>
      </c>
      <c r="B60" s="19">
        <f>VLOOKUP(CONCATENATE($A60,"_",B$3),'10 seeds 7200s'!$A$1:$AD$1300,12, FALSE)</f>
        <v>0.99997610000000003</v>
      </c>
      <c r="C60" s="20">
        <f>VLOOKUP(CONCATENATE($A60,"_",B$3),'10 seeds 7200s'!$A$1:$AD$1300,14, FALSE)</f>
        <v>5.9487000000000003E-3</v>
      </c>
      <c r="D60" s="20">
        <f>VLOOKUP(CONCATENATE($A60,"_",B$3),'10 seeds 7200s'!$A$1:$AD$1300,18, FALSE)</f>
        <v>7201.3</v>
      </c>
      <c r="E60" s="20">
        <f t="shared" si="0"/>
        <v>0</v>
      </c>
      <c r="F60" s="21">
        <f t="shared" si="1"/>
        <v>1</v>
      </c>
      <c r="G60" s="19">
        <f>VLOOKUP(CONCATENATE($A60,"_",G$3),'Checkpoint 7'!$A$1:$AD$1300,12, FALSE)</f>
        <v>0.99997559999999996</v>
      </c>
      <c r="H60" s="20">
        <f>VLOOKUP(CONCATENATE($A60,"_",G$3),'Checkpoint 7'!$A$1:$AD$1300,14, FALSE)</f>
        <v>6.0025E-3</v>
      </c>
      <c r="I60" s="20">
        <f>VLOOKUP(CONCATENATE($A60,"_",G$3),'Checkpoint 7'!$A$1:$AD$1300,18, FALSE)</f>
        <v>6938.3</v>
      </c>
      <c r="J60" s="20">
        <f t="shared" si="2"/>
        <v>0</v>
      </c>
      <c r="K60" s="21">
        <f t="shared" si="3"/>
        <v>1</v>
      </c>
      <c r="L60" s="19" t="e">
        <f>VLOOKUP(CONCATENATE($A60,"_",L$3),'10 seeds 7200s'!$A$1:$AD$1300,12, FALSE)</f>
        <v>#N/A</v>
      </c>
      <c r="M60" s="20" t="e">
        <f>VLOOKUP(CONCATENATE($A60,"_",L$3),'10 seeds 7200s'!$A$1:$AD$1300,14, FALSE)</f>
        <v>#N/A</v>
      </c>
      <c r="N60" s="20" t="e">
        <f>VLOOKUP(CONCATENATE($A60,"_",L$3),'10 seeds 7200s'!$A$1:$AD$1300,18, FALSE)</f>
        <v>#N/A</v>
      </c>
      <c r="O60" s="20" t="e">
        <f t="shared" si="4"/>
        <v>#N/A</v>
      </c>
      <c r="P60" s="21" t="e">
        <f t="shared" si="5"/>
        <v>#N/A</v>
      </c>
      <c r="Q60" s="19" t="e">
        <f>VLOOKUP(CONCATENATE($A60,"_",Q$3),'10 seeds 7200s'!$A$1:$AD$1300,12, FALSE)</f>
        <v>#N/A</v>
      </c>
      <c r="R60" s="20" t="e">
        <f>VLOOKUP(CONCATENATE($A60,"_",Q$3),'10 seeds 7200s'!$A$1:$AD$1300,14, FALSE)</f>
        <v>#N/A</v>
      </c>
      <c r="S60" s="20" t="e">
        <f>VLOOKUP(CONCATENATE($A60,"_",Q$3),'10 seeds 7200s'!$A$1:$AD$1300,18, FALSE)</f>
        <v>#N/A</v>
      </c>
      <c r="T60" s="20" t="e">
        <f t="shared" si="6"/>
        <v>#N/A</v>
      </c>
      <c r="U60" s="21" t="e">
        <f t="shared" si="7"/>
        <v>#N/A</v>
      </c>
    </row>
    <row r="61" spans="1:21" x14ac:dyDescent="0.25">
      <c r="A61" s="27" t="s">
        <v>56</v>
      </c>
      <c r="B61" s="19">
        <f>VLOOKUP(CONCATENATE($A61,"_",B$3),'10 seeds 7200s'!$A$1:$AD$1300,12, FALSE)</f>
        <v>0.99998509999999996</v>
      </c>
      <c r="C61" s="20">
        <f>VLOOKUP(CONCATENATE($A61,"_",B$3),'10 seeds 7200s'!$A$1:$AD$1300,14, FALSE)</f>
        <v>8.1224000000000001E-3</v>
      </c>
      <c r="D61" s="20">
        <f>VLOOKUP(CONCATENATE($A61,"_",B$3),'10 seeds 7200s'!$A$1:$AD$1300,18, FALSE)</f>
        <v>7201.4</v>
      </c>
      <c r="E61" s="20">
        <f t="shared" si="0"/>
        <v>0</v>
      </c>
      <c r="F61" s="21">
        <f t="shared" si="1"/>
        <v>1</v>
      </c>
      <c r="G61" s="19">
        <f>VLOOKUP(CONCATENATE($A61,"_",G$3),'Checkpoint 7'!$A$1:$AD$1300,12, FALSE)</f>
        <v>0.99999760000000004</v>
      </c>
      <c r="H61" s="20">
        <f>VLOOKUP(CONCATENATE($A61,"_",G$3),'Checkpoint 7'!$A$1:$AD$1300,14, FALSE)</f>
        <v>3.274E-3</v>
      </c>
      <c r="I61" s="20">
        <f>VLOOKUP(CONCATENATE($A61,"_",G$3),'Checkpoint 7'!$A$1:$AD$1300,18, FALSE)</f>
        <v>7200.3</v>
      </c>
      <c r="J61" s="20">
        <f t="shared" si="2"/>
        <v>0</v>
      </c>
      <c r="K61" s="21">
        <f t="shared" si="3"/>
        <v>1</v>
      </c>
      <c r="L61" s="19">
        <f>VLOOKUP(CONCATENATE($A61,"_",L$3),'10 seeds 7200s'!$A$1:$AD$1300,12, FALSE)</f>
        <v>0.99997409999999998</v>
      </c>
      <c r="M61" s="20">
        <f>VLOOKUP(CONCATENATE($A61,"_",L$3),'10 seeds 7200s'!$A$1:$AD$1300,14, FALSE)</f>
        <v>1.07451E-2</v>
      </c>
      <c r="N61" s="20">
        <f>VLOOKUP(CONCATENATE($A61,"_",L$3),'10 seeds 7200s'!$A$1:$AD$1300,18, FALSE)</f>
        <v>7202</v>
      </c>
      <c r="O61" s="20">
        <f t="shared" si="4"/>
        <v>0</v>
      </c>
      <c r="P61" s="21">
        <f t="shared" si="5"/>
        <v>1</v>
      </c>
      <c r="Q61" s="19" t="e">
        <f>VLOOKUP(CONCATENATE($A61,"_",Q$3),'10 seeds 7200s'!$A$1:$AD$1300,12, FALSE)</f>
        <v>#N/A</v>
      </c>
      <c r="R61" s="20" t="e">
        <f>VLOOKUP(CONCATENATE($A61,"_",Q$3),'10 seeds 7200s'!$A$1:$AD$1300,14, FALSE)</f>
        <v>#N/A</v>
      </c>
      <c r="S61" s="20" t="e">
        <f>VLOOKUP(CONCATENATE($A61,"_",Q$3),'10 seeds 7200s'!$A$1:$AD$1300,18, FALSE)</f>
        <v>#N/A</v>
      </c>
      <c r="T61" s="20" t="e">
        <f t="shared" si="6"/>
        <v>#N/A</v>
      </c>
      <c r="U61" s="21" t="e">
        <f t="shared" si="7"/>
        <v>#N/A</v>
      </c>
    </row>
    <row r="62" spans="1:21" x14ac:dyDescent="0.25">
      <c r="A62" s="27" t="s">
        <v>70</v>
      </c>
      <c r="B62" s="19">
        <f>VLOOKUP(CONCATENATE($A62,"_",B$3),'10 seeds 7200s'!$A$1:$AD$1300,12, FALSE)</f>
        <v>1</v>
      </c>
      <c r="C62" s="20">
        <f>VLOOKUP(CONCATENATE($A62,"_",B$3),'10 seeds 7200s'!$A$1:$AD$1300,14, FALSE)</f>
        <v>0</v>
      </c>
      <c r="D62" s="20">
        <f>VLOOKUP(CONCATENATE($A62,"_",B$3),'10 seeds 7200s'!$A$1:$AD$1300,18, FALSE)</f>
        <v>47.4</v>
      </c>
      <c r="E62" s="20">
        <f t="shared" si="0"/>
        <v>1</v>
      </c>
      <c r="F62" s="21">
        <f t="shared" si="1"/>
        <v>1</v>
      </c>
      <c r="G62" s="19">
        <f>VLOOKUP(CONCATENATE($A62,"_",G$3),'Checkpoint 7'!$A$1:$AD$1300,12, FALSE)</f>
        <v>1</v>
      </c>
      <c r="H62" s="20">
        <f>VLOOKUP(CONCATENATE($A62,"_",G$3),'Checkpoint 7'!$A$1:$AD$1300,14, FALSE)</f>
        <v>0</v>
      </c>
      <c r="I62" s="20">
        <f>VLOOKUP(CONCATENATE($A62,"_",G$3),'Checkpoint 7'!$A$1:$AD$1300,18, FALSE)</f>
        <v>28.6</v>
      </c>
      <c r="J62" s="20">
        <f t="shared" si="2"/>
        <v>1</v>
      </c>
      <c r="K62" s="21">
        <f t="shared" si="3"/>
        <v>1</v>
      </c>
      <c r="L62" s="19">
        <f>VLOOKUP(CONCATENATE($A62,"_",L$3),'10 seeds 7200s'!$A$1:$AD$1300,12, FALSE)</f>
        <v>1</v>
      </c>
      <c r="M62" s="20">
        <f>VLOOKUP(CONCATENATE($A62,"_",L$3),'10 seeds 7200s'!$A$1:$AD$1300,14, FALSE)</f>
        <v>0</v>
      </c>
      <c r="N62" s="20">
        <f>VLOOKUP(CONCATENATE($A62,"_",L$3),'10 seeds 7200s'!$A$1:$AD$1300,18, FALSE)</f>
        <v>331</v>
      </c>
      <c r="O62" s="20">
        <f t="shared" si="4"/>
        <v>1</v>
      </c>
      <c r="P62" s="21">
        <f t="shared" si="5"/>
        <v>1</v>
      </c>
      <c r="Q62" s="19" t="e">
        <f>VLOOKUP(CONCATENATE($A62,"_",Q$3),'10 seeds 7200s'!$A$1:$AD$1300,12, FALSE)</f>
        <v>#N/A</v>
      </c>
      <c r="R62" s="20" t="e">
        <f>VLOOKUP(CONCATENATE($A62,"_",Q$3),'10 seeds 7200s'!$A$1:$AD$1300,14, FALSE)</f>
        <v>#N/A</v>
      </c>
      <c r="S62" s="20" t="e">
        <f>VLOOKUP(CONCATENATE($A62,"_",Q$3),'10 seeds 7200s'!$A$1:$AD$1300,18, FALSE)</f>
        <v>#N/A</v>
      </c>
      <c r="T62" s="20" t="e">
        <f t="shared" si="6"/>
        <v>#N/A</v>
      </c>
      <c r="U62" s="21" t="e">
        <f t="shared" si="7"/>
        <v>#N/A</v>
      </c>
    </row>
    <row r="63" spans="1:21" x14ac:dyDescent="0.25">
      <c r="A63" s="27" t="s">
        <v>69</v>
      </c>
      <c r="B63" s="19">
        <f>VLOOKUP(CONCATENATE($A63,"_",B$3),'10 seeds 7200s'!$A$1:$AD$1300,12, FALSE)</f>
        <v>1</v>
      </c>
      <c r="C63" s="20">
        <f>VLOOKUP(CONCATENATE($A63,"_",B$3),'10 seeds 7200s'!$A$1:$AD$1300,14, FALSE)</f>
        <v>0</v>
      </c>
      <c r="D63" s="20">
        <f>VLOOKUP(CONCATENATE($A63,"_",B$3),'10 seeds 7200s'!$A$1:$AD$1300,18, FALSE)</f>
        <v>15.1</v>
      </c>
      <c r="E63" s="20">
        <f t="shared" si="0"/>
        <v>1</v>
      </c>
      <c r="F63" s="21">
        <f t="shared" si="1"/>
        <v>1</v>
      </c>
      <c r="G63" s="19">
        <f>VLOOKUP(CONCATENATE($A63,"_",G$3),'Checkpoint 7'!$A$1:$AD$1300,12, FALSE)</f>
        <v>1</v>
      </c>
      <c r="H63" s="20">
        <f>VLOOKUP(CONCATENATE($A63,"_",G$3),'Checkpoint 7'!$A$1:$AD$1300,14, FALSE)</f>
        <v>0</v>
      </c>
      <c r="I63" s="20">
        <f>VLOOKUP(CONCATENATE($A63,"_",G$3),'Checkpoint 7'!$A$1:$AD$1300,18, FALSE)</f>
        <v>26.4</v>
      </c>
      <c r="J63" s="20">
        <f t="shared" si="2"/>
        <v>1</v>
      </c>
      <c r="K63" s="21">
        <f t="shared" si="3"/>
        <v>1</v>
      </c>
      <c r="L63" s="19">
        <f>VLOOKUP(CONCATENATE($A63,"_",L$3),'10 seeds 7200s'!$A$1:$AD$1300,12, FALSE)</f>
        <v>1</v>
      </c>
      <c r="M63" s="20">
        <f>VLOOKUP(CONCATENATE($A63,"_",L$3),'10 seeds 7200s'!$A$1:$AD$1300,14, FALSE)</f>
        <v>0</v>
      </c>
      <c r="N63" s="20">
        <f>VLOOKUP(CONCATENATE($A63,"_",L$3),'10 seeds 7200s'!$A$1:$AD$1300,18, FALSE)</f>
        <v>362.8</v>
      </c>
      <c r="O63" s="20">
        <f t="shared" si="4"/>
        <v>1</v>
      </c>
      <c r="P63" s="21">
        <f t="shared" si="5"/>
        <v>1</v>
      </c>
      <c r="Q63" s="19">
        <f>VLOOKUP(CONCATENATE($A63,"_",Q$3),'10 seeds 7200s'!$A$1:$AD$1300,12, FALSE)</f>
        <v>1</v>
      </c>
      <c r="R63" s="20">
        <f>VLOOKUP(CONCATENATE($A63,"_",Q$3),'10 seeds 7200s'!$A$1:$AD$1300,14, FALSE)</f>
        <v>0</v>
      </c>
      <c r="S63" s="20">
        <f>VLOOKUP(CONCATENATE($A63,"_",Q$3),'10 seeds 7200s'!$A$1:$AD$1300,18, FALSE)</f>
        <v>33</v>
      </c>
      <c r="T63" s="20">
        <f t="shared" si="6"/>
        <v>1</v>
      </c>
      <c r="U63" s="21">
        <f t="shared" si="7"/>
        <v>1</v>
      </c>
    </row>
    <row r="64" spans="1:21" x14ac:dyDescent="0.25">
      <c r="A64" s="27" t="s">
        <v>127</v>
      </c>
      <c r="B64" s="19">
        <f>VLOOKUP(CONCATENATE($A64,"_",B$3),'10 seeds 7200s'!$A$1:$AD$1300,12, FALSE)</f>
        <v>0.98671540000000002</v>
      </c>
      <c r="C64" s="20">
        <f>VLOOKUP(CONCATENATE($A64,"_",B$3),'10 seeds 7200s'!$A$1:$AD$1300,14, FALSE)</f>
        <v>0.86621579999999998</v>
      </c>
      <c r="D64" s="20">
        <f>VLOOKUP(CONCATENATE($A64,"_",B$3),'10 seeds 7200s'!$A$1:$AD$1300,18, FALSE)</f>
        <v>7202</v>
      </c>
      <c r="E64" s="20">
        <f t="shared" si="0"/>
        <v>0</v>
      </c>
      <c r="F64" s="21">
        <f t="shared" si="1"/>
        <v>0</v>
      </c>
      <c r="G64" s="19">
        <f>VLOOKUP(CONCATENATE($A64,"_",G$3),'Checkpoint 7'!$A$1:$AD$1300,12, FALSE)</f>
        <v>0.98645930000000004</v>
      </c>
      <c r="H64" s="20">
        <f>VLOOKUP(CONCATENATE($A64,"_",G$3),'Checkpoint 7'!$A$1:$AD$1300,14, FALSE)</f>
        <v>0.87452770000000002</v>
      </c>
      <c r="I64" s="20">
        <f>VLOOKUP(CONCATENATE($A64,"_",G$3),'Checkpoint 7'!$A$1:$AD$1300,18, FALSE)</f>
        <v>7201.3</v>
      </c>
      <c r="J64" s="20">
        <f t="shared" si="2"/>
        <v>0</v>
      </c>
      <c r="K64" s="21">
        <f t="shared" si="3"/>
        <v>0</v>
      </c>
      <c r="L64" s="19">
        <f>VLOOKUP(CONCATENATE($A64,"_",L$3),'10 seeds 7200s'!$A$1:$AD$1300,12, FALSE)</f>
        <v>0.99512800000000001</v>
      </c>
      <c r="M64" s="20">
        <f>VLOOKUP(CONCATENATE($A64,"_",L$3),'10 seeds 7200s'!$A$1:$AD$1300,14, FALSE)</f>
        <v>0.52479279999999995</v>
      </c>
      <c r="N64" s="20">
        <f>VLOOKUP(CONCATENATE($A64,"_",L$3),'10 seeds 7200s'!$A$1:$AD$1300,18, FALSE)</f>
        <v>7201.1</v>
      </c>
      <c r="O64" s="20">
        <f t="shared" si="4"/>
        <v>0</v>
      </c>
      <c r="P64" s="21">
        <f t="shared" si="5"/>
        <v>0</v>
      </c>
      <c r="Q64" s="19" t="e">
        <f>VLOOKUP(CONCATENATE($A64,"_",Q$3),'10 seeds 7200s'!$A$1:$AD$1300,12, FALSE)</f>
        <v>#N/A</v>
      </c>
      <c r="R64" s="20" t="e">
        <f>VLOOKUP(CONCATENATE($A64,"_",Q$3),'10 seeds 7200s'!$A$1:$AD$1300,14, FALSE)</f>
        <v>#N/A</v>
      </c>
      <c r="S64" s="20" t="e">
        <f>VLOOKUP(CONCATENATE($A64,"_",Q$3),'10 seeds 7200s'!$A$1:$AD$1300,18, FALSE)</f>
        <v>#N/A</v>
      </c>
      <c r="T64" s="20" t="e">
        <f t="shared" si="6"/>
        <v>#N/A</v>
      </c>
      <c r="U64" s="21" t="e">
        <f t="shared" si="7"/>
        <v>#N/A</v>
      </c>
    </row>
    <row r="65" spans="1:21" x14ac:dyDescent="0.25">
      <c r="A65" s="27" t="s">
        <v>134</v>
      </c>
      <c r="B65" s="19">
        <f>VLOOKUP(CONCATENATE($A65,"_",B$3),'10 seeds 7200s'!$A$1:$AD$1300,12, FALSE)</f>
        <v>1</v>
      </c>
      <c r="C65" s="20">
        <f>VLOOKUP(CONCATENATE($A65,"_",B$3),'10 seeds 7200s'!$A$1:$AD$1300,14, FALSE)</f>
        <v>0</v>
      </c>
      <c r="D65" s="20">
        <f>VLOOKUP(CONCATENATE($A65,"_",B$3),'10 seeds 7200s'!$A$1:$AD$1300,18, FALSE)</f>
        <v>1579.8</v>
      </c>
      <c r="E65" s="20">
        <f t="shared" si="0"/>
        <v>1</v>
      </c>
      <c r="F65" s="21">
        <f t="shared" si="1"/>
        <v>1</v>
      </c>
      <c r="G65" s="19">
        <f>VLOOKUP(CONCATENATE($A65,"_",G$3),'Checkpoint 7'!$A$1:$AD$1300,12, FALSE)</f>
        <v>1</v>
      </c>
      <c r="H65" s="20">
        <f>VLOOKUP(CONCATENATE($A65,"_",G$3),'Checkpoint 7'!$A$1:$AD$1300,14, FALSE)</f>
        <v>0</v>
      </c>
      <c r="I65" s="20">
        <f>VLOOKUP(CONCATENATE($A65,"_",G$3),'Checkpoint 7'!$A$1:$AD$1300,18, FALSE)</f>
        <v>57.9</v>
      </c>
      <c r="J65" s="20">
        <f t="shared" si="2"/>
        <v>1</v>
      </c>
      <c r="K65" s="21">
        <f t="shared" si="3"/>
        <v>1</v>
      </c>
      <c r="L65" s="19">
        <f>VLOOKUP(CONCATENATE($A65,"_",L$3),'10 seeds 7200s'!$A$1:$AD$1300,12, FALSE)</f>
        <v>0.99798109999999995</v>
      </c>
      <c r="M65" s="20">
        <f>VLOOKUP(CONCATENATE($A65,"_",L$3),'10 seeds 7200s'!$A$1:$AD$1300,14, FALSE)</f>
        <v>2.1765999999999999E-3</v>
      </c>
      <c r="N65" s="20">
        <f>VLOOKUP(CONCATENATE($A65,"_",L$3),'10 seeds 7200s'!$A$1:$AD$1300,18, FALSE)</f>
        <v>7202.7</v>
      </c>
      <c r="O65" s="20">
        <f t="shared" si="4"/>
        <v>0</v>
      </c>
      <c r="P65" s="21">
        <f t="shared" si="5"/>
        <v>0</v>
      </c>
      <c r="Q65" s="19" t="e">
        <f>VLOOKUP(CONCATENATE($A65,"_",Q$3),'10 seeds 7200s'!$A$1:$AD$1300,12, FALSE)</f>
        <v>#N/A</v>
      </c>
      <c r="R65" s="20" t="e">
        <f>VLOOKUP(CONCATENATE($A65,"_",Q$3),'10 seeds 7200s'!$A$1:$AD$1300,14, FALSE)</f>
        <v>#N/A</v>
      </c>
      <c r="S65" s="20" t="e">
        <f>VLOOKUP(CONCATENATE($A65,"_",Q$3),'10 seeds 7200s'!$A$1:$AD$1300,18, FALSE)</f>
        <v>#N/A</v>
      </c>
      <c r="T65" s="20" t="e">
        <f t="shared" si="6"/>
        <v>#N/A</v>
      </c>
      <c r="U65" s="21" t="e">
        <f t="shared" si="7"/>
        <v>#N/A</v>
      </c>
    </row>
    <row r="66" spans="1:21" x14ac:dyDescent="0.25">
      <c r="A66" s="27" t="s">
        <v>49</v>
      </c>
      <c r="B66" s="19">
        <f>VLOOKUP(CONCATENATE($A66,"_",B$3),'10 seeds 7200s'!$A$1:$AD$1300,12, FALSE)</f>
        <v>0.99997119999999995</v>
      </c>
      <c r="C66" s="20">
        <f>VLOOKUP(CONCATENATE($A66,"_",B$3),'10 seeds 7200s'!$A$1:$AD$1300,14, FALSE)</f>
        <v>4.6220999999999996E-3</v>
      </c>
      <c r="D66" s="20">
        <f>VLOOKUP(CONCATENATE($A66,"_",B$3),'10 seeds 7200s'!$A$1:$AD$1300,18, FALSE)</f>
        <v>7202.3</v>
      </c>
      <c r="E66" s="20">
        <f t="shared" si="0"/>
        <v>0</v>
      </c>
      <c r="F66" s="21">
        <f t="shared" si="1"/>
        <v>1</v>
      </c>
      <c r="G66" s="19">
        <f>VLOOKUP(CONCATENATE($A66,"_",G$3),'Checkpoint 7'!$A$1:$AD$1300,12, FALSE)</f>
        <v>0.99997119999999995</v>
      </c>
      <c r="H66" s="20">
        <f>VLOOKUP(CONCATENATE($A66,"_",G$3),'Checkpoint 7'!$A$1:$AD$1300,14, FALSE)</f>
        <v>4.6220999999999996E-3</v>
      </c>
      <c r="I66" s="20">
        <f>VLOOKUP(CONCATENATE($A66,"_",G$3),'Checkpoint 7'!$A$1:$AD$1300,18, FALSE)</f>
        <v>6144</v>
      </c>
      <c r="J66" s="20">
        <f t="shared" si="2"/>
        <v>0</v>
      </c>
      <c r="K66" s="21">
        <f t="shared" si="3"/>
        <v>1</v>
      </c>
      <c r="L66" s="19" t="e">
        <f>VLOOKUP(CONCATENATE($A66,"_",L$3),'10 seeds 7200s'!$A$1:$AD$1300,12, FALSE)</f>
        <v>#N/A</v>
      </c>
      <c r="M66" s="20" t="e">
        <f>VLOOKUP(CONCATENATE($A66,"_",L$3),'10 seeds 7200s'!$A$1:$AD$1300,14, FALSE)</f>
        <v>#N/A</v>
      </c>
      <c r="N66" s="20" t="e">
        <f>VLOOKUP(CONCATENATE($A66,"_",L$3),'10 seeds 7200s'!$A$1:$AD$1300,18, FALSE)</f>
        <v>#N/A</v>
      </c>
      <c r="O66" s="20" t="e">
        <f t="shared" si="4"/>
        <v>#N/A</v>
      </c>
      <c r="P66" s="21" t="e">
        <f t="shared" si="5"/>
        <v>#N/A</v>
      </c>
      <c r="Q66" s="19" t="e">
        <f>VLOOKUP(CONCATENATE($A66,"_",Q$3),'10 seeds 7200s'!$A$1:$AD$1300,12, FALSE)</f>
        <v>#N/A</v>
      </c>
      <c r="R66" s="20" t="e">
        <f>VLOOKUP(CONCATENATE($A66,"_",Q$3),'10 seeds 7200s'!$A$1:$AD$1300,14, FALSE)</f>
        <v>#N/A</v>
      </c>
      <c r="S66" s="20" t="e">
        <f>VLOOKUP(CONCATENATE($A66,"_",Q$3),'10 seeds 7200s'!$A$1:$AD$1300,18, FALSE)</f>
        <v>#N/A</v>
      </c>
      <c r="T66" s="20" t="e">
        <f t="shared" si="6"/>
        <v>#N/A</v>
      </c>
      <c r="U66" s="21" t="e">
        <f t="shared" si="7"/>
        <v>#N/A</v>
      </c>
    </row>
    <row r="67" spans="1:21" x14ac:dyDescent="0.25">
      <c r="A67" s="27" t="s">
        <v>79</v>
      </c>
      <c r="B67" s="19">
        <f>VLOOKUP(CONCATENATE($A67,"_",B$3),'10 seeds 7200s'!$A$1:$AD$1300,12, FALSE)</f>
        <v>1</v>
      </c>
      <c r="C67" s="20">
        <f>VLOOKUP(CONCATENATE($A67,"_",B$3),'10 seeds 7200s'!$A$1:$AD$1300,14, FALSE)</f>
        <v>0</v>
      </c>
      <c r="D67" s="20">
        <f>VLOOKUP(CONCATENATE($A67,"_",B$3),'10 seeds 7200s'!$A$1:$AD$1300,18, FALSE)</f>
        <v>25.2</v>
      </c>
      <c r="E67" s="20">
        <f t="shared" si="0"/>
        <v>1</v>
      </c>
      <c r="F67" s="21">
        <f t="shared" si="1"/>
        <v>1</v>
      </c>
      <c r="G67" s="19">
        <f>VLOOKUP(CONCATENATE($A67,"_",G$3),'Checkpoint 7'!$A$1:$AD$1300,12, FALSE)</f>
        <v>1</v>
      </c>
      <c r="H67" s="20">
        <f>VLOOKUP(CONCATENATE($A67,"_",G$3),'Checkpoint 7'!$A$1:$AD$1300,14, FALSE)</f>
        <v>0</v>
      </c>
      <c r="I67" s="20">
        <f>VLOOKUP(CONCATENATE($A67,"_",G$3),'Checkpoint 7'!$A$1:$AD$1300,18, FALSE)</f>
        <v>26.6</v>
      </c>
      <c r="J67" s="20">
        <f t="shared" si="2"/>
        <v>1</v>
      </c>
      <c r="K67" s="21">
        <f t="shared" si="3"/>
        <v>1</v>
      </c>
      <c r="L67" s="19">
        <f>VLOOKUP(CONCATENATE($A67,"_",L$3),'10 seeds 7200s'!$A$1:$AD$1300,12, FALSE)</f>
        <v>1</v>
      </c>
      <c r="M67" s="20">
        <f>VLOOKUP(CONCATENATE($A67,"_",L$3),'10 seeds 7200s'!$A$1:$AD$1300,14, FALSE)</f>
        <v>0</v>
      </c>
      <c r="N67" s="20">
        <f>VLOOKUP(CONCATENATE($A67,"_",L$3),'10 seeds 7200s'!$A$1:$AD$1300,18, FALSE)</f>
        <v>6.1</v>
      </c>
      <c r="O67" s="20">
        <f t="shared" si="4"/>
        <v>1</v>
      </c>
      <c r="P67" s="21">
        <f t="shared" si="5"/>
        <v>1</v>
      </c>
      <c r="Q67" s="19">
        <f>VLOOKUP(CONCATENATE($A67,"_",Q$3),'10 seeds 7200s'!$A$1:$AD$1300,12, FALSE)</f>
        <v>1</v>
      </c>
      <c r="R67" s="20">
        <f>VLOOKUP(CONCATENATE($A67,"_",Q$3),'10 seeds 7200s'!$A$1:$AD$1300,14, FALSE)</f>
        <v>0</v>
      </c>
      <c r="S67" s="20">
        <f>VLOOKUP(CONCATENATE($A67,"_",Q$3),'10 seeds 7200s'!$A$1:$AD$1300,18, FALSE)</f>
        <v>5.7</v>
      </c>
      <c r="T67" s="20">
        <f t="shared" si="6"/>
        <v>1</v>
      </c>
      <c r="U67" s="21">
        <f t="shared" si="7"/>
        <v>1</v>
      </c>
    </row>
    <row r="68" spans="1:21" x14ac:dyDescent="0.25">
      <c r="A68" s="27" t="s">
        <v>43</v>
      </c>
      <c r="B68" s="19">
        <f>VLOOKUP(CONCATENATE($A68,"_",B$3),'10 seeds 7200s'!$A$1:$AD$1300,12, FALSE)</f>
        <v>1</v>
      </c>
      <c r="C68" s="20">
        <f>VLOOKUP(CONCATENATE($A68,"_",B$3),'10 seeds 7200s'!$A$1:$AD$1300,14, FALSE)</f>
        <v>0</v>
      </c>
      <c r="D68" s="20">
        <f>VLOOKUP(CONCATENATE($A68,"_",B$3),'10 seeds 7200s'!$A$1:$AD$1300,18, FALSE)</f>
        <v>3.3</v>
      </c>
      <c r="E68" s="20">
        <f t="shared" si="0"/>
        <v>1</v>
      </c>
      <c r="F68" s="21">
        <f t="shared" si="1"/>
        <v>1</v>
      </c>
      <c r="G68" s="19">
        <f>VLOOKUP(CONCATENATE($A68,"_",G$3),'Checkpoint 7'!$A$1:$AD$1300,12, FALSE)</f>
        <v>1</v>
      </c>
      <c r="H68" s="20">
        <f>VLOOKUP(CONCATENATE($A68,"_",G$3),'Checkpoint 7'!$A$1:$AD$1300,14, FALSE)</f>
        <v>0</v>
      </c>
      <c r="I68" s="20">
        <f>VLOOKUP(CONCATENATE($A68,"_",G$3),'Checkpoint 7'!$A$1:$AD$1300,18, FALSE)</f>
        <v>3.6</v>
      </c>
      <c r="J68" s="20">
        <f t="shared" si="2"/>
        <v>1</v>
      </c>
      <c r="K68" s="21">
        <f t="shared" si="3"/>
        <v>1</v>
      </c>
      <c r="L68" s="19">
        <f>VLOOKUP(CONCATENATE($A68,"_",L$3),'10 seeds 7200s'!$A$1:$AD$1300,12, FALSE)</f>
        <v>1</v>
      </c>
      <c r="M68" s="20">
        <f>VLOOKUP(CONCATENATE($A68,"_",L$3),'10 seeds 7200s'!$A$1:$AD$1300,14, FALSE)</f>
        <v>0</v>
      </c>
      <c r="N68" s="20">
        <f>VLOOKUP(CONCATENATE($A68,"_",L$3),'10 seeds 7200s'!$A$1:$AD$1300,18, FALSE)</f>
        <v>2.6</v>
      </c>
      <c r="O68" s="20">
        <f t="shared" si="4"/>
        <v>1</v>
      </c>
      <c r="P68" s="21">
        <f t="shared" si="5"/>
        <v>1</v>
      </c>
      <c r="Q68" s="19">
        <f>VLOOKUP(CONCATENATE($A68,"_",Q$3),'10 seeds 7200s'!$A$1:$AD$1300,12, FALSE)</f>
        <v>1</v>
      </c>
      <c r="R68" s="20">
        <f>VLOOKUP(CONCATENATE($A68,"_",Q$3),'10 seeds 7200s'!$A$1:$AD$1300,14, FALSE)</f>
        <v>0</v>
      </c>
      <c r="S68" s="20">
        <f>VLOOKUP(CONCATENATE($A68,"_",Q$3),'10 seeds 7200s'!$A$1:$AD$1300,18, FALSE)</f>
        <v>3</v>
      </c>
      <c r="T68" s="20">
        <f t="shared" si="6"/>
        <v>1</v>
      </c>
      <c r="U68" s="21">
        <f t="shared" si="7"/>
        <v>1</v>
      </c>
    </row>
    <row r="69" spans="1:21" x14ac:dyDescent="0.25">
      <c r="A69" s="27" t="s">
        <v>46</v>
      </c>
      <c r="B69" s="19">
        <f>VLOOKUP(CONCATENATE($A69,"_",B$3),'10 seeds 7200s'!$A$1:$AD$1300,12, FALSE)</f>
        <v>1</v>
      </c>
      <c r="C69" s="20">
        <f>VLOOKUP(CONCATENATE($A69,"_",B$3),'10 seeds 7200s'!$A$1:$AD$1300,14, FALSE)</f>
        <v>0</v>
      </c>
      <c r="D69" s="20">
        <f>VLOOKUP(CONCATENATE($A69,"_",B$3),'10 seeds 7200s'!$A$1:$AD$1300,18, FALSE)</f>
        <v>3.4</v>
      </c>
      <c r="E69" s="20">
        <f t="shared" si="0"/>
        <v>1</v>
      </c>
      <c r="F69" s="21">
        <f t="shared" si="1"/>
        <v>1</v>
      </c>
      <c r="G69" s="19">
        <f>VLOOKUP(CONCATENATE($A69,"_",G$3),'Checkpoint 7'!$A$1:$AD$1300,12, FALSE)</f>
        <v>1</v>
      </c>
      <c r="H69" s="20">
        <f>VLOOKUP(CONCATENATE($A69,"_",G$3),'Checkpoint 7'!$A$1:$AD$1300,14, FALSE)</f>
        <v>0</v>
      </c>
      <c r="I69" s="20">
        <f>VLOOKUP(CONCATENATE($A69,"_",G$3),'Checkpoint 7'!$A$1:$AD$1300,18, FALSE)</f>
        <v>4</v>
      </c>
      <c r="J69" s="20">
        <f t="shared" si="2"/>
        <v>1</v>
      </c>
      <c r="K69" s="21">
        <f t="shared" si="3"/>
        <v>1</v>
      </c>
      <c r="L69" s="19">
        <f>VLOOKUP(CONCATENATE($A69,"_",L$3),'10 seeds 7200s'!$A$1:$AD$1300,12, FALSE)</f>
        <v>1</v>
      </c>
      <c r="M69" s="20">
        <f>VLOOKUP(CONCATENATE($A69,"_",L$3),'10 seeds 7200s'!$A$1:$AD$1300,14, FALSE)</f>
        <v>0</v>
      </c>
      <c r="N69" s="20">
        <f>VLOOKUP(CONCATENATE($A69,"_",L$3),'10 seeds 7200s'!$A$1:$AD$1300,18, FALSE)</f>
        <v>3.1</v>
      </c>
      <c r="O69" s="20">
        <f t="shared" si="4"/>
        <v>1</v>
      </c>
      <c r="P69" s="21">
        <f t="shared" si="5"/>
        <v>1</v>
      </c>
      <c r="Q69" s="19">
        <f>VLOOKUP(CONCATENATE($A69,"_",Q$3),'10 seeds 7200s'!$A$1:$AD$1300,12, FALSE)</f>
        <v>1</v>
      </c>
      <c r="R69" s="20">
        <f>VLOOKUP(CONCATENATE($A69,"_",Q$3),'10 seeds 7200s'!$A$1:$AD$1300,14, FALSE)</f>
        <v>0</v>
      </c>
      <c r="S69" s="20">
        <f>VLOOKUP(CONCATENATE($A69,"_",Q$3),'10 seeds 7200s'!$A$1:$AD$1300,18, FALSE)</f>
        <v>3</v>
      </c>
      <c r="T69" s="20">
        <f t="shared" si="6"/>
        <v>1</v>
      </c>
      <c r="U69" s="21">
        <f t="shared" si="7"/>
        <v>1</v>
      </c>
    </row>
    <row r="70" spans="1:21" x14ac:dyDescent="0.25">
      <c r="A70" s="27" t="s">
        <v>95</v>
      </c>
      <c r="B70" s="19">
        <f>VLOOKUP(CONCATENATE($A70,"_",B$3),'10 seeds 7200s'!$A$1:$AD$1300,12, FALSE)</f>
        <v>1</v>
      </c>
      <c r="C70" s="20">
        <f>VLOOKUP(CONCATENATE($A70,"_",B$3),'10 seeds 7200s'!$A$1:$AD$1300,14, FALSE)</f>
        <v>0</v>
      </c>
      <c r="D70" s="20">
        <f>VLOOKUP(CONCATENATE($A70,"_",B$3),'10 seeds 7200s'!$A$1:$AD$1300,18, FALSE)</f>
        <v>8</v>
      </c>
      <c r="E70" s="20">
        <f t="shared" ref="E70:E133" si="8">IF(AND(B70=1,C70=0),1,0)</f>
        <v>1</v>
      </c>
      <c r="F70" s="21">
        <f t="shared" ref="F70:F133" si="9">IF(B70&gt;0.999,1,0)</f>
        <v>1</v>
      </c>
      <c r="G70" s="19">
        <f>VLOOKUP(CONCATENATE($A70,"_",G$3),'Checkpoint 7'!$A$1:$AD$1300,12, FALSE)</f>
        <v>1</v>
      </c>
      <c r="H70" s="20">
        <f>VLOOKUP(CONCATENATE($A70,"_",G$3),'Checkpoint 7'!$A$1:$AD$1300,14, FALSE)</f>
        <v>0</v>
      </c>
      <c r="I70" s="20">
        <f>VLOOKUP(CONCATENATE($A70,"_",G$3),'Checkpoint 7'!$A$1:$AD$1300,18, FALSE)</f>
        <v>8.8000000000000007</v>
      </c>
      <c r="J70" s="20">
        <f t="shared" ref="J70:J133" si="10">IF(AND(G70=1,H70=0),1,0)</f>
        <v>1</v>
      </c>
      <c r="K70" s="21">
        <f t="shared" ref="K70:K133" si="11">IF(G70&gt;0.999,1,0)</f>
        <v>1</v>
      </c>
      <c r="L70" s="19">
        <f>VLOOKUP(CONCATENATE($A70,"_",L$3),'10 seeds 7200s'!$A$1:$AD$1300,12, FALSE)</f>
        <v>1</v>
      </c>
      <c r="M70" s="20">
        <f>VLOOKUP(CONCATENATE($A70,"_",L$3),'10 seeds 7200s'!$A$1:$AD$1300,14, FALSE)</f>
        <v>0</v>
      </c>
      <c r="N70" s="20">
        <f>VLOOKUP(CONCATENATE($A70,"_",L$3),'10 seeds 7200s'!$A$1:$AD$1300,18, FALSE)</f>
        <v>7.9</v>
      </c>
      <c r="O70" s="20">
        <f t="shared" ref="O70:O133" si="12">IF(AND(L70=1,M70=0),1,0)</f>
        <v>1</v>
      </c>
      <c r="P70" s="21">
        <f t="shared" ref="P70:P133" si="13">IF(L70&gt;0.999,1,0)</f>
        <v>1</v>
      </c>
      <c r="Q70" s="19">
        <f>VLOOKUP(CONCATENATE($A70,"_",Q$3),'10 seeds 7200s'!$A$1:$AD$1300,12, FALSE)</f>
        <v>1</v>
      </c>
      <c r="R70" s="20">
        <f>VLOOKUP(CONCATENATE($A70,"_",Q$3),'10 seeds 7200s'!$A$1:$AD$1300,14, FALSE)</f>
        <v>0</v>
      </c>
      <c r="S70" s="20">
        <f>VLOOKUP(CONCATENATE($A70,"_",Q$3),'10 seeds 7200s'!$A$1:$AD$1300,18, FALSE)</f>
        <v>7.6</v>
      </c>
      <c r="T70" s="20">
        <f t="shared" ref="T70:T133" si="14">IF(AND(Q70=1,R70=0),1,0)</f>
        <v>1</v>
      </c>
      <c r="U70" s="21">
        <f t="shared" ref="U70:U133" si="15">IF(Q70&gt;0.999,1,0)</f>
        <v>1</v>
      </c>
    </row>
    <row r="71" spans="1:21" x14ac:dyDescent="0.25">
      <c r="A71" s="27" t="s">
        <v>63</v>
      </c>
      <c r="B71" s="19">
        <f>VLOOKUP(CONCATENATE($A71,"_",B$3),'10 seeds 7200s'!$A$1:$AD$1300,12, FALSE)</f>
        <v>1</v>
      </c>
      <c r="C71" s="20">
        <f>VLOOKUP(CONCATENATE($A71,"_",B$3),'10 seeds 7200s'!$A$1:$AD$1300,14, FALSE)</f>
        <v>0</v>
      </c>
      <c r="D71" s="20">
        <f>VLOOKUP(CONCATENATE($A71,"_",B$3),'10 seeds 7200s'!$A$1:$AD$1300,18, FALSE)</f>
        <v>3.2</v>
      </c>
      <c r="E71" s="20">
        <f t="shared" si="8"/>
        <v>1</v>
      </c>
      <c r="F71" s="21">
        <f t="shared" si="9"/>
        <v>1</v>
      </c>
      <c r="G71" s="19">
        <f>VLOOKUP(CONCATENATE($A71,"_",G$3),'Checkpoint 7'!$A$1:$AD$1300,12, FALSE)</f>
        <v>1</v>
      </c>
      <c r="H71" s="20">
        <f>VLOOKUP(CONCATENATE($A71,"_",G$3),'Checkpoint 7'!$A$1:$AD$1300,14, FALSE)</f>
        <v>0</v>
      </c>
      <c r="I71" s="20">
        <f>VLOOKUP(CONCATENATE($A71,"_",G$3),'Checkpoint 7'!$A$1:$AD$1300,18, FALSE)</f>
        <v>4</v>
      </c>
      <c r="J71" s="20">
        <f t="shared" si="10"/>
        <v>1</v>
      </c>
      <c r="K71" s="21">
        <f t="shared" si="11"/>
        <v>1</v>
      </c>
      <c r="L71" s="19">
        <f>VLOOKUP(CONCATENATE($A71,"_",L$3),'10 seeds 7200s'!$A$1:$AD$1300,12, FALSE)</f>
        <v>1</v>
      </c>
      <c r="M71" s="20">
        <f>VLOOKUP(CONCATENATE($A71,"_",L$3),'10 seeds 7200s'!$A$1:$AD$1300,14, FALSE)</f>
        <v>0</v>
      </c>
      <c r="N71" s="20">
        <f>VLOOKUP(CONCATENATE($A71,"_",L$3),'10 seeds 7200s'!$A$1:$AD$1300,18, FALSE)</f>
        <v>3.1</v>
      </c>
      <c r="O71" s="20">
        <f t="shared" si="12"/>
        <v>1</v>
      </c>
      <c r="P71" s="21">
        <f t="shared" si="13"/>
        <v>1</v>
      </c>
      <c r="Q71" s="19">
        <f>VLOOKUP(CONCATENATE($A71,"_",Q$3),'10 seeds 7200s'!$A$1:$AD$1300,12, FALSE)</f>
        <v>1</v>
      </c>
      <c r="R71" s="20">
        <f>VLOOKUP(CONCATENATE($A71,"_",Q$3),'10 seeds 7200s'!$A$1:$AD$1300,14, FALSE)</f>
        <v>0</v>
      </c>
      <c r="S71" s="20">
        <f>VLOOKUP(CONCATENATE($A71,"_",Q$3),'10 seeds 7200s'!$A$1:$AD$1300,18, FALSE)</f>
        <v>2.8</v>
      </c>
      <c r="T71" s="20">
        <f t="shared" si="14"/>
        <v>1</v>
      </c>
      <c r="U71" s="21">
        <f t="shared" si="15"/>
        <v>1</v>
      </c>
    </row>
    <row r="72" spans="1:21" x14ac:dyDescent="0.25">
      <c r="A72" s="27" t="s">
        <v>71</v>
      </c>
      <c r="B72" s="19">
        <f>VLOOKUP(CONCATENATE($A72,"_",B$3),'10 seeds 7200s'!$A$1:$AD$1300,12, FALSE)</f>
        <v>1</v>
      </c>
      <c r="C72" s="20">
        <f>VLOOKUP(CONCATENATE($A72,"_",B$3),'10 seeds 7200s'!$A$1:$AD$1300,14, FALSE)</f>
        <v>0</v>
      </c>
      <c r="D72" s="20">
        <f>VLOOKUP(CONCATENATE($A72,"_",B$3),'10 seeds 7200s'!$A$1:$AD$1300,18, FALSE)</f>
        <v>4.0999999999999996</v>
      </c>
      <c r="E72" s="20">
        <f t="shared" si="8"/>
        <v>1</v>
      </c>
      <c r="F72" s="21">
        <f t="shared" si="9"/>
        <v>1</v>
      </c>
      <c r="G72" s="19">
        <f>VLOOKUP(CONCATENATE($A72,"_",G$3),'Checkpoint 7'!$A$1:$AD$1300,12, FALSE)</f>
        <v>1</v>
      </c>
      <c r="H72" s="20">
        <f>VLOOKUP(CONCATENATE($A72,"_",G$3),'Checkpoint 7'!$A$1:$AD$1300,14, FALSE)</f>
        <v>0</v>
      </c>
      <c r="I72" s="20">
        <f>VLOOKUP(CONCATENATE($A72,"_",G$3),'Checkpoint 7'!$A$1:$AD$1300,18, FALSE)</f>
        <v>5</v>
      </c>
      <c r="J72" s="20">
        <f t="shared" si="10"/>
        <v>1</v>
      </c>
      <c r="K72" s="21">
        <f t="shared" si="11"/>
        <v>1</v>
      </c>
      <c r="L72" s="19">
        <f>VLOOKUP(CONCATENATE($A72,"_",L$3),'10 seeds 7200s'!$A$1:$AD$1300,12, FALSE)</f>
        <v>1</v>
      </c>
      <c r="M72" s="20">
        <f>VLOOKUP(CONCATENATE($A72,"_",L$3),'10 seeds 7200s'!$A$1:$AD$1300,14, FALSE)</f>
        <v>0</v>
      </c>
      <c r="N72" s="20">
        <f>VLOOKUP(CONCATENATE($A72,"_",L$3),'10 seeds 7200s'!$A$1:$AD$1300,18, FALSE)</f>
        <v>3.9</v>
      </c>
      <c r="O72" s="20">
        <f t="shared" si="12"/>
        <v>1</v>
      </c>
      <c r="P72" s="21">
        <f t="shared" si="13"/>
        <v>1</v>
      </c>
      <c r="Q72" s="19">
        <f>VLOOKUP(CONCATENATE($A72,"_",Q$3),'10 seeds 7200s'!$A$1:$AD$1300,12, FALSE)</f>
        <v>1</v>
      </c>
      <c r="R72" s="20">
        <f>VLOOKUP(CONCATENATE($A72,"_",Q$3),'10 seeds 7200s'!$A$1:$AD$1300,14, FALSE)</f>
        <v>0</v>
      </c>
      <c r="S72" s="20">
        <f>VLOOKUP(CONCATENATE($A72,"_",Q$3),'10 seeds 7200s'!$A$1:$AD$1300,18, FALSE)</f>
        <v>3.9</v>
      </c>
      <c r="T72" s="20">
        <f t="shared" si="14"/>
        <v>1</v>
      </c>
      <c r="U72" s="21">
        <f t="shared" si="15"/>
        <v>1</v>
      </c>
    </row>
    <row r="73" spans="1:21" x14ac:dyDescent="0.25">
      <c r="A73" s="27" t="s">
        <v>133</v>
      </c>
      <c r="B73" s="19">
        <f>VLOOKUP(CONCATENATE($A73,"_",B$3),'10 seeds 7200s'!$A$1:$AD$1300,12, FALSE)</f>
        <v>1</v>
      </c>
      <c r="C73" s="20">
        <f>VLOOKUP(CONCATENATE($A73,"_",B$3),'10 seeds 7200s'!$A$1:$AD$1300,14, FALSE)</f>
        <v>0</v>
      </c>
      <c r="D73" s="20">
        <f>VLOOKUP(CONCATENATE($A73,"_",B$3),'10 seeds 7200s'!$A$1:$AD$1300,18, FALSE)</f>
        <v>14.8</v>
      </c>
      <c r="E73" s="20">
        <f t="shared" si="8"/>
        <v>1</v>
      </c>
      <c r="F73" s="21">
        <f t="shared" si="9"/>
        <v>1</v>
      </c>
      <c r="G73" s="19">
        <f>VLOOKUP(CONCATENATE($A73,"_",G$3),'Checkpoint 7'!$A$1:$AD$1300,12, FALSE)</f>
        <v>1</v>
      </c>
      <c r="H73" s="20">
        <f>VLOOKUP(CONCATENATE($A73,"_",G$3),'Checkpoint 7'!$A$1:$AD$1300,14, FALSE)</f>
        <v>0</v>
      </c>
      <c r="I73" s="20">
        <f>VLOOKUP(CONCATENATE($A73,"_",G$3),'Checkpoint 7'!$A$1:$AD$1300,18, FALSE)</f>
        <v>15.1</v>
      </c>
      <c r="J73" s="20">
        <f t="shared" si="10"/>
        <v>1</v>
      </c>
      <c r="K73" s="21">
        <f t="shared" si="11"/>
        <v>1</v>
      </c>
      <c r="L73" s="19">
        <f>VLOOKUP(CONCATENATE($A73,"_",L$3),'10 seeds 7200s'!$A$1:$AD$1300,12, FALSE)</f>
        <v>1</v>
      </c>
      <c r="M73" s="20">
        <f>VLOOKUP(CONCATENATE($A73,"_",L$3),'10 seeds 7200s'!$A$1:$AD$1300,14, FALSE)</f>
        <v>0</v>
      </c>
      <c r="N73" s="20">
        <f>VLOOKUP(CONCATENATE($A73,"_",L$3),'10 seeds 7200s'!$A$1:$AD$1300,18, FALSE)</f>
        <v>15</v>
      </c>
      <c r="O73" s="20">
        <f t="shared" si="12"/>
        <v>1</v>
      </c>
      <c r="P73" s="21">
        <f t="shared" si="13"/>
        <v>1</v>
      </c>
      <c r="Q73" s="19">
        <f>VLOOKUP(CONCATENATE($A73,"_",Q$3),'10 seeds 7200s'!$A$1:$AD$1300,12, FALSE)</f>
        <v>1</v>
      </c>
      <c r="R73" s="20">
        <f>VLOOKUP(CONCATENATE($A73,"_",Q$3),'10 seeds 7200s'!$A$1:$AD$1300,14, FALSE)</f>
        <v>0</v>
      </c>
      <c r="S73" s="20">
        <f>VLOOKUP(CONCATENATE($A73,"_",Q$3),'10 seeds 7200s'!$A$1:$AD$1300,18, FALSE)</f>
        <v>13.3</v>
      </c>
      <c r="T73" s="20">
        <f t="shared" si="14"/>
        <v>1</v>
      </c>
      <c r="U73" s="21">
        <f t="shared" si="15"/>
        <v>1</v>
      </c>
    </row>
    <row r="74" spans="1:21" x14ac:dyDescent="0.25">
      <c r="A74" s="27" t="s">
        <v>66</v>
      </c>
      <c r="B74" s="19">
        <f>VLOOKUP(CONCATENATE($A74,"_",B$3),'10 seeds 7200s'!$A$1:$AD$1300,12, FALSE)</f>
        <v>1</v>
      </c>
      <c r="C74" s="20">
        <f>VLOOKUP(CONCATENATE($A74,"_",B$3),'10 seeds 7200s'!$A$1:$AD$1300,14, FALSE)</f>
        <v>0</v>
      </c>
      <c r="D74" s="20">
        <f>VLOOKUP(CONCATENATE($A74,"_",B$3),'10 seeds 7200s'!$A$1:$AD$1300,18, FALSE)</f>
        <v>4.2</v>
      </c>
      <c r="E74" s="20">
        <f t="shared" si="8"/>
        <v>1</v>
      </c>
      <c r="F74" s="21">
        <f t="shared" si="9"/>
        <v>1</v>
      </c>
      <c r="G74" s="19">
        <f>VLOOKUP(CONCATENATE($A74,"_",G$3),'Checkpoint 7'!$A$1:$AD$1300,12, FALSE)</f>
        <v>1</v>
      </c>
      <c r="H74" s="20">
        <f>VLOOKUP(CONCATENATE($A74,"_",G$3),'Checkpoint 7'!$A$1:$AD$1300,14, FALSE)</f>
        <v>0</v>
      </c>
      <c r="I74" s="20">
        <f>VLOOKUP(CONCATENATE($A74,"_",G$3),'Checkpoint 7'!$A$1:$AD$1300,18, FALSE)</f>
        <v>4.9000000000000004</v>
      </c>
      <c r="J74" s="20">
        <f t="shared" si="10"/>
        <v>1</v>
      </c>
      <c r="K74" s="21">
        <f t="shared" si="11"/>
        <v>1</v>
      </c>
      <c r="L74" s="19">
        <f>VLOOKUP(CONCATENATE($A74,"_",L$3),'10 seeds 7200s'!$A$1:$AD$1300,12, FALSE)</f>
        <v>1</v>
      </c>
      <c r="M74" s="20">
        <f>VLOOKUP(CONCATENATE($A74,"_",L$3),'10 seeds 7200s'!$A$1:$AD$1300,14, FALSE)</f>
        <v>0</v>
      </c>
      <c r="N74" s="20">
        <f>VLOOKUP(CONCATENATE($A74,"_",L$3),'10 seeds 7200s'!$A$1:$AD$1300,18, FALSE)</f>
        <v>3.9</v>
      </c>
      <c r="O74" s="20">
        <f t="shared" si="12"/>
        <v>1</v>
      </c>
      <c r="P74" s="21">
        <f t="shared" si="13"/>
        <v>1</v>
      </c>
      <c r="Q74" s="19">
        <f>VLOOKUP(CONCATENATE($A74,"_",Q$3),'10 seeds 7200s'!$A$1:$AD$1300,12, FALSE)</f>
        <v>1</v>
      </c>
      <c r="R74" s="20">
        <f>VLOOKUP(CONCATENATE($A74,"_",Q$3),'10 seeds 7200s'!$A$1:$AD$1300,14, FALSE)</f>
        <v>0</v>
      </c>
      <c r="S74" s="20">
        <f>VLOOKUP(CONCATENATE($A74,"_",Q$3),'10 seeds 7200s'!$A$1:$AD$1300,18, FALSE)</f>
        <v>3.9</v>
      </c>
      <c r="T74" s="20">
        <f t="shared" si="14"/>
        <v>1</v>
      </c>
      <c r="U74" s="21">
        <f t="shared" si="15"/>
        <v>1</v>
      </c>
    </row>
    <row r="75" spans="1:21" x14ac:dyDescent="0.25">
      <c r="A75" s="27" t="s">
        <v>120</v>
      </c>
      <c r="B75" s="19">
        <f>VLOOKUP(CONCATENATE($A75,"_",B$3),'10 seeds 7200s'!$A$1:$AD$1300,12, FALSE)</f>
        <v>0.99966390000000005</v>
      </c>
      <c r="C75" s="20">
        <f>VLOOKUP(CONCATENATE($A75,"_",B$3),'10 seeds 7200s'!$A$1:$AD$1300,14, FALSE)</f>
        <v>5.8046E-3</v>
      </c>
      <c r="D75" s="20">
        <f>VLOOKUP(CONCATENATE($A75,"_",B$3),'10 seeds 7200s'!$A$1:$AD$1300,18, FALSE)</f>
        <v>7200.7</v>
      </c>
      <c r="E75" s="20">
        <f t="shared" si="8"/>
        <v>0</v>
      </c>
      <c r="F75" s="21">
        <f t="shared" si="9"/>
        <v>1</v>
      </c>
      <c r="G75" s="19">
        <f>VLOOKUP(CONCATENATE($A75,"_",G$3),'Checkpoint 7'!$A$1:$AD$1300,12, FALSE)</f>
        <v>0.9997315</v>
      </c>
      <c r="H75" s="20">
        <f>VLOOKUP(CONCATENATE($A75,"_",G$3),'Checkpoint 7'!$A$1:$AD$1300,14, FALSE)</f>
        <v>5.1881999999999996E-3</v>
      </c>
      <c r="I75" s="20">
        <f>VLOOKUP(CONCATENATE($A75,"_",G$3),'Checkpoint 7'!$A$1:$AD$1300,18, FALSE)</f>
        <v>7200.5</v>
      </c>
      <c r="J75" s="20">
        <f t="shared" si="10"/>
        <v>0</v>
      </c>
      <c r="K75" s="21">
        <f t="shared" si="11"/>
        <v>1</v>
      </c>
      <c r="L75" s="19" t="e">
        <f>VLOOKUP(CONCATENATE($A75,"_",L$3),'10 seeds 7200s'!$A$1:$AD$1300,12, FALSE)</f>
        <v>#N/A</v>
      </c>
      <c r="M75" s="20" t="e">
        <f>VLOOKUP(CONCATENATE($A75,"_",L$3),'10 seeds 7200s'!$A$1:$AD$1300,14, FALSE)</f>
        <v>#N/A</v>
      </c>
      <c r="N75" s="20" t="e">
        <f>VLOOKUP(CONCATENATE($A75,"_",L$3),'10 seeds 7200s'!$A$1:$AD$1300,18, FALSE)</f>
        <v>#N/A</v>
      </c>
      <c r="O75" s="20" t="e">
        <f t="shared" si="12"/>
        <v>#N/A</v>
      </c>
      <c r="P75" s="21" t="e">
        <f t="shared" si="13"/>
        <v>#N/A</v>
      </c>
      <c r="Q75" s="19" t="e">
        <f>VLOOKUP(CONCATENATE($A75,"_",Q$3),'10 seeds 7200s'!$A$1:$AD$1300,12, FALSE)</f>
        <v>#N/A</v>
      </c>
      <c r="R75" s="20" t="e">
        <f>VLOOKUP(CONCATENATE($A75,"_",Q$3),'10 seeds 7200s'!$A$1:$AD$1300,14, FALSE)</f>
        <v>#N/A</v>
      </c>
      <c r="S75" s="20" t="e">
        <f>VLOOKUP(CONCATENATE($A75,"_",Q$3),'10 seeds 7200s'!$A$1:$AD$1300,18, FALSE)</f>
        <v>#N/A</v>
      </c>
      <c r="T75" s="20" t="e">
        <f t="shared" si="14"/>
        <v>#N/A</v>
      </c>
      <c r="U75" s="21" t="e">
        <f t="shared" si="15"/>
        <v>#N/A</v>
      </c>
    </row>
    <row r="76" spans="1:21" x14ac:dyDescent="0.25">
      <c r="A76" s="27" t="s">
        <v>121</v>
      </c>
      <c r="B76" s="19">
        <f>VLOOKUP(CONCATENATE($A76,"_",B$3),'10 seeds 7200s'!$A$1:$AD$1300,12, FALSE)</f>
        <v>0.99914820000000004</v>
      </c>
      <c r="C76" s="20">
        <f>VLOOKUP(CONCATENATE($A76,"_",B$3),'10 seeds 7200s'!$A$1:$AD$1300,14, FALSE)</f>
        <v>0.14693010000000001</v>
      </c>
      <c r="D76" s="20">
        <f>VLOOKUP(CONCATENATE($A76,"_",B$3),'10 seeds 7200s'!$A$1:$AD$1300,18, FALSE)</f>
        <v>7200.6</v>
      </c>
      <c r="E76" s="20">
        <f t="shared" si="8"/>
        <v>0</v>
      </c>
      <c r="F76" s="21">
        <f t="shared" si="9"/>
        <v>1</v>
      </c>
      <c r="G76" s="19">
        <f>VLOOKUP(CONCATENATE($A76,"_",G$3),'Checkpoint 7'!$A$1:$AD$1300,12, FALSE)</f>
        <v>0.99746319999999999</v>
      </c>
      <c r="H76" s="20">
        <f>VLOOKUP(CONCATENATE($A76,"_",G$3),'Checkpoint 7'!$A$1:$AD$1300,14, FALSE)</f>
        <v>0.25356610000000002</v>
      </c>
      <c r="I76" s="20">
        <f>VLOOKUP(CONCATENATE($A76,"_",G$3),'Checkpoint 7'!$A$1:$AD$1300,18, FALSE)</f>
        <v>7201.6</v>
      </c>
      <c r="J76" s="20">
        <f t="shared" si="10"/>
        <v>0</v>
      </c>
      <c r="K76" s="21">
        <f t="shared" si="11"/>
        <v>0</v>
      </c>
      <c r="L76" s="19">
        <f>VLOOKUP(CONCATENATE($A76,"_",L$3),'10 seeds 7200s'!$A$1:$AD$1300,12, FALSE)</f>
        <v>0.99888690000000002</v>
      </c>
      <c r="M76" s="20">
        <f>VLOOKUP(CONCATENATE($A76,"_",L$3),'10 seeds 7200s'!$A$1:$AD$1300,14, FALSE)</f>
        <v>0.1680963</v>
      </c>
      <c r="N76" s="20">
        <f>VLOOKUP(CONCATENATE($A76,"_",L$3),'10 seeds 7200s'!$A$1:$AD$1300,18, FALSE)</f>
        <v>7200.7</v>
      </c>
      <c r="O76" s="20">
        <f t="shared" si="12"/>
        <v>0</v>
      </c>
      <c r="P76" s="21">
        <f t="shared" si="13"/>
        <v>0</v>
      </c>
      <c r="Q76" s="19" t="e">
        <f>VLOOKUP(CONCATENATE($A76,"_",Q$3),'10 seeds 7200s'!$A$1:$AD$1300,12, FALSE)</f>
        <v>#N/A</v>
      </c>
      <c r="R76" s="20" t="e">
        <f>VLOOKUP(CONCATENATE($A76,"_",Q$3),'10 seeds 7200s'!$A$1:$AD$1300,14, FALSE)</f>
        <v>#N/A</v>
      </c>
      <c r="S76" s="20" t="e">
        <f>VLOOKUP(CONCATENATE($A76,"_",Q$3),'10 seeds 7200s'!$A$1:$AD$1300,18, FALSE)</f>
        <v>#N/A</v>
      </c>
      <c r="T76" s="20" t="e">
        <f t="shared" si="14"/>
        <v>#N/A</v>
      </c>
      <c r="U76" s="21" t="e">
        <f t="shared" si="15"/>
        <v>#N/A</v>
      </c>
    </row>
    <row r="77" spans="1:21" x14ac:dyDescent="0.25">
      <c r="A77" s="27" t="s">
        <v>149</v>
      </c>
      <c r="B77" s="19">
        <f>VLOOKUP(CONCATENATE($A77,"_",B$3),'10 seeds 7200s'!$A$1:$AD$1300,12, FALSE)</f>
        <v>1</v>
      </c>
      <c r="C77" s="20">
        <f>VLOOKUP(CONCATENATE($A77,"_",B$3),'10 seeds 7200s'!$A$1:$AD$1300,14, FALSE)</f>
        <v>0</v>
      </c>
      <c r="D77" s="20">
        <f>VLOOKUP(CONCATENATE($A77,"_",B$3),'10 seeds 7200s'!$A$1:$AD$1300,18, FALSE)</f>
        <v>284.8</v>
      </c>
      <c r="E77" s="20">
        <f t="shared" si="8"/>
        <v>1</v>
      </c>
      <c r="F77" s="21">
        <f t="shared" si="9"/>
        <v>1</v>
      </c>
      <c r="G77" s="19">
        <f>VLOOKUP(CONCATENATE($A77,"_",G$3),'Checkpoint 7'!$A$1:$AD$1300,12, FALSE)</f>
        <v>1</v>
      </c>
      <c r="H77" s="20">
        <f>VLOOKUP(CONCATENATE($A77,"_",G$3),'Checkpoint 7'!$A$1:$AD$1300,14, FALSE)</f>
        <v>0</v>
      </c>
      <c r="I77" s="20">
        <f>VLOOKUP(CONCATENATE($A77,"_",G$3),'Checkpoint 7'!$A$1:$AD$1300,18, FALSE)</f>
        <v>293.89999999999998</v>
      </c>
      <c r="J77" s="20">
        <f t="shared" si="10"/>
        <v>1</v>
      </c>
      <c r="K77" s="21">
        <f t="shared" si="11"/>
        <v>1</v>
      </c>
      <c r="L77" s="19">
        <f>VLOOKUP(CONCATENATE($A77,"_",L$3),'10 seeds 7200s'!$A$1:$AD$1300,12, FALSE)</f>
        <v>1</v>
      </c>
      <c r="M77" s="20">
        <f>VLOOKUP(CONCATENATE($A77,"_",L$3),'10 seeds 7200s'!$A$1:$AD$1300,14, FALSE)</f>
        <v>0</v>
      </c>
      <c r="N77" s="20">
        <f>VLOOKUP(CONCATENATE($A77,"_",L$3),'10 seeds 7200s'!$A$1:$AD$1300,18, FALSE)</f>
        <v>167.9</v>
      </c>
      <c r="O77" s="20">
        <f t="shared" si="12"/>
        <v>1</v>
      </c>
      <c r="P77" s="21">
        <f t="shared" si="13"/>
        <v>1</v>
      </c>
      <c r="Q77" s="19">
        <f>VLOOKUP(CONCATENATE($A77,"_",Q$3),'10 seeds 7200s'!$A$1:$AD$1300,12, FALSE)</f>
        <v>1</v>
      </c>
      <c r="R77" s="20">
        <f>VLOOKUP(CONCATENATE($A77,"_",Q$3),'10 seeds 7200s'!$A$1:$AD$1300,14, FALSE)</f>
        <v>0</v>
      </c>
      <c r="S77" s="20">
        <f>VLOOKUP(CONCATENATE($A77,"_",Q$3),'10 seeds 7200s'!$A$1:$AD$1300,18, FALSE)</f>
        <v>235</v>
      </c>
      <c r="T77" s="20">
        <f t="shared" si="14"/>
        <v>1</v>
      </c>
      <c r="U77" s="21">
        <f t="shared" si="15"/>
        <v>1</v>
      </c>
    </row>
    <row r="78" spans="1:21" x14ac:dyDescent="0.25">
      <c r="A78" s="27" t="s">
        <v>75</v>
      </c>
      <c r="B78" s="19">
        <f>VLOOKUP(CONCATENATE($A78,"_",B$3),'10 seeds 7200s'!$A$1:$AD$1300,12, FALSE)</f>
        <v>1</v>
      </c>
      <c r="C78" s="20">
        <f>VLOOKUP(CONCATENATE($A78,"_",B$3),'10 seeds 7200s'!$A$1:$AD$1300,14, FALSE)</f>
        <v>0</v>
      </c>
      <c r="D78" s="20">
        <f>VLOOKUP(CONCATENATE($A78,"_",B$3),'10 seeds 7200s'!$A$1:$AD$1300,18, FALSE)</f>
        <v>7</v>
      </c>
      <c r="E78" s="20">
        <f t="shared" si="8"/>
        <v>1</v>
      </c>
      <c r="F78" s="21">
        <f t="shared" si="9"/>
        <v>1</v>
      </c>
      <c r="G78" s="19">
        <f>VLOOKUP(CONCATENATE($A78,"_",G$3),'Checkpoint 7'!$A$1:$AD$1300,12, FALSE)</f>
        <v>1</v>
      </c>
      <c r="H78" s="20">
        <f>VLOOKUP(CONCATENATE($A78,"_",G$3),'Checkpoint 7'!$A$1:$AD$1300,14, FALSE)</f>
        <v>0</v>
      </c>
      <c r="I78" s="20">
        <f>VLOOKUP(CONCATENATE($A78,"_",G$3),'Checkpoint 7'!$A$1:$AD$1300,18, FALSE)</f>
        <v>7.4</v>
      </c>
      <c r="J78" s="20">
        <f t="shared" si="10"/>
        <v>1</v>
      </c>
      <c r="K78" s="21">
        <f t="shared" si="11"/>
        <v>1</v>
      </c>
      <c r="L78" s="19">
        <f>VLOOKUP(CONCATENATE($A78,"_",L$3),'10 seeds 7200s'!$A$1:$AD$1300,12, FALSE)</f>
        <v>1</v>
      </c>
      <c r="M78" s="20">
        <f>VLOOKUP(CONCATENATE($A78,"_",L$3),'10 seeds 7200s'!$A$1:$AD$1300,14, FALSE)</f>
        <v>0</v>
      </c>
      <c r="N78" s="20">
        <f>VLOOKUP(CONCATENATE($A78,"_",L$3),'10 seeds 7200s'!$A$1:$AD$1300,18, FALSE)</f>
        <v>6.6</v>
      </c>
      <c r="O78" s="20">
        <f t="shared" si="12"/>
        <v>1</v>
      </c>
      <c r="P78" s="21">
        <f t="shared" si="13"/>
        <v>1</v>
      </c>
      <c r="Q78" s="19">
        <f>VLOOKUP(CONCATENATE($A78,"_",Q$3),'10 seeds 7200s'!$A$1:$AD$1300,12, FALSE)</f>
        <v>1</v>
      </c>
      <c r="R78" s="20">
        <f>VLOOKUP(CONCATENATE($A78,"_",Q$3),'10 seeds 7200s'!$A$1:$AD$1300,14, FALSE)</f>
        <v>0</v>
      </c>
      <c r="S78" s="20">
        <f>VLOOKUP(CONCATENATE($A78,"_",Q$3),'10 seeds 7200s'!$A$1:$AD$1300,18, FALSE)</f>
        <v>6.7</v>
      </c>
      <c r="T78" s="20">
        <f t="shared" si="14"/>
        <v>1</v>
      </c>
      <c r="U78" s="21">
        <f t="shared" si="15"/>
        <v>1</v>
      </c>
    </row>
    <row r="79" spans="1:21" x14ac:dyDescent="0.25">
      <c r="A79" s="27" t="s">
        <v>40</v>
      </c>
      <c r="B79" s="19">
        <f>VLOOKUP(CONCATENATE($A79,"_",B$3),'10 seeds 7200s'!$A$1:$AD$1300,12, FALSE)</f>
        <v>1</v>
      </c>
      <c r="C79" s="20">
        <f>VLOOKUP(CONCATENATE($A79,"_",B$3),'10 seeds 7200s'!$A$1:$AD$1300,14, FALSE)</f>
        <v>0</v>
      </c>
      <c r="D79" s="20">
        <f>VLOOKUP(CONCATENATE($A79,"_",B$3),'10 seeds 7200s'!$A$1:$AD$1300,18, FALSE)</f>
        <v>5.2</v>
      </c>
      <c r="E79" s="20">
        <f t="shared" si="8"/>
        <v>1</v>
      </c>
      <c r="F79" s="21">
        <f t="shared" si="9"/>
        <v>1</v>
      </c>
      <c r="G79" s="19">
        <f>VLOOKUP(CONCATENATE($A79,"_",G$3),'Checkpoint 7'!$A$1:$AD$1300,12, FALSE)</f>
        <v>1</v>
      </c>
      <c r="H79" s="20">
        <f>VLOOKUP(CONCATENATE($A79,"_",G$3),'Checkpoint 7'!$A$1:$AD$1300,14, FALSE)</f>
        <v>0</v>
      </c>
      <c r="I79" s="20">
        <f>VLOOKUP(CONCATENATE($A79,"_",G$3),'Checkpoint 7'!$A$1:$AD$1300,18, FALSE)</f>
        <v>5.7</v>
      </c>
      <c r="J79" s="20">
        <f t="shared" si="10"/>
        <v>1</v>
      </c>
      <c r="K79" s="21">
        <f t="shared" si="11"/>
        <v>1</v>
      </c>
      <c r="L79" s="19">
        <f>VLOOKUP(CONCATENATE($A79,"_",L$3),'10 seeds 7200s'!$A$1:$AD$1300,12, FALSE)</f>
        <v>1</v>
      </c>
      <c r="M79" s="20">
        <f>VLOOKUP(CONCATENATE($A79,"_",L$3),'10 seeds 7200s'!$A$1:$AD$1300,14, FALSE)</f>
        <v>0</v>
      </c>
      <c r="N79" s="20">
        <f>VLOOKUP(CONCATENATE($A79,"_",L$3),'10 seeds 7200s'!$A$1:$AD$1300,18, FALSE)</f>
        <v>4.9000000000000004</v>
      </c>
      <c r="O79" s="20">
        <f t="shared" si="12"/>
        <v>1</v>
      </c>
      <c r="P79" s="21">
        <f t="shared" si="13"/>
        <v>1</v>
      </c>
      <c r="Q79" s="19" t="e">
        <f>VLOOKUP(CONCATENATE($A79,"_",Q$3),'10 seeds 7200s'!$A$1:$AD$1300,12, FALSE)</f>
        <v>#N/A</v>
      </c>
      <c r="R79" s="20" t="e">
        <f>VLOOKUP(CONCATENATE($A79,"_",Q$3),'10 seeds 7200s'!$A$1:$AD$1300,14, FALSE)</f>
        <v>#N/A</v>
      </c>
      <c r="S79" s="20" t="e">
        <f>VLOOKUP(CONCATENATE($A79,"_",Q$3),'10 seeds 7200s'!$A$1:$AD$1300,18, FALSE)</f>
        <v>#N/A</v>
      </c>
      <c r="T79" s="20" t="e">
        <f t="shared" si="14"/>
        <v>#N/A</v>
      </c>
      <c r="U79" s="21" t="e">
        <f t="shared" si="15"/>
        <v>#N/A</v>
      </c>
    </row>
    <row r="80" spans="1:21" x14ac:dyDescent="0.25">
      <c r="A80" s="27" t="s">
        <v>101</v>
      </c>
      <c r="B80" s="19">
        <f>VLOOKUP(CONCATENATE($A80,"_",B$3),'10 seeds 7200s'!$A$1:$AD$1300,12, FALSE)</f>
        <v>1</v>
      </c>
      <c r="C80" s="20">
        <f>VLOOKUP(CONCATENATE($A80,"_",B$3),'10 seeds 7200s'!$A$1:$AD$1300,14, FALSE)</f>
        <v>0</v>
      </c>
      <c r="D80" s="20">
        <f>VLOOKUP(CONCATENATE($A80,"_",B$3),'10 seeds 7200s'!$A$1:$AD$1300,18, FALSE)</f>
        <v>8</v>
      </c>
      <c r="E80" s="20">
        <f t="shared" si="8"/>
        <v>1</v>
      </c>
      <c r="F80" s="21">
        <f t="shared" si="9"/>
        <v>1</v>
      </c>
      <c r="G80" s="19">
        <f>VLOOKUP(CONCATENATE($A80,"_",G$3),'Checkpoint 7'!$A$1:$AD$1300,12, FALSE)</f>
        <v>1</v>
      </c>
      <c r="H80" s="20">
        <f>VLOOKUP(CONCATENATE($A80,"_",G$3),'Checkpoint 7'!$A$1:$AD$1300,14, FALSE)</f>
        <v>0</v>
      </c>
      <c r="I80" s="20">
        <f>VLOOKUP(CONCATENATE($A80,"_",G$3),'Checkpoint 7'!$A$1:$AD$1300,18, FALSE)</f>
        <v>9.3000000000000007</v>
      </c>
      <c r="J80" s="20">
        <f t="shared" si="10"/>
        <v>1</v>
      </c>
      <c r="K80" s="21">
        <f t="shared" si="11"/>
        <v>1</v>
      </c>
      <c r="L80" s="19">
        <f>VLOOKUP(CONCATENATE($A80,"_",L$3),'10 seeds 7200s'!$A$1:$AD$1300,12, FALSE)</f>
        <v>1</v>
      </c>
      <c r="M80" s="20">
        <f>VLOOKUP(CONCATENATE($A80,"_",L$3),'10 seeds 7200s'!$A$1:$AD$1300,14, FALSE)</f>
        <v>0</v>
      </c>
      <c r="N80" s="20">
        <f>VLOOKUP(CONCATENATE($A80,"_",L$3),'10 seeds 7200s'!$A$1:$AD$1300,18, FALSE)</f>
        <v>7.7</v>
      </c>
      <c r="O80" s="20">
        <f t="shared" si="12"/>
        <v>1</v>
      </c>
      <c r="P80" s="21">
        <f t="shared" si="13"/>
        <v>1</v>
      </c>
      <c r="Q80" s="19">
        <f>VLOOKUP(CONCATENATE($A80,"_",Q$3),'10 seeds 7200s'!$A$1:$AD$1300,12, FALSE)</f>
        <v>1</v>
      </c>
      <c r="R80" s="20">
        <f>VLOOKUP(CONCATENATE($A80,"_",Q$3),'10 seeds 7200s'!$A$1:$AD$1300,14, FALSE)</f>
        <v>0</v>
      </c>
      <c r="S80" s="20">
        <f>VLOOKUP(CONCATENATE($A80,"_",Q$3),'10 seeds 7200s'!$A$1:$AD$1300,18, FALSE)</f>
        <v>7.9</v>
      </c>
      <c r="T80" s="20">
        <f t="shared" si="14"/>
        <v>1</v>
      </c>
      <c r="U80" s="21">
        <f t="shared" si="15"/>
        <v>1</v>
      </c>
    </row>
    <row r="81" spans="1:21" x14ac:dyDescent="0.25">
      <c r="A81" s="27" t="s">
        <v>81</v>
      </c>
      <c r="B81" s="19">
        <f>VLOOKUP(CONCATENATE($A81,"_",B$3),'10 seeds 7200s'!$A$1:$AD$1300,12, FALSE)</f>
        <v>1</v>
      </c>
      <c r="C81" s="20">
        <f>VLOOKUP(CONCATENATE($A81,"_",B$3),'10 seeds 7200s'!$A$1:$AD$1300,14, FALSE)</f>
        <v>0</v>
      </c>
      <c r="D81" s="20">
        <f>VLOOKUP(CONCATENATE($A81,"_",B$3),'10 seeds 7200s'!$A$1:$AD$1300,18, FALSE)</f>
        <v>4.8</v>
      </c>
      <c r="E81" s="20">
        <f t="shared" si="8"/>
        <v>1</v>
      </c>
      <c r="F81" s="21">
        <f t="shared" si="9"/>
        <v>1</v>
      </c>
      <c r="G81" s="19">
        <f>VLOOKUP(CONCATENATE($A81,"_",G$3),'Checkpoint 7'!$A$1:$AD$1300,12, FALSE)</f>
        <v>1</v>
      </c>
      <c r="H81" s="20">
        <f>VLOOKUP(CONCATENATE($A81,"_",G$3),'Checkpoint 7'!$A$1:$AD$1300,14, FALSE)</f>
        <v>0</v>
      </c>
      <c r="I81" s="20">
        <f>VLOOKUP(CONCATENATE($A81,"_",G$3),'Checkpoint 7'!$A$1:$AD$1300,18, FALSE)</f>
        <v>6.1</v>
      </c>
      <c r="J81" s="20">
        <f t="shared" si="10"/>
        <v>1</v>
      </c>
      <c r="K81" s="21">
        <f t="shared" si="11"/>
        <v>1</v>
      </c>
      <c r="L81" s="19">
        <f>VLOOKUP(CONCATENATE($A81,"_",L$3),'10 seeds 7200s'!$A$1:$AD$1300,12, FALSE)</f>
        <v>1</v>
      </c>
      <c r="M81" s="20">
        <f>VLOOKUP(CONCATENATE($A81,"_",L$3),'10 seeds 7200s'!$A$1:$AD$1300,14, FALSE)</f>
        <v>0</v>
      </c>
      <c r="N81" s="20">
        <f>VLOOKUP(CONCATENATE($A81,"_",L$3),'10 seeds 7200s'!$A$1:$AD$1300,18, FALSE)</f>
        <v>4.3</v>
      </c>
      <c r="O81" s="20">
        <f t="shared" si="12"/>
        <v>1</v>
      </c>
      <c r="P81" s="21">
        <f t="shared" si="13"/>
        <v>1</v>
      </c>
      <c r="Q81" s="19" t="e">
        <f>VLOOKUP(CONCATENATE($A81,"_",Q$3),'10 seeds 7200s'!$A$1:$AD$1300,12, FALSE)</f>
        <v>#N/A</v>
      </c>
      <c r="R81" s="20" t="e">
        <f>VLOOKUP(CONCATENATE($A81,"_",Q$3),'10 seeds 7200s'!$A$1:$AD$1300,14, FALSE)</f>
        <v>#N/A</v>
      </c>
      <c r="S81" s="20" t="e">
        <f>VLOOKUP(CONCATENATE($A81,"_",Q$3),'10 seeds 7200s'!$A$1:$AD$1300,18, FALSE)</f>
        <v>#N/A</v>
      </c>
      <c r="T81" s="20" t="e">
        <f t="shared" si="14"/>
        <v>#N/A</v>
      </c>
      <c r="U81" s="21" t="e">
        <f t="shared" si="15"/>
        <v>#N/A</v>
      </c>
    </row>
    <row r="82" spans="1:21" x14ac:dyDescent="0.25">
      <c r="A82" s="27" t="s">
        <v>116</v>
      </c>
      <c r="B82" s="19">
        <f>VLOOKUP(CONCATENATE($A82,"_",B$3),'10 seeds 7200s'!$A$1:$AD$1300,12, FALSE)</f>
        <v>1</v>
      </c>
      <c r="C82" s="20">
        <f>VLOOKUP(CONCATENATE($A82,"_",B$3),'10 seeds 7200s'!$A$1:$AD$1300,14, FALSE)</f>
        <v>0</v>
      </c>
      <c r="D82" s="20">
        <f>VLOOKUP(CONCATENATE($A82,"_",B$3),'10 seeds 7200s'!$A$1:$AD$1300,18, FALSE)</f>
        <v>153.1</v>
      </c>
      <c r="E82" s="20">
        <f t="shared" si="8"/>
        <v>1</v>
      </c>
      <c r="F82" s="21">
        <f t="shared" si="9"/>
        <v>1</v>
      </c>
      <c r="G82" s="19">
        <f>VLOOKUP(CONCATENATE($A82,"_",G$3),'Checkpoint 7'!$A$1:$AD$1300,12, FALSE)</f>
        <v>1</v>
      </c>
      <c r="H82" s="20">
        <f>VLOOKUP(CONCATENATE($A82,"_",G$3),'Checkpoint 7'!$A$1:$AD$1300,14, FALSE)</f>
        <v>0</v>
      </c>
      <c r="I82" s="20">
        <f>VLOOKUP(CONCATENATE($A82,"_",G$3),'Checkpoint 7'!$A$1:$AD$1300,18, FALSE)</f>
        <v>64.2</v>
      </c>
      <c r="J82" s="20">
        <f t="shared" si="10"/>
        <v>1</v>
      </c>
      <c r="K82" s="21">
        <f t="shared" si="11"/>
        <v>1</v>
      </c>
      <c r="L82" s="19">
        <f>VLOOKUP(CONCATENATE($A82,"_",L$3),'10 seeds 7200s'!$A$1:$AD$1300,12, FALSE)</f>
        <v>1</v>
      </c>
      <c r="M82" s="20">
        <f>VLOOKUP(CONCATENATE($A82,"_",L$3),'10 seeds 7200s'!$A$1:$AD$1300,14, FALSE)</f>
        <v>0</v>
      </c>
      <c r="N82" s="20">
        <f>VLOOKUP(CONCATENATE($A82,"_",L$3),'10 seeds 7200s'!$A$1:$AD$1300,18, FALSE)</f>
        <v>3722.2</v>
      </c>
      <c r="O82" s="20">
        <f t="shared" si="12"/>
        <v>1</v>
      </c>
      <c r="P82" s="21">
        <f t="shared" si="13"/>
        <v>1</v>
      </c>
      <c r="Q82" s="19">
        <f>VLOOKUP(CONCATENATE($A82,"_",Q$3),'10 seeds 7200s'!$A$1:$AD$1300,12, FALSE)</f>
        <v>1</v>
      </c>
      <c r="R82" s="20">
        <f>VLOOKUP(CONCATENATE($A82,"_",Q$3),'10 seeds 7200s'!$A$1:$AD$1300,14, FALSE)</f>
        <v>0</v>
      </c>
      <c r="S82" s="20">
        <f>VLOOKUP(CONCATENATE($A82,"_",Q$3),'10 seeds 7200s'!$A$1:$AD$1300,18, FALSE)</f>
        <v>449</v>
      </c>
      <c r="T82" s="20">
        <f t="shared" si="14"/>
        <v>1</v>
      </c>
      <c r="U82" s="21">
        <f t="shared" si="15"/>
        <v>1</v>
      </c>
    </row>
    <row r="83" spans="1:21" x14ac:dyDescent="0.25">
      <c r="A83" s="27" t="s">
        <v>142</v>
      </c>
      <c r="B83" s="19">
        <f>VLOOKUP(CONCATENATE($A83,"_",B$3),'10 seeds 7200s'!$A$1:$AD$1300,12, FALSE)</f>
        <v>0.99923770000000001</v>
      </c>
      <c r="C83" s="20">
        <f>VLOOKUP(CONCATENATE($A83,"_",B$3),'10 seeds 7200s'!$A$1:$AD$1300,14, FALSE)</f>
        <v>1.04098E-2</v>
      </c>
      <c r="D83" s="20">
        <f>VLOOKUP(CONCATENATE($A83,"_",B$3),'10 seeds 7200s'!$A$1:$AD$1300,18, FALSE)</f>
        <v>6813.6</v>
      </c>
      <c r="E83" s="20">
        <f t="shared" si="8"/>
        <v>0</v>
      </c>
      <c r="F83" s="21">
        <f t="shared" si="9"/>
        <v>1</v>
      </c>
      <c r="G83" s="19">
        <f>VLOOKUP(CONCATENATE($A83,"_",G$3),'Checkpoint 7'!$A$1:$AD$1300,12, FALSE)</f>
        <v>0.9992259</v>
      </c>
      <c r="H83" s="20">
        <f>VLOOKUP(CONCATENATE($A83,"_",G$3),'Checkpoint 7'!$A$1:$AD$1300,14, FALSE)</f>
        <v>1.0489999999999999E-2</v>
      </c>
      <c r="I83" s="20">
        <f>VLOOKUP(CONCATENATE($A83,"_",G$3),'Checkpoint 7'!$A$1:$AD$1300,18, FALSE)</f>
        <v>7200.7</v>
      </c>
      <c r="J83" s="20">
        <f t="shared" si="10"/>
        <v>0</v>
      </c>
      <c r="K83" s="21">
        <f t="shared" si="11"/>
        <v>1</v>
      </c>
      <c r="L83" s="19">
        <f>VLOOKUP(CONCATENATE($A83,"_",L$3),'10 seeds 7200s'!$A$1:$AD$1300,12, FALSE)</f>
        <v>0.99927589999999999</v>
      </c>
      <c r="M83" s="20">
        <f>VLOOKUP(CONCATENATE($A83,"_",L$3),'10 seeds 7200s'!$A$1:$AD$1300,14, FALSE)</f>
        <v>1.00544E-2</v>
      </c>
      <c r="N83" s="20">
        <f>VLOOKUP(CONCATENATE($A83,"_",L$3),'10 seeds 7200s'!$A$1:$AD$1300,18, FALSE)</f>
        <v>7167.1</v>
      </c>
      <c r="O83" s="20">
        <f t="shared" si="12"/>
        <v>0</v>
      </c>
      <c r="P83" s="21">
        <f t="shared" si="13"/>
        <v>1</v>
      </c>
      <c r="Q83" s="19" t="e">
        <f>VLOOKUP(CONCATENATE($A83,"_",Q$3),'10 seeds 7200s'!$A$1:$AD$1300,12, FALSE)</f>
        <v>#N/A</v>
      </c>
      <c r="R83" s="20" t="e">
        <f>VLOOKUP(CONCATENATE($A83,"_",Q$3),'10 seeds 7200s'!$A$1:$AD$1300,14, FALSE)</f>
        <v>#N/A</v>
      </c>
      <c r="S83" s="20" t="e">
        <f>VLOOKUP(CONCATENATE($A83,"_",Q$3),'10 seeds 7200s'!$A$1:$AD$1300,18, FALSE)</f>
        <v>#N/A</v>
      </c>
      <c r="T83" s="20" t="e">
        <f t="shared" si="14"/>
        <v>#N/A</v>
      </c>
      <c r="U83" s="21" t="e">
        <f t="shared" si="15"/>
        <v>#N/A</v>
      </c>
    </row>
    <row r="84" spans="1:21" x14ac:dyDescent="0.25">
      <c r="A84" s="27" t="s">
        <v>115</v>
      </c>
      <c r="B84" s="19">
        <f>VLOOKUP(CONCATENATE($A84,"_",B$3),'10 seeds 7200s'!$A$1:$AD$1300,12, FALSE)</f>
        <v>1</v>
      </c>
      <c r="C84" s="20">
        <f>VLOOKUP(CONCATENATE($A84,"_",B$3),'10 seeds 7200s'!$A$1:$AD$1300,14, FALSE)</f>
        <v>0</v>
      </c>
      <c r="D84" s="20">
        <f>VLOOKUP(CONCATENATE($A84,"_",B$3),'10 seeds 7200s'!$A$1:$AD$1300,18, FALSE)</f>
        <v>1604.3</v>
      </c>
      <c r="E84" s="20">
        <f t="shared" si="8"/>
        <v>1</v>
      </c>
      <c r="F84" s="21">
        <f t="shared" si="9"/>
        <v>1</v>
      </c>
      <c r="G84" s="19">
        <f>VLOOKUP(CONCATENATE($A84,"_",G$3),'Checkpoint 7'!$A$1:$AD$1300,12, FALSE)</f>
        <v>1</v>
      </c>
      <c r="H84" s="20">
        <f>VLOOKUP(CONCATENATE($A84,"_",G$3),'Checkpoint 7'!$A$1:$AD$1300,14, FALSE)</f>
        <v>0</v>
      </c>
      <c r="I84" s="20">
        <f>VLOOKUP(CONCATENATE($A84,"_",G$3),'Checkpoint 7'!$A$1:$AD$1300,18, FALSE)</f>
        <v>1315.4</v>
      </c>
      <c r="J84" s="20">
        <f t="shared" si="10"/>
        <v>1</v>
      </c>
      <c r="K84" s="21">
        <f t="shared" si="11"/>
        <v>1</v>
      </c>
      <c r="L84" s="19">
        <f>VLOOKUP(CONCATENATE($A84,"_",L$3),'10 seeds 7200s'!$A$1:$AD$1300,12, FALSE)</f>
        <v>0.99769549999999996</v>
      </c>
      <c r="M84" s="20">
        <f>VLOOKUP(CONCATENATE($A84,"_",L$3),'10 seeds 7200s'!$A$1:$AD$1300,14, FALSE)</f>
        <v>1.4257E-3</v>
      </c>
      <c r="N84" s="20">
        <f>VLOOKUP(CONCATENATE($A84,"_",L$3),'10 seeds 7200s'!$A$1:$AD$1300,18, FALSE)</f>
        <v>7200.8</v>
      </c>
      <c r="O84" s="20">
        <f t="shared" si="12"/>
        <v>0</v>
      </c>
      <c r="P84" s="21">
        <f t="shared" si="13"/>
        <v>0</v>
      </c>
      <c r="Q84" s="19">
        <f>VLOOKUP(CONCATENATE($A84,"_",Q$3),'10 seeds 7200s'!$A$1:$AD$1300,12, FALSE)</f>
        <v>0.99946480000000004</v>
      </c>
      <c r="R84" s="20">
        <f>VLOOKUP(CONCATENATE($A84,"_",Q$3),'10 seeds 7200s'!$A$1:$AD$1300,14, FALSE)</f>
        <v>6.9340000000000005E-4</v>
      </c>
      <c r="S84" s="20">
        <f>VLOOKUP(CONCATENATE($A84,"_",Q$3),'10 seeds 7200s'!$A$1:$AD$1300,18, FALSE)</f>
        <v>6473.5</v>
      </c>
      <c r="T84" s="20">
        <f t="shared" si="14"/>
        <v>0</v>
      </c>
      <c r="U84" s="21">
        <f t="shared" si="15"/>
        <v>1</v>
      </c>
    </row>
    <row r="85" spans="1:21" x14ac:dyDescent="0.25">
      <c r="A85" s="27" t="s">
        <v>42</v>
      </c>
      <c r="B85" s="19">
        <f>VLOOKUP(CONCATENATE($A85,"_",B$3),'10 seeds 7200s'!$A$1:$AD$1300,12, FALSE)</f>
        <v>1</v>
      </c>
      <c r="C85" s="20">
        <f>VLOOKUP(CONCATENATE($A85,"_",B$3),'10 seeds 7200s'!$A$1:$AD$1300,14, FALSE)</f>
        <v>0</v>
      </c>
      <c r="D85" s="20">
        <f>VLOOKUP(CONCATENATE($A85,"_",B$3),'10 seeds 7200s'!$A$1:$AD$1300,18, FALSE)</f>
        <v>3.1</v>
      </c>
      <c r="E85" s="20">
        <f t="shared" si="8"/>
        <v>1</v>
      </c>
      <c r="F85" s="21">
        <f t="shared" si="9"/>
        <v>1</v>
      </c>
      <c r="G85" s="19">
        <f>VLOOKUP(CONCATENATE($A85,"_",G$3),'Checkpoint 7'!$A$1:$AD$1300,12, FALSE)</f>
        <v>1</v>
      </c>
      <c r="H85" s="20">
        <f>VLOOKUP(CONCATENATE($A85,"_",G$3),'Checkpoint 7'!$A$1:$AD$1300,14, FALSE)</f>
        <v>0</v>
      </c>
      <c r="I85" s="20">
        <f>VLOOKUP(CONCATENATE($A85,"_",G$3),'Checkpoint 7'!$A$1:$AD$1300,18, FALSE)</f>
        <v>3.4</v>
      </c>
      <c r="J85" s="20">
        <f t="shared" si="10"/>
        <v>1</v>
      </c>
      <c r="K85" s="21">
        <f t="shared" si="11"/>
        <v>1</v>
      </c>
      <c r="L85" s="19">
        <f>VLOOKUP(CONCATENATE($A85,"_",L$3),'10 seeds 7200s'!$A$1:$AD$1300,12, FALSE)</f>
        <v>1</v>
      </c>
      <c r="M85" s="20">
        <f>VLOOKUP(CONCATENATE($A85,"_",L$3),'10 seeds 7200s'!$A$1:$AD$1300,14, FALSE)</f>
        <v>0</v>
      </c>
      <c r="N85" s="20">
        <f>VLOOKUP(CONCATENATE($A85,"_",L$3),'10 seeds 7200s'!$A$1:$AD$1300,18, FALSE)</f>
        <v>2.8</v>
      </c>
      <c r="O85" s="20">
        <f t="shared" si="12"/>
        <v>1</v>
      </c>
      <c r="P85" s="21">
        <f t="shared" si="13"/>
        <v>1</v>
      </c>
      <c r="Q85" s="19">
        <f>VLOOKUP(CONCATENATE($A85,"_",Q$3),'10 seeds 7200s'!$A$1:$AD$1300,12, FALSE)</f>
        <v>1</v>
      </c>
      <c r="R85" s="20">
        <f>VLOOKUP(CONCATENATE($A85,"_",Q$3),'10 seeds 7200s'!$A$1:$AD$1300,14, FALSE)</f>
        <v>0</v>
      </c>
      <c r="S85" s="20">
        <f>VLOOKUP(CONCATENATE($A85,"_",Q$3),'10 seeds 7200s'!$A$1:$AD$1300,18, FALSE)</f>
        <v>2.6</v>
      </c>
      <c r="T85" s="20">
        <f t="shared" si="14"/>
        <v>1</v>
      </c>
      <c r="U85" s="21">
        <f t="shared" si="15"/>
        <v>1</v>
      </c>
    </row>
    <row r="86" spans="1:21" x14ac:dyDescent="0.25">
      <c r="A86" s="27" t="s">
        <v>80</v>
      </c>
      <c r="B86" s="19">
        <f>VLOOKUP(CONCATENATE($A86,"_",B$3),'10 seeds 7200s'!$A$1:$AD$1300,12, FALSE)</f>
        <v>1</v>
      </c>
      <c r="C86" s="20">
        <f>VLOOKUP(CONCATENATE($A86,"_",B$3),'10 seeds 7200s'!$A$1:$AD$1300,14, FALSE)</f>
        <v>0</v>
      </c>
      <c r="D86" s="20">
        <f>VLOOKUP(CONCATENATE($A86,"_",B$3),'10 seeds 7200s'!$A$1:$AD$1300,18, FALSE)</f>
        <v>148</v>
      </c>
      <c r="E86" s="20">
        <f t="shared" si="8"/>
        <v>1</v>
      </c>
      <c r="F86" s="21">
        <f t="shared" si="9"/>
        <v>1</v>
      </c>
      <c r="G86" s="19">
        <f>VLOOKUP(CONCATENATE($A86,"_",G$3),'Checkpoint 7'!$A$1:$AD$1300,12, FALSE)</f>
        <v>1</v>
      </c>
      <c r="H86" s="20">
        <f>VLOOKUP(CONCATENATE($A86,"_",G$3),'Checkpoint 7'!$A$1:$AD$1300,14, FALSE)</f>
        <v>0</v>
      </c>
      <c r="I86" s="20">
        <f>VLOOKUP(CONCATENATE($A86,"_",G$3),'Checkpoint 7'!$A$1:$AD$1300,18, FALSE)</f>
        <v>226.8</v>
      </c>
      <c r="J86" s="20">
        <f t="shared" si="10"/>
        <v>1</v>
      </c>
      <c r="K86" s="21">
        <f t="shared" si="11"/>
        <v>1</v>
      </c>
      <c r="L86" s="19">
        <f>VLOOKUP(CONCATENATE($A86,"_",L$3),'10 seeds 7200s'!$A$1:$AD$1300,12, FALSE)</f>
        <v>1</v>
      </c>
      <c r="M86" s="20">
        <f>VLOOKUP(CONCATENATE($A86,"_",L$3),'10 seeds 7200s'!$A$1:$AD$1300,14, FALSE)</f>
        <v>0</v>
      </c>
      <c r="N86" s="20">
        <f>VLOOKUP(CONCATENATE($A86,"_",L$3),'10 seeds 7200s'!$A$1:$AD$1300,18, FALSE)</f>
        <v>8.5</v>
      </c>
      <c r="O86" s="20">
        <f t="shared" si="12"/>
        <v>1</v>
      </c>
      <c r="P86" s="21">
        <f t="shared" si="13"/>
        <v>1</v>
      </c>
      <c r="Q86" s="19" t="e">
        <f>VLOOKUP(CONCATENATE($A86,"_",Q$3),'10 seeds 7200s'!$A$1:$AD$1300,12, FALSE)</f>
        <v>#N/A</v>
      </c>
      <c r="R86" s="20" t="e">
        <f>VLOOKUP(CONCATENATE($A86,"_",Q$3),'10 seeds 7200s'!$A$1:$AD$1300,14, FALSE)</f>
        <v>#N/A</v>
      </c>
      <c r="S86" s="20" t="e">
        <f>VLOOKUP(CONCATENATE($A86,"_",Q$3),'10 seeds 7200s'!$A$1:$AD$1300,18, FALSE)</f>
        <v>#N/A</v>
      </c>
      <c r="T86" s="20" t="e">
        <f t="shared" si="14"/>
        <v>#N/A</v>
      </c>
      <c r="U86" s="21" t="e">
        <f t="shared" si="15"/>
        <v>#N/A</v>
      </c>
    </row>
    <row r="87" spans="1:21" x14ac:dyDescent="0.25">
      <c r="A87" s="27" t="s">
        <v>103</v>
      </c>
      <c r="B87" s="19">
        <f>VLOOKUP(CONCATENATE($A87,"_",B$3),'10 seeds 7200s'!$A$1:$AD$1300,12, FALSE)</f>
        <v>0.9999344</v>
      </c>
      <c r="C87" s="20">
        <f>VLOOKUP(CONCATENATE($A87,"_",B$3),'10 seeds 7200s'!$A$1:$AD$1300,14, FALSE)</f>
        <v>5.8742700000000002E-2</v>
      </c>
      <c r="D87" s="20">
        <f>VLOOKUP(CONCATENATE($A87,"_",B$3),'10 seeds 7200s'!$A$1:$AD$1300,18, FALSE)</f>
        <v>7201</v>
      </c>
      <c r="E87" s="20">
        <f t="shared" si="8"/>
        <v>0</v>
      </c>
      <c r="F87" s="21">
        <f t="shared" si="9"/>
        <v>1</v>
      </c>
      <c r="G87" s="19">
        <f>VLOOKUP(CONCATENATE($A87,"_",G$3),'Checkpoint 7'!$A$1:$AD$1300,12, FALSE)</f>
        <v>0.99999340000000003</v>
      </c>
      <c r="H87" s="20">
        <f>VLOOKUP(CONCATENATE($A87,"_",G$3),'Checkpoint 7'!$A$1:$AD$1300,14, FALSE)</f>
        <v>1.8638200000000001E-2</v>
      </c>
      <c r="I87" s="20">
        <f>VLOOKUP(CONCATENATE($A87,"_",G$3),'Checkpoint 7'!$A$1:$AD$1300,18, FALSE)</f>
        <v>7201.4</v>
      </c>
      <c r="J87" s="20">
        <f t="shared" si="10"/>
        <v>0</v>
      </c>
      <c r="K87" s="21">
        <f t="shared" si="11"/>
        <v>1</v>
      </c>
      <c r="L87" s="19">
        <f>VLOOKUP(CONCATENATE($A87,"_",L$3),'10 seeds 7200s'!$A$1:$AD$1300,12, FALSE)</f>
        <v>0.99995619999999996</v>
      </c>
      <c r="M87" s="20">
        <f>VLOOKUP(CONCATENATE($A87,"_",L$3),'10 seeds 7200s'!$A$1:$AD$1300,14, FALSE)</f>
        <v>4.8070799999999997E-2</v>
      </c>
      <c r="N87" s="20">
        <f>VLOOKUP(CONCATENATE($A87,"_",L$3),'10 seeds 7200s'!$A$1:$AD$1300,18, FALSE)</f>
        <v>7200.8</v>
      </c>
      <c r="O87" s="20">
        <f t="shared" si="12"/>
        <v>0</v>
      </c>
      <c r="P87" s="21">
        <f t="shared" si="13"/>
        <v>1</v>
      </c>
      <c r="Q87" s="19" t="e">
        <f>VLOOKUP(CONCATENATE($A87,"_",Q$3),'10 seeds 7200s'!$A$1:$AD$1300,12, FALSE)</f>
        <v>#N/A</v>
      </c>
      <c r="R87" s="20" t="e">
        <f>VLOOKUP(CONCATENATE($A87,"_",Q$3),'10 seeds 7200s'!$A$1:$AD$1300,14, FALSE)</f>
        <v>#N/A</v>
      </c>
      <c r="S87" s="20" t="e">
        <f>VLOOKUP(CONCATENATE($A87,"_",Q$3),'10 seeds 7200s'!$A$1:$AD$1300,18, FALSE)</f>
        <v>#N/A</v>
      </c>
      <c r="T87" s="20" t="e">
        <f t="shared" si="14"/>
        <v>#N/A</v>
      </c>
      <c r="U87" s="21" t="e">
        <f t="shared" si="15"/>
        <v>#N/A</v>
      </c>
    </row>
    <row r="88" spans="1:21" x14ac:dyDescent="0.25">
      <c r="A88" s="27" t="s">
        <v>33</v>
      </c>
      <c r="B88" s="19">
        <f>VLOOKUP(CONCATENATE($A88,"_",B$3),'10 seeds 7200s'!$A$1:$AD$1300,12, FALSE)</f>
        <v>1</v>
      </c>
      <c r="C88" s="20">
        <f>VLOOKUP(CONCATENATE($A88,"_",B$3),'10 seeds 7200s'!$A$1:$AD$1300,14, FALSE)</f>
        <v>0</v>
      </c>
      <c r="D88" s="20">
        <f>VLOOKUP(CONCATENATE($A88,"_",B$3),'10 seeds 7200s'!$A$1:$AD$1300,18, FALSE)</f>
        <v>1.3</v>
      </c>
      <c r="E88" s="20">
        <f t="shared" si="8"/>
        <v>1</v>
      </c>
      <c r="F88" s="21">
        <f t="shared" si="9"/>
        <v>1</v>
      </c>
      <c r="G88" s="19">
        <f>VLOOKUP(CONCATENATE($A88,"_",G$3),'Checkpoint 7'!$A$1:$AD$1300,12, FALSE)</f>
        <v>1</v>
      </c>
      <c r="H88" s="20">
        <f>VLOOKUP(CONCATENATE($A88,"_",G$3),'Checkpoint 7'!$A$1:$AD$1300,14, FALSE)</f>
        <v>0</v>
      </c>
      <c r="I88" s="20">
        <f>VLOOKUP(CONCATENATE($A88,"_",G$3),'Checkpoint 7'!$A$1:$AD$1300,18, FALSE)</f>
        <v>1.7</v>
      </c>
      <c r="J88" s="20">
        <f t="shared" si="10"/>
        <v>1</v>
      </c>
      <c r="K88" s="21">
        <f t="shared" si="11"/>
        <v>1</v>
      </c>
      <c r="L88" s="19">
        <f>VLOOKUP(CONCATENATE($A88,"_",L$3),'10 seeds 7200s'!$A$1:$AD$1300,12, FALSE)</f>
        <v>1</v>
      </c>
      <c r="M88" s="20">
        <f>VLOOKUP(CONCATENATE($A88,"_",L$3),'10 seeds 7200s'!$A$1:$AD$1300,14, FALSE)</f>
        <v>0</v>
      </c>
      <c r="N88" s="20">
        <f>VLOOKUP(CONCATENATE($A88,"_",L$3),'10 seeds 7200s'!$A$1:$AD$1300,18, FALSE)</f>
        <v>1.3</v>
      </c>
      <c r="O88" s="20">
        <f t="shared" si="12"/>
        <v>1</v>
      </c>
      <c r="P88" s="21">
        <f t="shared" si="13"/>
        <v>1</v>
      </c>
      <c r="Q88" s="19">
        <f>VLOOKUP(CONCATENATE($A88,"_",Q$3),'10 seeds 7200s'!$A$1:$AD$1300,12, FALSE)</f>
        <v>1</v>
      </c>
      <c r="R88" s="20">
        <f>VLOOKUP(CONCATENATE($A88,"_",Q$3),'10 seeds 7200s'!$A$1:$AD$1300,14, FALSE)</f>
        <v>0</v>
      </c>
      <c r="S88" s="20">
        <f>VLOOKUP(CONCATENATE($A88,"_",Q$3),'10 seeds 7200s'!$A$1:$AD$1300,18, FALSE)</f>
        <v>1.1000000000000001</v>
      </c>
      <c r="T88" s="20">
        <f t="shared" si="14"/>
        <v>1</v>
      </c>
      <c r="U88" s="21">
        <f t="shared" si="15"/>
        <v>1</v>
      </c>
    </row>
    <row r="89" spans="1:21" x14ac:dyDescent="0.25">
      <c r="A89" s="27" t="s">
        <v>114</v>
      </c>
      <c r="B89" s="19">
        <f>VLOOKUP(CONCATENATE($A89,"_",B$3),'10 seeds 7200s'!$A$1:$AD$1300,12, FALSE)</f>
        <v>1</v>
      </c>
      <c r="C89" s="20">
        <f>VLOOKUP(CONCATENATE($A89,"_",B$3),'10 seeds 7200s'!$A$1:$AD$1300,14, FALSE)</f>
        <v>0</v>
      </c>
      <c r="D89" s="20">
        <f>VLOOKUP(CONCATENATE($A89,"_",B$3),'10 seeds 7200s'!$A$1:$AD$1300,18, FALSE)</f>
        <v>14.7</v>
      </c>
      <c r="E89" s="20">
        <f t="shared" si="8"/>
        <v>1</v>
      </c>
      <c r="F89" s="21">
        <f t="shared" si="9"/>
        <v>1</v>
      </c>
      <c r="G89" s="19">
        <f>VLOOKUP(CONCATENATE($A89,"_",G$3),'Checkpoint 7'!$A$1:$AD$1300,12, FALSE)</f>
        <v>1</v>
      </c>
      <c r="H89" s="20">
        <f>VLOOKUP(CONCATENATE($A89,"_",G$3),'Checkpoint 7'!$A$1:$AD$1300,14, FALSE)</f>
        <v>0</v>
      </c>
      <c r="I89" s="20">
        <f>VLOOKUP(CONCATENATE($A89,"_",G$3),'Checkpoint 7'!$A$1:$AD$1300,18, FALSE)</f>
        <v>14.3</v>
      </c>
      <c r="J89" s="20">
        <f t="shared" si="10"/>
        <v>1</v>
      </c>
      <c r="K89" s="21">
        <f t="shared" si="11"/>
        <v>1</v>
      </c>
      <c r="L89" s="19">
        <f>VLOOKUP(CONCATENATE($A89,"_",L$3),'10 seeds 7200s'!$A$1:$AD$1300,12, FALSE)</f>
        <v>1</v>
      </c>
      <c r="M89" s="20">
        <f>VLOOKUP(CONCATENATE($A89,"_",L$3),'10 seeds 7200s'!$A$1:$AD$1300,14, FALSE)</f>
        <v>0</v>
      </c>
      <c r="N89" s="20">
        <f>VLOOKUP(CONCATENATE($A89,"_",L$3),'10 seeds 7200s'!$A$1:$AD$1300,18, FALSE)</f>
        <v>14.6</v>
      </c>
      <c r="O89" s="20">
        <f t="shared" si="12"/>
        <v>1</v>
      </c>
      <c r="P89" s="21">
        <f t="shared" si="13"/>
        <v>1</v>
      </c>
      <c r="Q89" s="19">
        <f>VLOOKUP(CONCATENATE($A89,"_",Q$3),'10 seeds 7200s'!$A$1:$AD$1300,12, FALSE)</f>
        <v>1</v>
      </c>
      <c r="R89" s="20">
        <f>VLOOKUP(CONCATENATE($A89,"_",Q$3),'10 seeds 7200s'!$A$1:$AD$1300,14, FALSE)</f>
        <v>0</v>
      </c>
      <c r="S89" s="20">
        <f>VLOOKUP(CONCATENATE($A89,"_",Q$3),'10 seeds 7200s'!$A$1:$AD$1300,18, FALSE)</f>
        <v>12.9</v>
      </c>
      <c r="T89" s="20">
        <f t="shared" si="14"/>
        <v>1</v>
      </c>
      <c r="U89" s="21">
        <f t="shared" si="15"/>
        <v>1</v>
      </c>
    </row>
    <row r="90" spans="1:21" x14ac:dyDescent="0.25">
      <c r="A90" s="27" t="s">
        <v>119</v>
      </c>
      <c r="B90" s="19">
        <f>VLOOKUP(CONCATENATE($A90,"_",B$3),'10 seeds 7200s'!$A$1:$AD$1300,12, FALSE)</f>
        <v>0.99762059999999997</v>
      </c>
      <c r="C90" s="20">
        <f>VLOOKUP(CONCATENATE($A90,"_",B$3),'10 seeds 7200s'!$A$1:$AD$1300,14, FALSE)</f>
        <v>0.33447969999999999</v>
      </c>
      <c r="D90" s="20">
        <f>VLOOKUP(CONCATENATE($A90,"_",B$3),'10 seeds 7200s'!$A$1:$AD$1300,18, FALSE)</f>
        <v>7200.3</v>
      </c>
      <c r="E90" s="20">
        <f t="shared" si="8"/>
        <v>0</v>
      </c>
      <c r="F90" s="21">
        <f t="shared" si="9"/>
        <v>0</v>
      </c>
      <c r="G90" s="19">
        <f>VLOOKUP(CONCATENATE($A90,"_",G$3),'Checkpoint 7'!$A$1:$AD$1300,12, FALSE)</f>
        <v>0.99458559999999996</v>
      </c>
      <c r="H90" s="20">
        <f>VLOOKUP(CONCATENATE($A90,"_",G$3),'Checkpoint 7'!$A$1:$AD$1300,14, FALSE)</f>
        <v>0.50456480000000004</v>
      </c>
      <c r="I90" s="20">
        <f>VLOOKUP(CONCATENATE($A90,"_",G$3),'Checkpoint 7'!$A$1:$AD$1300,18, FALSE)</f>
        <v>7201.2</v>
      </c>
      <c r="J90" s="20">
        <f t="shared" si="10"/>
        <v>0</v>
      </c>
      <c r="K90" s="21">
        <f t="shared" si="11"/>
        <v>0</v>
      </c>
      <c r="L90" s="19" t="e">
        <f>VLOOKUP(CONCATENATE($A90,"_",L$3),'10 seeds 7200s'!$A$1:$AD$1300,12, FALSE)</f>
        <v>#N/A</v>
      </c>
      <c r="M90" s="20" t="e">
        <f>VLOOKUP(CONCATENATE($A90,"_",L$3),'10 seeds 7200s'!$A$1:$AD$1300,14, FALSE)</f>
        <v>#N/A</v>
      </c>
      <c r="N90" s="20" t="e">
        <f>VLOOKUP(CONCATENATE($A90,"_",L$3),'10 seeds 7200s'!$A$1:$AD$1300,18, FALSE)</f>
        <v>#N/A</v>
      </c>
      <c r="O90" s="20" t="e">
        <f t="shared" si="12"/>
        <v>#N/A</v>
      </c>
      <c r="P90" s="21" t="e">
        <f t="shared" si="13"/>
        <v>#N/A</v>
      </c>
      <c r="Q90" s="19" t="e">
        <f>VLOOKUP(CONCATENATE($A90,"_",Q$3),'10 seeds 7200s'!$A$1:$AD$1300,12, FALSE)</f>
        <v>#N/A</v>
      </c>
      <c r="R90" s="20" t="e">
        <f>VLOOKUP(CONCATENATE($A90,"_",Q$3),'10 seeds 7200s'!$A$1:$AD$1300,14, FALSE)</f>
        <v>#N/A</v>
      </c>
      <c r="S90" s="20" t="e">
        <f>VLOOKUP(CONCATENATE($A90,"_",Q$3),'10 seeds 7200s'!$A$1:$AD$1300,18, FALSE)</f>
        <v>#N/A</v>
      </c>
      <c r="T90" s="20" t="e">
        <f t="shared" si="14"/>
        <v>#N/A</v>
      </c>
      <c r="U90" s="21" t="e">
        <f t="shared" si="15"/>
        <v>#N/A</v>
      </c>
    </row>
    <row r="91" spans="1:21" x14ac:dyDescent="0.25">
      <c r="A91" s="27" t="s">
        <v>67</v>
      </c>
      <c r="B91" s="19">
        <f>VLOOKUP(CONCATENATE($A91,"_",B$3),'10 seeds 7200s'!$A$1:$AD$1300,12, FALSE)</f>
        <v>1</v>
      </c>
      <c r="C91" s="20">
        <f>VLOOKUP(CONCATENATE($A91,"_",B$3),'10 seeds 7200s'!$A$1:$AD$1300,14, FALSE)</f>
        <v>0</v>
      </c>
      <c r="D91" s="20">
        <f>VLOOKUP(CONCATENATE($A91,"_",B$3),'10 seeds 7200s'!$A$1:$AD$1300,18, FALSE)</f>
        <v>122.8</v>
      </c>
      <c r="E91" s="20">
        <f t="shared" si="8"/>
        <v>1</v>
      </c>
      <c r="F91" s="21">
        <f t="shared" si="9"/>
        <v>1</v>
      </c>
      <c r="G91" s="19">
        <f>VLOOKUP(CONCATENATE($A91,"_",G$3),'Checkpoint 7'!$A$1:$AD$1300,12, FALSE)</f>
        <v>1</v>
      </c>
      <c r="H91" s="20">
        <f>VLOOKUP(CONCATENATE($A91,"_",G$3),'Checkpoint 7'!$A$1:$AD$1300,14, FALSE)</f>
        <v>0</v>
      </c>
      <c r="I91" s="20">
        <f>VLOOKUP(CONCATENATE($A91,"_",G$3),'Checkpoint 7'!$A$1:$AD$1300,18, FALSE)</f>
        <v>574</v>
      </c>
      <c r="J91" s="20">
        <f t="shared" si="10"/>
        <v>1</v>
      </c>
      <c r="K91" s="21">
        <f t="shared" si="11"/>
        <v>1</v>
      </c>
      <c r="L91" s="19">
        <f>VLOOKUP(CONCATENATE($A91,"_",L$3),'10 seeds 7200s'!$A$1:$AD$1300,12, FALSE)</f>
        <v>1</v>
      </c>
      <c r="M91" s="20">
        <f>VLOOKUP(CONCATENATE($A91,"_",L$3),'10 seeds 7200s'!$A$1:$AD$1300,14, FALSE)</f>
        <v>0</v>
      </c>
      <c r="N91" s="20">
        <f>VLOOKUP(CONCATENATE($A91,"_",L$3),'10 seeds 7200s'!$A$1:$AD$1300,18, FALSE)</f>
        <v>817.2</v>
      </c>
      <c r="O91" s="20">
        <f t="shared" si="12"/>
        <v>1</v>
      </c>
      <c r="P91" s="21">
        <f t="shared" si="13"/>
        <v>1</v>
      </c>
      <c r="Q91" s="19">
        <f>VLOOKUP(CONCATENATE($A91,"_",Q$3),'10 seeds 7200s'!$A$1:$AD$1300,12, FALSE)</f>
        <v>1</v>
      </c>
      <c r="R91" s="20">
        <f>VLOOKUP(CONCATENATE($A91,"_",Q$3),'10 seeds 7200s'!$A$1:$AD$1300,14, FALSE)</f>
        <v>0</v>
      </c>
      <c r="S91" s="20">
        <f>VLOOKUP(CONCATENATE($A91,"_",Q$3),'10 seeds 7200s'!$A$1:$AD$1300,18, FALSE)</f>
        <v>221.7</v>
      </c>
      <c r="T91" s="20">
        <f t="shared" si="14"/>
        <v>1</v>
      </c>
      <c r="U91" s="21">
        <f t="shared" si="15"/>
        <v>1</v>
      </c>
    </row>
    <row r="92" spans="1:21" x14ac:dyDescent="0.25">
      <c r="A92" s="27" t="s">
        <v>84</v>
      </c>
      <c r="B92" s="19">
        <f>VLOOKUP(CONCATENATE($A92,"_",B$3),'10 seeds 7200s'!$A$1:$AD$1300,12, FALSE)</f>
        <v>1</v>
      </c>
      <c r="C92" s="20">
        <f>VLOOKUP(CONCATENATE($A92,"_",B$3),'10 seeds 7200s'!$A$1:$AD$1300,14, FALSE)</f>
        <v>0</v>
      </c>
      <c r="D92" s="20">
        <f>VLOOKUP(CONCATENATE($A92,"_",B$3),'10 seeds 7200s'!$A$1:$AD$1300,18, FALSE)</f>
        <v>13.1</v>
      </c>
      <c r="E92" s="20">
        <f t="shared" si="8"/>
        <v>1</v>
      </c>
      <c r="F92" s="21">
        <f t="shared" si="9"/>
        <v>1</v>
      </c>
      <c r="G92" s="19">
        <f>VLOOKUP(CONCATENATE($A92,"_",G$3),'Checkpoint 7'!$A$1:$AD$1300,12, FALSE)</f>
        <v>1</v>
      </c>
      <c r="H92" s="20">
        <f>VLOOKUP(CONCATENATE($A92,"_",G$3),'Checkpoint 7'!$A$1:$AD$1300,14, FALSE)</f>
        <v>0</v>
      </c>
      <c r="I92" s="20">
        <f>VLOOKUP(CONCATENATE($A92,"_",G$3),'Checkpoint 7'!$A$1:$AD$1300,18, FALSE)</f>
        <v>13.9</v>
      </c>
      <c r="J92" s="20">
        <f t="shared" si="10"/>
        <v>1</v>
      </c>
      <c r="K92" s="21">
        <f t="shared" si="11"/>
        <v>1</v>
      </c>
      <c r="L92" s="19">
        <f>VLOOKUP(CONCATENATE($A92,"_",L$3),'10 seeds 7200s'!$A$1:$AD$1300,12, FALSE)</f>
        <v>1</v>
      </c>
      <c r="M92" s="20">
        <f>VLOOKUP(CONCATENATE($A92,"_",L$3),'10 seeds 7200s'!$A$1:$AD$1300,14, FALSE)</f>
        <v>0</v>
      </c>
      <c r="N92" s="20">
        <f>VLOOKUP(CONCATENATE($A92,"_",L$3),'10 seeds 7200s'!$A$1:$AD$1300,18, FALSE)</f>
        <v>69.8</v>
      </c>
      <c r="O92" s="20">
        <f t="shared" si="12"/>
        <v>1</v>
      </c>
      <c r="P92" s="21">
        <f t="shared" si="13"/>
        <v>1</v>
      </c>
      <c r="Q92" s="19">
        <f>VLOOKUP(CONCATENATE($A92,"_",Q$3),'10 seeds 7200s'!$A$1:$AD$1300,12, FALSE)</f>
        <v>1</v>
      </c>
      <c r="R92" s="20">
        <f>VLOOKUP(CONCATENATE($A92,"_",Q$3),'10 seeds 7200s'!$A$1:$AD$1300,14, FALSE)</f>
        <v>0</v>
      </c>
      <c r="S92" s="20">
        <f>VLOOKUP(CONCATENATE($A92,"_",Q$3),'10 seeds 7200s'!$A$1:$AD$1300,18, FALSE)</f>
        <v>11.5</v>
      </c>
      <c r="T92" s="20">
        <f t="shared" si="14"/>
        <v>1</v>
      </c>
      <c r="U92" s="21">
        <f t="shared" si="15"/>
        <v>1</v>
      </c>
    </row>
    <row r="93" spans="1:21" x14ac:dyDescent="0.25">
      <c r="A93" s="27" t="s">
        <v>59</v>
      </c>
      <c r="B93" s="19">
        <f>VLOOKUP(CONCATENATE($A93,"_",B$3),'10 seeds 7200s'!$A$1:$AD$1300,12, FALSE)</f>
        <v>1</v>
      </c>
      <c r="C93" s="20">
        <f>VLOOKUP(CONCATENATE($A93,"_",B$3),'10 seeds 7200s'!$A$1:$AD$1300,14, FALSE)</f>
        <v>0</v>
      </c>
      <c r="D93" s="20">
        <f>VLOOKUP(CONCATENATE($A93,"_",B$3),'10 seeds 7200s'!$A$1:$AD$1300,18, FALSE)</f>
        <v>4.9000000000000004</v>
      </c>
      <c r="E93" s="20">
        <f t="shared" si="8"/>
        <v>1</v>
      </c>
      <c r="F93" s="21">
        <f t="shared" si="9"/>
        <v>1</v>
      </c>
      <c r="G93" s="19">
        <f>VLOOKUP(CONCATENATE($A93,"_",G$3),'Checkpoint 7'!$A$1:$AD$1300,12, FALSE)</f>
        <v>1</v>
      </c>
      <c r="H93" s="20">
        <f>VLOOKUP(CONCATENATE($A93,"_",G$3),'Checkpoint 7'!$A$1:$AD$1300,14, FALSE)</f>
        <v>0</v>
      </c>
      <c r="I93" s="20">
        <f>VLOOKUP(CONCATENATE($A93,"_",G$3),'Checkpoint 7'!$A$1:$AD$1300,18, FALSE)</f>
        <v>6.7</v>
      </c>
      <c r="J93" s="20">
        <f t="shared" si="10"/>
        <v>1</v>
      </c>
      <c r="K93" s="21">
        <f t="shared" si="11"/>
        <v>1</v>
      </c>
      <c r="L93" s="19">
        <f>VLOOKUP(CONCATENATE($A93,"_",L$3),'10 seeds 7200s'!$A$1:$AD$1300,12, FALSE)</f>
        <v>1</v>
      </c>
      <c r="M93" s="20">
        <f>VLOOKUP(CONCATENATE($A93,"_",L$3),'10 seeds 7200s'!$A$1:$AD$1300,14, FALSE)</f>
        <v>0</v>
      </c>
      <c r="N93" s="20">
        <f>VLOOKUP(CONCATENATE($A93,"_",L$3),'10 seeds 7200s'!$A$1:$AD$1300,18, FALSE)</f>
        <v>4.2</v>
      </c>
      <c r="O93" s="20">
        <f t="shared" si="12"/>
        <v>1</v>
      </c>
      <c r="P93" s="21">
        <f t="shared" si="13"/>
        <v>1</v>
      </c>
      <c r="Q93" s="19">
        <f>VLOOKUP(CONCATENATE($A93,"_",Q$3),'10 seeds 7200s'!$A$1:$AD$1300,12, FALSE)</f>
        <v>1</v>
      </c>
      <c r="R93" s="20">
        <f>VLOOKUP(CONCATENATE($A93,"_",Q$3),'10 seeds 7200s'!$A$1:$AD$1300,14, FALSE)</f>
        <v>0</v>
      </c>
      <c r="S93" s="20">
        <f>VLOOKUP(CONCATENATE($A93,"_",Q$3),'10 seeds 7200s'!$A$1:$AD$1300,18, FALSE)</f>
        <v>4.2</v>
      </c>
      <c r="T93" s="20">
        <f t="shared" si="14"/>
        <v>1</v>
      </c>
      <c r="U93" s="21">
        <f t="shared" si="15"/>
        <v>1</v>
      </c>
    </row>
    <row r="94" spans="1:21" x14ac:dyDescent="0.25">
      <c r="A94" s="27" t="s">
        <v>77</v>
      </c>
      <c r="B94" s="19">
        <f>VLOOKUP(CONCATENATE($A94,"_",B$3),'10 seeds 7200s'!$A$1:$AD$1300,12, FALSE)</f>
        <v>1</v>
      </c>
      <c r="C94" s="20">
        <f>VLOOKUP(CONCATENATE($A94,"_",B$3),'10 seeds 7200s'!$A$1:$AD$1300,14, FALSE)</f>
        <v>0</v>
      </c>
      <c r="D94" s="20">
        <f>VLOOKUP(CONCATENATE($A94,"_",B$3),'10 seeds 7200s'!$A$1:$AD$1300,18, FALSE)</f>
        <v>22.7</v>
      </c>
      <c r="E94" s="20">
        <f t="shared" si="8"/>
        <v>1</v>
      </c>
      <c r="F94" s="21">
        <f t="shared" si="9"/>
        <v>1</v>
      </c>
      <c r="G94" s="19">
        <f>VLOOKUP(CONCATENATE($A94,"_",G$3),'Checkpoint 7'!$A$1:$AD$1300,12, FALSE)</f>
        <v>1</v>
      </c>
      <c r="H94" s="20">
        <f>VLOOKUP(CONCATENATE($A94,"_",G$3),'Checkpoint 7'!$A$1:$AD$1300,14, FALSE)</f>
        <v>0</v>
      </c>
      <c r="I94" s="20">
        <f>VLOOKUP(CONCATENATE($A94,"_",G$3),'Checkpoint 7'!$A$1:$AD$1300,18, FALSE)</f>
        <v>157.9</v>
      </c>
      <c r="J94" s="20">
        <f t="shared" si="10"/>
        <v>1</v>
      </c>
      <c r="K94" s="21">
        <f t="shared" si="11"/>
        <v>1</v>
      </c>
      <c r="L94" s="19">
        <f>VLOOKUP(CONCATENATE($A94,"_",L$3),'10 seeds 7200s'!$A$1:$AD$1300,12, FALSE)</f>
        <v>1</v>
      </c>
      <c r="M94" s="20">
        <f>VLOOKUP(CONCATENATE($A94,"_",L$3),'10 seeds 7200s'!$A$1:$AD$1300,14, FALSE)</f>
        <v>0</v>
      </c>
      <c r="N94" s="20">
        <f>VLOOKUP(CONCATENATE($A94,"_",L$3),'10 seeds 7200s'!$A$1:$AD$1300,18, FALSE)</f>
        <v>156</v>
      </c>
      <c r="O94" s="20">
        <f t="shared" si="12"/>
        <v>1</v>
      </c>
      <c r="P94" s="21">
        <f t="shared" si="13"/>
        <v>1</v>
      </c>
      <c r="Q94" s="19" t="e">
        <f>VLOOKUP(CONCATENATE($A94,"_",Q$3),'10 seeds 7200s'!$A$1:$AD$1300,12, FALSE)</f>
        <v>#N/A</v>
      </c>
      <c r="R94" s="20" t="e">
        <f>VLOOKUP(CONCATENATE($A94,"_",Q$3),'10 seeds 7200s'!$A$1:$AD$1300,14, FALSE)</f>
        <v>#N/A</v>
      </c>
      <c r="S94" s="20" t="e">
        <f>VLOOKUP(CONCATENATE($A94,"_",Q$3),'10 seeds 7200s'!$A$1:$AD$1300,18, FALSE)</f>
        <v>#N/A</v>
      </c>
      <c r="T94" s="20" t="e">
        <f t="shared" si="14"/>
        <v>#N/A</v>
      </c>
      <c r="U94" s="21" t="e">
        <f t="shared" si="15"/>
        <v>#N/A</v>
      </c>
    </row>
    <row r="95" spans="1:21" x14ac:dyDescent="0.25">
      <c r="A95" s="27" t="s">
        <v>135</v>
      </c>
      <c r="B95" s="19">
        <f>VLOOKUP(CONCATENATE($A95,"_",B$3),'10 seeds 7200s'!$A$1:$AD$1300,12, FALSE)</f>
        <v>1</v>
      </c>
      <c r="C95" s="20">
        <f>VLOOKUP(CONCATENATE($A95,"_",B$3),'10 seeds 7200s'!$A$1:$AD$1300,14, FALSE)</f>
        <v>0</v>
      </c>
      <c r="D95" s="20">
        <f>VLOOKUP(CONCATENATE($A95,"_",B$3),'10 seeds 7200s'!$A$1:$AD$1300,18, FALSE)</f>
        <v>35.200000000000003</v>
      </c>
      <c r="E95" s="20">
        <f t="shared" si="8"/>
        <v>1</v>
      </c>
      <c r="F95" s="21">
        <f t="shared" si="9"/>
        <v>1</v>
      </c>
      <c r="G95" s="19">
        <f>VLOOKUP(CONCATENATE($A95,"_",G$3),'Checkpoint 7'!$A$1:$AD$1300,12, FALSE)</f>
        <v>1</v>
      </c>
      <c r="H95" s="20">
        <f>VLOOKUP(CONCATENATE($A95,"_",G$3),'Checkpoint 7'!$A$1:$AD$1300,14, FALSE)</f>
        <v>0</v>
      </c>
      <c r="I95" s="20">
        <f>VLOOKUP(CONCATENATE($A95,"_",G$3),'Checkpoint 7'!$A$1:$AD$1300,18, FALSE)</f>
        <v>39.5</v>
      </c>
      <c r="J95" s="20">
        <f t="shared" si="10"/>
        <v>1</v>
      </c>
      <c r="K95" s="21">
        <f t="shared" si="11"/>
        <v>1</v>
      </c>
      <c r="L95" s="19">
        <f>VLOOKUP(CONCATENATE($A95,"_",L$3),'10 seeds 7200s'!$A$1:$AD$1300,12, FALSE)</f>
        <v>1</v>
      </c>
      <c r="M95" s="20">
        <f>VLOOKUP(CONCATENATE($A95,"_",L$3),'10 seeds 7200s'!$A$1:$AD$1300,14, FALSE)</f>
        <v>0</v>
      </c>
      <c r="N95" s="20">
        <f>VLOOKUP(CONCATENATE($A95,"_",L$3),'10 seeds 7200s'!$A$1:$AD$1300,18, FALSE)</f>
        <v>937.5</v>
      </c>
      <c r="O95" s="20">
        <f t="shared" si="12"/>
        <v>1</v>
      </c>
      <c r="P95" s="21">
        <f t="shared" si="13"/>
        <v>1</v>
      </c>
      <c r="Q95" s="19">
        <f>VLOOKUP(CONCATENATE($A95,"_",Q$3),'10 seeds 7200s'!$A$1:$AD$1300,12, FALSE)</f>
        <v>1</v>
      </c>
      <c r="R95" s="20">
        <f>VLOOKUP(CONCATENATE($A95,"_",Q$3),'10 seeds 7200s'!$A$1:$AD$1300,14, FALSE)</f>
        <v>0</v>
      </c>
      <c r="S95" s="20">
        <f>VLOOKUP(CONCATENATE($A95,"_",Q$3),'10 seeds 7200s'!$A$1:$AD$1300,18, FALSE)</f>
        <v>32.6</v>
      </c>
      <c r="T95" s="20">
        <f t="shared" si="14"/>
        <v>1</v>
      </c>
      <c r="U95" s="21">
        <f t="shared" si="15"/>
        <v>1</v>
      </c>
    </row>
    <row r="96" spans="1:21" x14ac:dyDescent="0.25">
      <c r="A96" s="27" t="s">
        <v>109</v>
      </c>
      <c r="B96" s="19">
        <f>VLOOKUP(CONCATENATE($A96,"_",B$3),'10 seeds 7200s'!$A$1:$AD$1300,12, FALSE)</f>
        <v>1</v>
      </c>
      <c r="C96" s="20">
        <f>VLOOKUP(CONCATENATE($A96,"_",B$3),'10 seeds 7200s'!$A$1:$AD$1300,14, FALSE)</f>
        <v>0</v>
      </c>
      <c r="D96" s="20">
        <f>VLOOKUP(CONCATENATE($A96,"_",B$3),'10 seeds 7200s'!$A$1:$AD$1300,18, FALSE)</f>
        <v>8.3000000000000007</v>
      </c>
      <c r="E96" s="20">
        <f t="shared" si="8"/>
        <v>1</v>
      </c>
      <c r="F96" s="21">
        <f t="shared" si="9"/>
        <v>1</v>
      </c>
      <c r="G96" s="19">
        <f>VLOOKUP(CONCATENATE($A96,"_",G$3),'Checkpoint 7'!$A$1:$AD$1300,12, FALSE)</f>
        <v>1</v>
      </c>
      <c r="H96" s="20">
        <f>VLOOKUP(CONCATENATE($A96,"_",G$3),'Checkpoint 7'!$A$1:$AD$1300,14, FALSE)</f>
        <v>0</v>
      </c>
      <c r="I96" s="20">
        <f>VLOOKUP(CONCATENATE($A96,"_",G$3),'Checkpoint 7'!$A$1:$AD$1300,18, FALSE)</f>
        <v>8.8000000000000007</v>
      </c>
      <c r="J96" s="20">
        <f t="shared" si="10"/>
        <v>1</v>
      </c>
      <c r="K96" s="21">
        <f t="shared" si="11"/>
        <v>1</v>
      </c>
      <c r="L96" s="19">
        <f>VLOOKUP(CONCATENATE($A96,"_",L$3),'10 seeds 7200s'!$A$1:$AD$1300,12, FALSE)</f>
        <v>1</v>
      </c>
      <c r="M96" s="20">
        <f>VLOOKUP(CONCATENATE($A96,"_",L$3),'10 seeds 7200s'!$A$1:$AD$1300,14, FALSE)</f>
        <v>0</v>
      </c>
      <c r="N96" s="20">
        <f>VLOOKUP(CONCATENATE($A96,"_",L$3),'10 seeds 7200s'!$A$1:$AD$1300,18, FALSE)</f>
        <v>7.8</v>
      </c>
      <c r="O96" s="20">
        <f t="shared" si="12"/>
        <v>1</v>
      </c>
      <c r="P96" s="21">
        <f t="shared" si="13"/>
        <v>1</v>
      </c>
      <c r="Q96" s="19">
        <f>VLOOKUP(CONCATENATE($A96,"_",Q$3),'10 seeds 7200s'!$A$1:$AD$1300,12, FALSE)</f>
        <v>1</v>
      </c>
      <c r="R96" s="20">
        <f>VLOOKUP(CONCATENATE($A96,"_",Q$3),'10 seeds 7200s'!$A$1:$AD$1300,14, FALSE)</f>
        <v>0</v>
      </c>
      <c r="S96" s="20">
        <f>VLOOKUP(CONCATENATE($A96,"_",Q$3),'10 seeds 7200s'!$A$1:$AD$1300,18, FALSE)</f>
        <v>7</v>
      </c>
      <c r="T96" s="20">
        <f t="shared" si="14"/>
        <v>1</v>
      </c>
      <c r="U96" s="21">
        <f t="shared" si="15"/>
        <v>1</v>
      </c>
    </row>
    <row r="97" spans="1:21" x14ac:dyDescent="0.25">
      <c r="A97" s="27" t="s">
        <v>98</v>
      </c>
      <c r="B97" s="19">
        <f>VLOOKUP(CONCATENATE($A97,"_",B$3),'10 seeds 7200s'!$A$1:$AD$1300,12, FALSE)</f>
        <v>0.99999700000000002</v>
      </c>
      <c r="C97" s="20">
        <f>VLOOKUP(CONCATENATE($A97,"_",B$3),'10 seeds 7200s'!$A$1:$AD$1300,14, FALSE)</f>
        <v>1.6053899999999999E-2</v>
      </c>
      <c r="D97" s="20">
        <f>VLOOKUP(CONCATENATE($A97,"_",B$3),'10 seeds 7200s'!$A$1:$AD$1300,18, FALSE)</f>
        <v>7202.5</v>
      </c>
      <c r="E97" s="20">
        <f t="shared" si="8"/>
        <v>0</v>
      </c>
      <c r="F97" s="21">
        <f t="shared" si="9"/>
        <v>1</v>
      </c>
      <c r="G97" s="19">
        <f>VLOOKUP(CONCATENATE($A97,"_",G$3),'Checkpoint 7'!$A$1:$AD$1300,12, FALSE)</f>
        <v>0.99999700000000002</v>
      </c>
      <c r="H97" s="20">
        <f>VLOOKUP(CONCATENATE($A97,"_",G$3),'Checkpoint 7'!$A$1:$AD$1300,14, FALSE)</f>
        <v>1.6053899999999999E-2</v>
      </c>
      <c r="I97" s="20">
        <f>VLOOKUP(CONCATENATE($A97,"_",G$3),'Checkpoint 7'!$A$1:$AD$1300,18, FALSE)</f>
        <v>7200.7</v>
      </c>
      <c r="J97" s="20">
        <f t="shared" si="10"/>
        <v>0</v>
      </c>
      <c r="K97" s="21">
        <f t="shared" si="11"/>
        <v>1</v>
      </c>
      <c r="L97" s="19">
        <f>VLOOKUP(CONCATENATE($A97,"_",L$3),'10 seeds 7200s'!$A$1:$AD$1300,12, FALSE)</f>
        <v>0.99999689999999997</v>
      </c>
      <c r="M97" s="20">
        <f>VLOOKUP(CONCATENATE($A97,"_",L$3),'10 seeds 7200s'!$A$1:$AD$1300,14, FALSE)</f>
        <v>1.6137599999999998E-2</v>
      </c>
      <c r="N97" s="20">
        <f>VLOOKUP(CONCATENATE($A97,"_",L$3),'10 seeds 7200s'!$A$1:$AD$1300,18, FALSE)</f>
        <v>7200.8</v>
      </c>
      <c r="O97" s="20">
        <f t="shared" si="12"/>
        <v>0</v>
      </c>
      <c r="P97" s="21">
        <f t="shared" si="13"/>
        <v>1</v>
      </c>
      <c r="Q97" s="19" t="e">
        <f>VLOOKUP(CONCATENATE($A97,"_",Q$3),'10 seeds 7200s'!$A$1:$AD$1300,12, FALSE)</f>
        <v>#N/A</v>
      </c>
      <c r="R97" s="20" t="e">
        <f>VLOOKUP(CONCATENATE($A97,"_",Q$3),'10 seeds 7200s'!$A$1:$AD$1300,14, FALSE)</f>
        <v>#N/A</v>
      </c>
      <c r="S97" s="20" t="e">
        <f>VLOOKUP(CONCATENATE($A97,"_",Q$3),'10 seeds 7200s'!$A$1:$AD$1300,18, FALSE)</f>
        <v>#N/A</v>
      </c>
      <c r="T97" s="20" t="e">
        <f t="shared" si="14"/>
        <v>#N/A</v>
      </c>
      <c r="U97" s="21" t="e">
        <f t="shared" si="15"/>
        <v>#N/A</v>
      </c>
    </row>
    <row r="98" spans="1:21" x14ac:dyDescent="0.25">
      <c r="A98" s="27" t="s">
        <v>96</v>
      </c>
      <c r="B98" s="19">
        <f>VLOOKUP(CONCATENATE($A98,"_",B$3),'10 seeds 7200s'!$A$1:$AD$1300,12, FALSE)</f>
        <v>0.99995750000000005</v>
      </c>
      <c r="C98" s="20">
        <f>VLOOKUP(CONCATENATE($A98,"_",B$3),'10 seeds 7200s'!$A$1:$AD$1300,14, FALSE)</f>
        <v>3.3115499999999999E-2</v>
      </c>
      <c r="D98" s="20">
        <f>VLOOKUP(CONCATENATE($A98,"_",B$3),'10 seeds 7200s'!$A$1:$AD$1300,18, FALSE)</f>
        <v>7202.3</v>
      </c>
      <c r="E98" s="20">
        <f t="shared" si="8"/>
        <v>0</v>
      </c>
      <c r="F98" s="21">
        <f t="shared" si="9"/>
        <v>1</v>
      </c>
      <c r="G98" s="19">
        <f>VLOOKUP(CONCATENATE($A98,"_",G$3),'Checkpoint 7'!$A$1:$AD$1300,12, FALSE)</f>
        <v>0.99999990000000005</v>
      </c>
      <c r="H98" s="20">
        <f>VLOOKUP(CONCATENATE($A98,"_",G$3),'Checkpoint 7'!$A$1:$AD$1300,14, FALSE)</f>
        <v>1.2581999999999999E-3</v>
      </c>
      <c r="I98" s="20">
        <f>VLOOKUP(CONCATENATE($A98,"_",G$3),'Checkpoint 7'!$A$1:$AD$1300,18, FALSE)</f>
        <v>6933</v>
      </c>
      <c r="J98" s="20">
        <f t="shared" si="10"/>
        <v>0</v>
      </c>
      <c r="K98" s="21">
        <f t="shared" si="11"/>
        <v>1</v>
      </c>
      <c r="L98" s="19" t="e">
        <f>VLOOKUP(CONCATENATE($A98,"_",L$3),'10 seeds 7200s'!$A$1:$AD$1300,12, FALSE)</f>
        <v>#N/A</v>
      </c>
      <c r="M98" s="20" t="e">
        <f>VLOOKUP(CONCATENATE($A98,"_",L$3),'10 seeds 7200s'!$A$1:$AD$1300,14, FALSE)</f>
        <v>#N/A</v>
      </c>
      <c r="N98" s="20" t="e">
        <f>VLOOKUP(CONCATENATE($A98,"_",L$3),'10 seeds 7200s'!$A$1:$AD$1300,18, FALSE)</f>
        <v>#N/A</v>
      </c>
      <c r="O98" s="20" t="e">
        <f t="shared" si="12"/>
        <v>#N/A</v>
      </c>
      <c r="P98" s="21" t="e">
        <f t="shared" si="13"/>
        <v>#N/A</v>
      </c>
      <c r="Q98" s="19" t="e">
        <f>VLOOKUP(CONCATENATE($A98,"_",Q$3),'10 seeds 7200s'!$A$1:$AD$1300,12, FALSE)</f>
        <v>#N/A</v>
      </c>
      <c r="R98" s="20" t="e">
        <f>VLOOKUP(CONCATENATE($A98,"_",Q$3),'10 seeds 7200s'!$A$1:$AD$1300,14, FALSE)</f>
        <v>#N/A</v>
      </c>
      <c r="S98" s="20" t="e">
        <f>VLOOKUP(CONCATENATE($A98,"_",Q$3),'10 seeds 7200s'!$A$1:$AD$1300,18, FALSE)</f>
        <v>#N/A</v>
      </c>
      <c r="T98" s="20" t="e">
        <f t="shared" si="14"/>
        <v>#N/A</v>
      </c>
      <c r="U98" s="21" t="e">
        <f t="shared" si="15"/>
        <v>#N/A</v>
      </c>
    </row>
    <row r="99" spans="1:21" x14ac:dyDescent="0.25">
      <c r="A99" s="27" t="s">
        <v>76</v>
      </c>
      <c r="B99" s="19">
        <f>VLOOKUP(CONCATENATE($A99,"_",B$3),'10 seeds 7200s'!$A$1:$AD$1300,12, FALSE)</f>
        <v>1</v>
      </c>
      <c r="C99" s="20">
        <f>VLOOKUP(CONCATENATE($A99,"_",B$3),'10 seeds 7200s'!$A$1:$AD$1300,14, FALSE)</f>
        <v>0</v>
      </c>
      <c r="D99" s="20">
        <f>VLOOKUP(CONCATENATE($A99,"_",B$3),'10 seeds 7200s'!$A$1:$AD$1300,18, FALSE)</f>
        <v>4.4000000000000004</v>
      </c>
      <c r="E99" s="20">
        <f t="shared" si="8"/>
        <v>1</v>
      </c>
      <c r="F99" s="21">
        <f t="shared" si="9"/>
        <v>1</v>
      </c>
      <c r="G99" s="19">
        <f>VLOOKUP(CONCATENATE($A99,"_",G$3),'Checkpoint 7'!$A$1:$AD$1300,12, FALSE)</f>
        <v>1</v>
      </c>
      <c r="H99" s="20">
        <f>VLOOKUP(CONCATENATE($A99,"_",G$3),'Checkpoint 7'!$A$1:$AD$1300,14, FALSE)</f>
        <v>0</v>
      </c>
      <c r="I99" s="20">
        <f>VLOOKUP(CONCATENATE($A99,"_",G$3),'Checkpoint 7'!$A$1:$AD$1300,18, FALSE)</f>
        <v>5.4</v>
      </c>
      <c r="J99" s="20">
        <f t="shared" si="10"/>
        <v>1</v>
      </c>
      <c r="K99" s="21">
        <f t="shared" si="11"/>
        <v>1</v>
      </c>
      <c r="L99" s="19">
        <f>VLOOKUP(CONCATENATE($A99,"_",L$3),'10 seeds 7200s'!$A$1:$AD$1300,12, FALSE)</f>
        <v>1</v>
      </c>
      <c r="M99" s="20">
        <f>VLOOKUP(CONCATENATE($A99,"_",L$3),'10 seeds 7200s'!$A$1:$AD$1300,14, FALSE)</f>
        <v>0</v>
      </c>
      <c r="N99" s="20">
        <f>VLOOKUP(CONCATENATE($A99,"_",L$3),'10 seeds 7200s'!$A$1:$AD$1300,18, FALSE)</f>
        <v>4</v>
      </c>
      <c r="O99" s="20">
        <f t="shared" si="12"/>
        <v>1</v>
      </c>
      <c r="P99" s="21">
        <f t="shared" si="13"/>
        <v>1</v>
      </c>
      <c r="Q99" s="19">
        <f>VLOOKUP(CONCATENATE($A99,"_",Q$3),'10 seeds 7200s'!$A$1:$AD$1300,12, FALSE)</f>
        <v>1</v>
      </c>
      <c r="R99" s="20">
        <f>VLOOKUP(CONCATENATE($A99,"_",Q$3),'10 seeds 7200s'!$A$1:$AD$1300,14, FALSE)</f>
        <v>0</v>
      </c>
      <c r="S99" s="20">
        <f>VLOOKUP(CONCATENATE($A99,"_",Q$3),'10 seeds 7200s'!$A$1:$AD$1300,18, FALSE)</f>
        <v>3.9</v>
      </c>
      <c r="T99" s="20">
        <f t="shared" si="14"/>
        <v>1</v>
      </c>
      <c r="U99" s="21">
        <f t="shared" si="15"/>
        <v>1</v>
      </c>
    </row>
    <row r="100" spans="1:21" x14ac:dyDescent="0.25">
      <c r="A100" s="27" t="s">
        <v>74</v>
      </c>
      <c r="B100" s="19">
        <f>VLOOKUP(CONCATENATE($A100,"_",B$3),'10 seeds 7200s'!$A$1:$AD$1300,12, FALSE)</f>
        <v>0.45345039999999998</v>
      </c>
      <c r="C100" s="20">
        <f>VLOOKUP(CONCATENATE($A100,"_",B$3),'10 seeds 7200s'!$A$1:$AD$1300,14, FALSE)</f>
        <v>0.26087939999999998</v>
      </c>
      <c r="D100" s="20">
        <f>VLOOKUP(CONCATENATE($A100,"_",B$3),'10 seeds 7200s'!$A$1:$AD$1300,18, FALSE)</f>
        <v>7200.4</v>
      </c>
      <c r="E100" s="20">
        <f t="shared" si="8"/>
        <v>0</v>
      </c>
      <c r="F100" s="21">
        <f t="shared" si="9"/>
        <v>0</v>
      </c>
      <c r="G100" s="19">
        <f>VLOOKUP(CONCATENATE($A100,"_",G$3),'Checkpoint 7'!$A$1:$AD$1300,12, FALSE)</f>
        <v>0.71314900000000003</v>
      </c>
      <c r="H100" s="20">
        <f>VLOOKUP(CONCATENATE($A100,"_",G$3),'Checkpoint 7'!$A$1:$AD$1300,14, FALSE)</f>
        <v>0.1889962</v>
      </c>
      <c r="I100" s="20">
        <f>VLOOKUP(CONCATENATE($A100,"_",G$3),'Checkpoint 7'!$A$1:$AD$1300,18, FALSE)</f>
        <v>7200.9</v>
      </c>
      <c r="J100" s="20">
        <f t="shared" si="10"/>
        <v>0</v>
      </c>
      <c r="K100" s="21">
        <f t="shared" si="11"/>
        <v>0</v>
      </c>
      <c r="L100" s="19">
        <f>VLOOKUP(CONCATENATE($A100,"_",L$3),'10 seeds 7200s'!$A$1:$AD$1300,12, FALSE)</f>
        <v>0.74889830000000002</v>
      </c>
      <c r="M100" s="20">
        <f>VLOOKUP(CONCATENATE($A100,"_",L$3),'10 seeds 7200s'!$A$1:$AD$1300,14, FALSE)</f>
        <v>0.17692060000000001</v>
      </c>
      <c r="N100" s="20">
        <f>VLOOKUP(CONCATENATE($A100,"_",L$3),'10 seeds 7200s'!$A$1:$AD$1300,18, FALSE)</f>
        <v>7200.5</v>
      </c>
      <c r="O100" s="20">
        <f t="shared" si="12"/>
        <v>0</v>
      </c>
      <c r="P100" s="21">
        <f t="shared" si="13"/>
        <v>0</v>
      </c>
      <c r="Q100" s="19" t="e">
        <f>VLOOKUP(CONCATENATE($A100,"_",Q$3),'10 seeds 7200s'!$A$1:$AD$1300,12, FALSE)</f>
        <v>#N/A</v>
      </c>
      <c r="R100" s="20" t="e">
        <f>VLOOKUP(CONCATENATE($A100,"_",Q$3),'10 seeds 7200s'!$A$1:$AD$1300,14, FALSE)</f>
        <v>#N/A</v>
      </c>
      <c r="S100" s="20" t="e">
        <f>VLOOKUP(CONCATENATE($A100,"_",Q$3),'10 seeds 7200s'!$A$1:$AD$1300,18, FALSE)</f>
        <v>#N/A</v>
      </c>
      <c r="T100" s="20" t="e">
        <f t="shared" si="14"/>
        <v>#N/A</v>
      </c>
      <c r="U100" s="21" t="e">
        <f t="shared" si="15"/>
        <v>#N/A</v>
      </c>
    </row>
    <row r="101" spans="1:21" x14ac:dyDescent="0.25">
      <c r="A101" s="27" t="s">
        <v>141</v>
      </c>
      <c r="B101" s="19">
        <f>VLOOKUP(CONCATENATE($A101,"_",B$3),'10 seeds 7200s'!$A$1:$AD$1300,12, FALSE)</f>
        <v>0.99873829999999997</v>
      </c>
      <c r="C101" s="20">
        <f>VLOOKUP(CONCATENATE($A101,"_",B$3),'10 seeds 7200s'!$A$1:$AD$1300,14, FALSE)</f>
        <v>0.50898770000000004</v>
      </c>
      <c r="D101" s="20">
        <f>VLOOKUP(CONCATENATE($A101,"_",B$3),'10 seeds 7200s'!$A$1:$AD$1300,18, FALSE)</f>
        <v>7200.2</v>
      </c>
      <c r="E101" s="20">
        <f t="shared" si="8"/>
        <v>0</v>
      </c>
      <c r="F101" s="21">
        <f t="shared" si="9"/>
        <v>0</v>
      </c>
      <c r="G101" s="19">
        <f>VLOOKUP(CONCATENATE($A101,"_",G$3),'Checkpoint 7'!$A$1:$AD$1300,12, FALSE)</f>
        <v>0.99186280000000004</v>
      </c>
      <c r="H101" s="20">
        <f>VLOOKUP(CONCATENATE($A101,"_",G$3),'Checkpoint 7'!$A$1:$AD$1300,14, FALSE)</f>
        <v>1.292613</v>
      </c>
      <c r="I101" s="20">
        <f>VLOOKUP(CONCATENATE($A101,"_",G$3),'Checkpoint 7'!$A$1:$AD$1300,18, FALSE)</f>
        <v>7207.3</v>
      </c>
      <c r="J101" s="20">
        <f t="shared" si="10"/>
        <v>0</v>
      </c>
      <c r="K101" s="21">
        <f t="shared" si="11"/>
        <v>0</v>
      </c>
      <c r="L101" s="19">
        <f>VLOOKUP(CONCATENATE($A101,"_",L$3),'10 seeds 7200s'!$A$1:$AD$1300,12, FALSE)</f>
        <v>0.99866759999999999</v>
      </c>
      <c r="M101" s="20">
        <f>VLOOKUP(CONCATENATE($A101,"_",L$3),'10 seeds 7200s'!$A$1:$AD$1300,14, FALSE)</f>
        <v>0.5246016</v>
      </c>
      <c r="N101" s="20">
        <f>VLOOKUP(CONCATENATE($A101,"_",L$3),'10 seeds 7200s'!$A$1:$AD$1300,18, FALSE)</f>
        <v>7201</v>
      </c>
      <c r="O101" s="20">
        <f t="shared" si="12"/>
        <v>0</v>
      </c>
      <c r="P101" s="21">
        <f t="shared" si="13"/>
        <v>0</v>
      </c>
      <c r="Q101" s="19" t="e">
        <f>VLOOKUP(CONCATENATE($A101,"_",Q$3),'10 seeds 7200s'!$A$1:$AD$1300,12, FALSE)</f>
        <v>#N/A</v>
      </c>
      <c r="R101" s="20" t="e">
        <f>VLOOKUP(CONCATENATE($A101,"_",Q$3),'10 seeds 7200s'!$A$1:$AD$1300,14, FALSE)</f>
        <v>#N/A</v>
      </c>
      <c r="S101" s="20" t="e">
        <f>VLOOKUP(CONCATENATE($A101,"_",Q$3),'10 seeds 7200s'!$A$1:$AD$1300,18, FALSE)</f>
        <v>#N/A</v>
      </c>
      <c r="T101" s="20" t="e">
        <f t="shared" si="14"/>
        <v>#N/A</v>
      </c>
      <c r="U101" s="21" t="e">
        <f t="shared" si="15"/>
        <v>#N/A</v>
      </c>
    </row>
    <row r="102" spans="1:21" x14ac:dyDescent="0.25">
      <c r="A102" s="27" t="s">
        <v>147</v>
      </c>
      <c r="B102" s="19">
        <f>VLOOKUP(CONCATENATE($A102,"_",B$3),'10 seeds 7200s'!$A$1:$AD$1300,12, FALSE)</f>
        <v>0.99999470000000001</v>
      </c>
      <c r="C102" s="20">
        <f>VLOOKUP(CONCATENATE($A102,"_",B$3),'10 seeds 7200s'!$A$1:$AD$1300,14, FALSE)</f>
        <v>2.73855E-2</v>
      </c>
      <c r="D102" s="20">
        <f>VLOOKUP(CONCATENATE($A102,"_",B$3),'10 seeds 7200s'!$A$1:$AD$1300,18, FALSE)</f>
        <v>7201.4</v>
      </c>
      <c r="E102" s="20">
        <f t="shared" si="8"/>
        <v>0</v>
      </c>
      <c r="F102" s="21">
        <f t="shared" si="9"/>
        <v>1</v>
      </c>
      <c r="G102" s="19">
        <f>VLOOKUP(CONCATENATE($A102,"_",G$3),'Checkpoint 7'!$A$1:$AD$1300,12, FALSE)</f>
        <v>0.99997100000000005</v>
      </c>
      <c r="H102" s="20">
        <f>VLOOKUP(CONCATENATE($A102,"_",G$3),'Checkpoint 7'!$A$1:$AD$1300,14, FALSE)</f>
        <v>6.37987E-2</v>
      </c>
      <c r="I102" s="20">
        <f>VLOOKUP(CONCATENATE($A102,"_",G$3),'Checkpoint 7'!$A$1:$AD$1300,18, FALSE)</f>
        <v>7200.8</v>
      </c>
      <c r="J102" s="20">
        <f t="shared" si="10"/>
        <v>0</v>
      </c>
      <c r="K102" s="21">
        <f t="shared" si="11"/>
        <v>1</v>
      </c>
      <c r="L102" s="19">
        <f>VLOOKUP(CONCATENATE($A102,"_",L$3),'10 seeds 7200s'!$A$1:$AD$1300,12, FALSE)</f>
        <v>0.99999870000000002</v>
      </c>
      <c r="M102" s="20">
        <f>VLOOKUP(CONCATENATE($A102,"_",L$3),'10 seeds 7200s'!$A$1:$AD$1300,14, FALSE)</f>
        <v>1.35967E-2</v>
      </c>
      <c r="N102" s="20">
        <f>VLOOKUP(CONCATENATE($A102,"_",L$3),'10 seeds 7200s'!$A$1:$AD$1300,18, FALSE)</f>
        <v>7200.8</v>
      </c>
      <c r="O102" s="20">
        <f t="shared" si="12"/>
        <v>0</v>
      </c>
      <c r="P102" s="21">
        <f t="shared" si="13"/>
        <v>1</v>
      </c>
      <c r="Q102" s="19">
        <f>VLOOKUP(CONCATENATE($A102,"_",Q$3),'10 seeds 7200s'!$A$1:$AD$1300,12, FALSE)</f>
        <v>0.99999740000000004</v>
      </c>
      <c r="R102" s="20">
        <f>VLOOKUP(CONCATENATE($A102,"_",Q$3),'10 seeds 7200s'!$A$1:$AD$1300,14, FALSE)</f>
        <v>1.9148499999999999E-2</v>
      </c>
      <c r="S102" s="20">
        <f>VLOOKUP(CONCATENATE($A102,"_",Q$3),'10 seeds 7200s'!$A$1:$AD$1300,18, FALSE)</f>
        <v>7201.9</v>
      </c>
      <c r="T102" s="20">
        <f t="shared" si="14"/>
        <v>0</v>
      </c>
      <c r="U102" s="21">
        <f t="shared" si="15"/>
        <v>1</v>
      </c>
    </row>
    <row r="103" spans="1:21" x14ac:dyDescent="0.25">
      <c r="A103" s="27" t="s">
        <v>91</v>
      </c>
      <c r="B103" s="19">
        <f>VLOOKUP(CONCATENATE($A103,"_",B$3),'10 seeds 7200s'!$A$1:$AD$1300,12, FALSE)</f>
        <v>0.99329489999999998</v>
      </c>
      <c r="C103" s="20">
        <f>VLOOKUP(CONCATENATE($A103,"_",B$3),'10 seeds 7200s'!$A$1:$AD$1300,14, FALSE)</f>
        <v>8.5283800000000007E-2</v>
      </c>
      <c r="D103" s="20">
        <f>VLOOKUP(CONCATENATE($A103,"_",B$3),'10 seeds 7200s'!$A$1:$AD$1300,18, FALSE)</f>
        <v>7201.3</v>
      </c>
      <c r="E103" s="20">
        <f t="shared" si="8"/>
        <v>0</v>
      </c>
      <c r="F103" s="21">
        <f t="shared" si="9"/>
        <v>0</v>
      </c>
      <c r="G103" s="19">
        <f>VLOOKUP(CONCATENATE($A103,"_",G$3),'Checkpoint 7'!$A$1:$AD$1300,12, FALSE)</f>
        <v>0.99505940000000004</v>
      </c>
      <c r="H103" s="20">
        <f>VLOOKUP(CONCATENATE($A103,"_",G$3),'Checkpoint 7'!$A$1:$AD$1300,14, FALSE)</f>
        <v>7.3207499999999995E-2</v>
      </c>
      <c r="I103" s="20">
        <f>VLOOKUP(CONCATENATE($A103,"_",G$3),'Checkpoint 7'!$A$1:$AD$1300,18, FALSE)</f>
        <v>7201.9</v>
      </c>
      <c r="J103" s="20">
        <f t="shared" si="10"/>
        <v>0</v>
      </c>
      <c r="K103" s="21">
        <f t="shared" si="11"/>
        <v>0</v>
      </c>
      <c r="L103" s="19">
        <f>VLOOKUP(CONCATENATE($A103,"_",L$3),'10 seeds 7200s'!$A$1:$AD$1300,12, FALSE)</f>
        <v>0.99569719999999995</v>
      </c>
      <c r="M103" s="20">
        <f>VLOOKUP(CONCATENATE($A103,"_",L$3),'10 seeds 7200s'!$A$1:$AD$1300,14, FALSE)</f>
        <v>6.7969000000000002E-2</v>
      </c>
      <c r="N103" s="20">
        <f>VLOOKUP(CONCATENATE($A103,"_",L$3),'10 seeds 7200s'!$A$1:$AD$1300,18, FALSE)</f>
        <v>7200.9</v>
      </c>
      <c r="O103" s="20">
        <f t="shared" si="12"/>
        <v>0</v>
      </c>
      <c r="P103" s="21">
        <f t="shared" si="13"/>
        <v>0</v>
      </c>
      <c r="Q103" s="19" t="e">
        <f>VLOOKUP(CONCATENATE($A103,"_",Q$3),'10 seeds 7200s'!$A$1:$AD$1300,12, FALSE)</f>
        <v>#N/A</v>
      </c>
      <c r="R103" s="20" t="e">
        <f>VLOOKUP(CONCATENATE($A103,"_",Q$3),'10 seeds 7200s'!$A$1:$AD$1300,14, FALSE)</f>
        <v>#N/A</v>
      </c>
      <c r="S103" s="20" t="e">
        <f>VLOOKUP(CONCATENATE($A103,"_",Q$3),'10 seeds 7200s'!$A$1:$AD$1300,18, FALSE)</f>
        <v>#N/A</v>
      </c>
      <c r="T103" s="20" t="e">
        <f t="shared" si="14"/>
        <v>#N/A</v>
      </c>
      <c r="U103" s="21" t="e">
        <f t="shared" si="15"/>
        <v>#N/A</v>
      </c>
    </row>
    <row r="104" spans="1:21" x14ac:dyDescent="0.25">
      <c r="A104" s="27" t="s">
        <v>124</v>
      </c>
      <c r="B104" s="19">
        <f>VLOOKUP(CONCATENATE($A104,"_",B$3),'10 seeds 7200s'!$A$1:$AD$1300,12, FALSE)</f>
        <v>0.99999830000000001</v>
      </c>
      <c r="C104" s="20">
        <f>VLOOKUP(CONCATENATE($A104,"_",B$3),'10 seeds 7200s'!$A$1:$AD$1300,14, FALSE)</f>
        <v>1.8808999999999999E-2</v>
      </c>
      <c r="D104" s="20">
        <f>VLOOKUP(CONCATENATE($A104,"_",B$3),'10 seeds 7200s'!$A$1:$AD$1300,18, FALSE)</f>
        <v>7201.1</v>
      </c>
      <c r="E104" s="20">
        <f t="shared" si="8"/>
        <v>0</v>
      </c>
      <c r="F104" s="21">
        <f t="shared" si="9"/>
        <v>1</v>
      </c>
      <c r="G104" s="19">
        <f>VLOOKUP(CONCATENATE($A104,"_",G$3),'Checkpoint 7'!$A$1:$AD$1300,12, FALSE)</f>
        <v>0.99999830000000001</v>
      </c>
      <c r="H104" s="20">
        <f>VLOOKUP(CONCATENATE($A104,"_",G$3),'Checkpoint 7'!$A$1:$AD$1300,14, FALSE)</f>
        <v>1.8808999999999999E-2</v>
      </c>
      <c r="I104" s="20">
        <f>VLOOKUP(CONCATENATE($A104,"_",G$3),'Checkpoint 7'!$A$1:$AD$1300,18, FALSE)</f>
        <v>6988.6</v>
      </c>
      <c r="J104" s="20">
        <f t="shared" si="10"/>
        <v>0</v>
      </c>
      <c r="K104" s="21">
        <f t="shared" si="11"/>
        <v>1</v>
      </c>
      <c r="L104" s="19">
        <f>VLOOKUP(CONCATENATE($A104,"_",L$3),'10 seeds 7200s'!$A$1:$AD$1300,12, FALSE)</f>
        <v>0.99999830000000001</v>
      </c>
      <c r="M104" s="20">
        <f>VLOOKUP(CONCATENATE($A104,"_",L$3),'10 seeds 7200s'!$A$1:$AD$1300,14, FALSE)</f>
        <v>1.8753300000000001E-2</v>
      </c>
      <c r="N104" s="20">
        <f>VLOOKUP(CONCATENATE($A104,"_",L$3),'10 seeds 7200s'!$A$1:$AD$1300,18, FALSE)</f>
        <v>7203.1</v>
      </c>
      <c r="O104" s="20">
        <f t="shared" si="12"/>
        <v>0</v>
      </c>
      <c r="P104" s="21">
        <f t="shared" si="13"/>
        <v>1</v>
      </c>
      <c r="Q104" s="19" t="e">
        <f>VLOOKUP(CONCATENATE($A104,"_",Q$3),'10 seeds 7200s'!$A$1:$AD$1300,12, FALSE)</f>
        <v>#N/A</v>
      </c>
      <c r="R104" s="20" t="e">
        <f>VLOOKUP(CONCATENATE($A104,"_",Q$3),'10 seeds 7200s'!$A$1:$AD$1300,14, FALSE)</f>
        <v>#N/A</v>
      </c>
      <c r="S104" s="20" t="e">
        <f>VLOOKUP(CONCATENATE($A104,"_",Q$3),'10 seeds 7200s'!$A$1:$AD$1300,18, FALSE)</f>
        <v>#N/A</v>
      </c>
      <c r="T104" s="20" t="e">
        <f t="shared" si="14"/>
        <v>#N/A</v>
      </c>
      <c r="U104" s="21" t="e">
        <f t="shared" si="15"/>
        <v>#N/A</v>
      </c>
    </row>
    <row r="105" spans="1:21" x14ac:dyDescent="0.25">
      <c r="A105" s="27" t="s">
        <v>132</v>
      </c>
      <c r="B105" s="19">
        <f>VLOOKUP(CONCATENATE($A105,"_",B$3),'10 seeds 7200s'!$A$1:$AD$1300,12, FALSE)</f>
        <v>0.98750159999999998</v>
      </c>
      <c r="C105" s="20">
        <f>VLOOKUP(CONCATENATE($A105,"_",B$3),'10 seeds 7200s'!$A$1:$AD$1300,14, FALSE)</f>
        <v>1.7160999999999999E-3</v>
      </c>
      <c r="D105" s="20">
        <f>VLOOKUP(CONCATENATE($A105,"_",B$3),'10 seeds 7200s'!$A$1:$AD$1300,18, FALSE)</f>
        <v>7200.7</v>
      </c>
      <c r="E105" s="20">
        <f t="shared" si="8"/>
        <v>0</v>
      </c>
      <c r="F105" s="21">
        <f t="shared" si="9"/>
        <v>0</v>
      </c>
      <c r="G105" s="19">
        <f>VLOOKUP(CONCATENATE($A105,"_",G$3),'Checkpoint 7'!$A$1:$AD$1300,12, FALSE)</f>
        <v>0.98750159999999998</v>
      </c>
      <c r="H105" s="20">
        <f>VLOOKUP(CONCATENATE($A105,"_",G$3),'Checkpoint 7'!$A$1:$AD$1300,14, FALSE)</f>
        <v>1.7160999999999999E-3</v>
      </c>
      <c r="I105" s="20">
        <f>VLOOKUP(CONCATENATE($A105,"_",G$3),'Checkpoint 7'!$A$1:$AD$1300,18, FALSE)</f>
        <v>7201</v>
      </c>
      <c r="J105" s="20">
        <f t="shared" si="10"/>
        <v>0</v>
      </c>
      <c r="K105" s="21">
        <f t="shared" si="11"/>
        <v>0</v>
      </c>
      <c r="L105" s="19" t="e">
        <f>VLOOKUP(CONCATENATE($A105,"_",L$3),'10 seeds 7200s'!$A$1:$AD$1300,12, FALSE)</f>
        <v>#N/A</v>
      </c>
      <c r="M105" s="20" t="e">
        <f>VLOOKUP(CONCATENATE($A105,"_",L$3),'10 seeds 7200s'!$A$1:$AD$1300,14, FALSE)</f>
        <v>#N/A</v>
      </c>
      <c r="N105" s="20" t="e">
        <f>VLOOKUP(CONCATENATE($A105,"_",L$3),'10 seeds 7200s'!$A$1:$AD$1300,18, FALSE)</f>
        <v>#N/A</v>
      </c>
      <c r="O105" s="20" t="e">
        <f t="shared" si="12"/>
        <v>#N/A</v>
      </c>
      <c r="P105" s="21" t="e">
        <f t="shared" si="13"/>
        <v>#N/A</v>
      </c>
      <c r="Q105" s="19" t="e">
        <f>VLOOKUP(CONCATENATE($A105,"_",Q$3),'10 seeds 7200s'!$A$1:$AD$1300,12, FALSE)</f>
        <v>#N/A</v>
      </c>
      <c r="R105" s="20" t="e">
        <f>VLOOKUP(CONCATENATE($A105,"_",Q$3),'10 seeds 7200s'!$A$1:$AD$1300,14, FALSE)</f>
        <v>#N/A</v>
      </c>
      <c r="S105" s="20" t="e">
        <f>VLOOKUP(CONCATENATE($A105,"_",Q$3),'10 seeds 7200s'!$A$1:$AD$1300,18, FALSE)</f>
        <v>#N/A</v>
      </c>
      <c r="T105" s="20" t="e">
        <f t="shared" si="14"/>
        <v>#N/A</v>
      </c>
      <c r="U105" s="21" t="e">
        <f t="shared" si="15"/>
        <v>#N/A</v>
      </c>
    </row>
    <row r="106" spans="1:21" x14ac:dyDescent="0.25">
      <c r="A106" s="27" t="s">
        <v>131</v>
      </c>
      <c r="B106" s="19">
        <f>VLOOKUP(CONCATENATE($A106,"_",B$3),'10 seeds 7200s'!$A$1:$AD$1300,12, FALSE)</f>
        <v>0.99978909999999999</v>
      </c>
      <c r="C106" s="20">
        <f>VLOOKUP(CONCATENATE($A106,"_",B$3),'10 seeds 7200s'!$A$1:$AD$1300,14, FALSE)</f>
        <v>0.189444</v>
      </c>
      <c r="D106" s="20">
        <f>VLOOKUP(CONCATENATE($A106,"_",B$3),'10 seeds 7200s'!$A$1:$AD$1300,18, FALSE)</f>
        <v>7200.4</v>
      </c>
      <c r="E106" s="20">
        <f t="shared" si="8"/>
        <v>0</v>
      </c>
      <c r="F106" s="21">
        <f t="shared" si="9"/>
        <v>1</v>
      </c>
      <c r="G106" s="19">
        <f>VLOOKUP(CONCATENATE($A106,"_",G$3),'Checkpoint 7'!$A$1:$AD$1300,12, FALSE)</f>
        <v>0.99978800000000001</v>
      </c>
      <c r="H106" s="20">
        <f>VLOOKUP(CONCATENATE($A106,"_",G$3),'Checkpoint 7'!$A$1:$AD$1300,14, FALSE)</f>
        <v>0.18997069999999999</v>
      </c>
      <c r="I106" s="20">
        <f>VLOOKUP(CONCATENATE($A106,"_",G$3),'Checkpoint 7'!$A$1:$AD$1300,18, FALSE)</f>
        <v>7203.7</v>
      </c>
      <c r="J106" s="20">
        <f t="shared" si="10"/>
        <v>0</v>
      </c>
      <c r="K106" s="21">
        <f t="shared" si="11"/>
        <v>1</v>
      </c>
      <c r="L106" s="19">
        <f>VLOOKUP(CONCATENATE($A106,"_",L$3),'10 seeds 7200s'!$A$1:$AD$1300,12, FALSE)</f>
        <v>0.99999349999999998</v>
      </c>
      <c r="M106" s="20">
        <f>VLOOKUP(CONCATENATE($A106,"_",L$3),'10 seeds 7200s'!$A$1:$AD$1300,14, FALSE)</f>
        <v>3.3200899999999998E-2</v>
      </c>
      <c r="N106" s="20">
        <f>VLOOKUP(CONCATENATE($A106,"_",L$3),'10 seeds 7200s'!$A$1:$AD$1300,18, FALSE)</f>
        <v>7200.8</v>
      </c>
      <c r="O106" s="20">
        <f t="shared" si="12"/>
        <v>0</v>
      </c>
      <c r="P106" s="21">
        <f t="shared" si="13"/>
        <v>1</v>
      </c>
      <c r="Q106" s="19" t="e">
        <f>VLOOKUP(CONCATENATE($A106,"_",Q$3),'10 seeds 7200s'!$A$1:$AD$1300,12, FALSE)</f>
        <v>#N/A</v>
      </c>
      <c r="R106" s="20" t="e">
        <f>VLOOKUP(CONCATENATE($A106,"_",Q$3),'10 seeds 7200s'!$A$1:$AD$1300,14, FALSE)</f>
        <v>#N/A</v>
      </c>
      <c r="S106" s="20" t="e">
        <f>VLOOKUP(CONCATENATE($A106,"_",Q$3),'10 seeds 7200s'!$A$1:$AD$1300,18, FALSE)</f>
        <v>#N/A</v>
      </c>
      <c r="T106" s="20" t="e">
        <f t="shared" si="14"/>
        <v>#N/A</v>
      </c>
      <c r="U106" s="21" t="e">
        <f t="shared" si="15"/>
        <v>#N/A</v>
      </c>
    </row>
    <row r="107" spans="1:21" x14ac:dyDescent="0.25">
      <c r="A107" s="27" t="s">
        <v>97</v>
      </c>
      <c r="B107" s="19">
        <f>VLOOKUP(CONCATENATE($A107,"_",B$3),'10 seeds 7200s'!$A$1:$AD$1300,12, FALSE)</f>
        <v>0.84928950000000003</v>
      </c>
      <c r="C107" s="20">
        <f>VLOOKUP(CONCATENATE($A107,"_",B$3),'10 seeds 7200s'!$A$1:$AD$1300,14, FALSE)</f>
        <v>0.4896374</v>
      </c>
      <c r="D107" s="20">
        <f>VLOOKUP(CONCATENATE($A107,"_",B$3),'10 seeds 7200s'!$A$1:$AD$1300,18, FALSE)</f>
        <v>681.3</v>
      </c>
      <c r="E107" s="20">
        <f t="shared" si="8"/>
        <v>0</v>
      </c>
      <c r="F107" s="21">
        <f t="shared" si="9"/>
        <v>0</v>
      </c>
      <c r="G107" s="19">
        <f>VLOOKUP(CONCATENATE($A107,"_",G$3),'Checkpoint 7'!$A$1:$AD$1300,12, FALSE)</f>
        <v>0.99997959999999997</v>
      </c>
      <c r="H107" s="20">
        <f>VLOOKUP(CONCATENATE($A107,"_",G$3),'Checkpoint 7'!$A$1:$AD$1300,14, FALSE)</f>
        <v>5.6937999999999997E-3</v>
      </c>
      <c r="I107" s="20">
        <f>VLOOKUP(CONCATENATE($A107,"_",G$3),'Checkpoint 7'!$A$1:$AD$1300,18, FALSE)</f>
        <v>7201.1</v>
      </c>
      <c r="J107" s="20">
        <f t="shared" si="10"/>
        <v>0</v>
      </c>
      <c r="K107" s="21">
        <f t="shared" si="11"/>
        <v>1</v>
      </c>
      <c r="L107" s="19">
        <f>VLOOKUP(CONCATENATE($A107,"_",L$3),'10 seeds 7200s'!$A$1:$AD$1300,12, FALSE)</f>
        <v>0.99907429999999997</v>
      </c>
      <c r="M107" s="20">
        <f>VLOOKUP(CONCATENATE($A107,"_",L$3),'10 seeds 7200s'!$A$1:$AD$1300,14, FALSE)</f>
        <v>3.8354199999999998E-2</v>
      </c>
      <c r="N107" s="20">
        <f>VLOOKUP(CONCATENATE($A107,"_",L$3),'10 seeds 7200s'!$A$1:$AD$1300,18, FALSE)</f>
        <v>7200.2</v>
      </c>
      <c r="O107" s="20">
        <f t="shared" si="12"/>
        <v>0</v>
      </c>
      <c r="P107" s="21">
        <f t="shared" si="13"/>
        <v>1</v>
      </c>
      <c r="Q107" s="19" t="e">
        <f>VLOOKUP(CONCATENATE($A107,"_",Q$3),'10 seeds 7200s'!$A$1:$AD$1300,12, FALSE)</f>
        <v>#N/A</v>
      </c>
      <c r="R107" s="20" t="e">
        <f>VLOOKUP(CONCATENATE($A107,"_",Q$3),'10 seeds 7200s'!$A$1:$AD$1300,14, FALSE)</f>
        <v>#N/A</v>
      </c>
      <c r="S107" s="20" t="e">
        <f>VLOOKUP(CONCATENATE($A107,"_",Q$3),'10 seeds 7200s'!$A$1:$AD$1300,18, FALSE)</f>
        <v>#N/A</v>
      </c>
      <c r="T107" s="20" t="e">
        <f t="shared" si="14"/>
        <v>#N/A</v>
      </c>
      <c r="U107" s="21" t="e">
        <f t="shared" si="15"/>
        <v>#N/A</v>
      </c>
    </row>
    <row r="108" spans="1:21" x14ac:dyDescent="0.25">
      <c r="A108" s="27" t="s">
        <v>140</v>
      </c>
      <c r="B108" s="19">
        <f>VLOOKUP(CONCATENATE($A108,"_",B$3),'10 seeds 7200s'!$A$1:$AD$1300,12, FALSE)</f>
        <v>0.99960930000000003</v>
      </c>
      <c r="C108" s="20">
        <f>VLOOKUP(CONCATENATE($A108,"_",B$3),'10 seeds 7200s'!$A$1:$AD$1300,14, FALSE)</f>
        <v>0.56497839999999999</v>
      </c>
      <c r="D108" s="20">
        <f>VLOOKUP(CONCATENATE($A108,"_",B$3),'10 seeds 7200s'!$A$1:$AD$1300,18, FALSE)</f>
        <v>7201.6</v>
      </c>
      <c r="E108" s="20">
        <f t="shared" si="8"/>
        <v>0</v>
      </c>
      <c r="F108" s="21">
        <f t="shared" si="9"/>
        <v>1</v>
      </c>
      <c r="G108" s="19">
        <f>VLOOKUP(CONCATENATE($A108,"_",G$3),'Checkpoint 7'!$A$1:$AD$1300,12, FALSE)</f>
        <v>0.99980460000000004</v>
      </c>
      <c r="H108" s="20">
        <f>VLOOKUP(CONCATENATE($A108,"_",G$3),'Checkpoint 7'!$A$1:$AD$1300,14, FALSE)</f>
        <v>0.3995261</v>
      </c>
      <c r="I108" s="20">
        <f>VLOOKUP(CONCATENATE($A108,"_",G$3),'Checkpoint 7'!$A$1:$AD$1300,18, FALSE)</f>
        <v>7203.8</v>
      </c>
      <c r="J108" s="20">
        <f t="shared" si="10"/>
        <v>0</v>
      </c>
      <c r="K108" s="21">
        <f t="shared" si="11"/>
        <v>1</v>
      </c>
      <c r="L108" s="19">
        <f>VLOOKUP(CONCATENATE($A108,"_",L$3),'10 seeds 7200s'!$A$1:$AD$1300,12, FALSE)</f>
        <v>0.99915160000000003</v>
      </c>
      <c r="M108" s="20">
        <f>VLOOKUP(CONCATENATE($A108,"_",L$3),'10 seeds 7200s'!$A$1:$AD$1300,14, FALSE)</f>
        <v>0.8316789</v>
      </c>
      <c r="N108" s="20">
        <f>VLOOKUP(CONCATENATE($A108,"_",L$3),'10 seeds 7200s'!$A$1:$AD$1300,18, FALSE)</f>
        <v>7201</v>
      </c>
      <c r="O108" s="20">
        <f t="shared" si="12"/>
        <v>0</v>
      </c>
      <c r="P108" s="21">
        <f t="shared" si="13"/>
        <v>1</v>
      </c>
      <c r="Q108" s="19" t="e">
        <f>VLOOKUP(CONCATENATE($A108,"_",Q$3),'10 seeds 7200s'!$A$1:$AD$1300,12, FALSE)</f>
        <v>#N/A</v>
      </c>
      <c r="R108" s="20" t="e">
        <f>VLOOKUP(CONCATENATE($A108,"_",Q$3),'10 seeds 7200s'!$A$1:$AD$1300,14, FALSE)</f>
        <v>#N/A</v>
      </c>
      <c r="S108" s="20" t="e">
        <f>VLOOKUP(CONCATENATE($A108,"_",Q$3),'10 seeds 7200s'!$A$1:$AD$1300,18, FALSE)</f>
        <v>#N/A</v>
      </c>
      <c r="T108" s="20" t="e">
        <f t="shared" si="14"/>
        <v>#N/A</v>
      </c>
      <c r="U108" s="21" t="e">
        <f t="shared" si="15"/>
        <v>#N/A</v>
      </c>
    </row>
    <row r="109" spans="1:21" x14ac:dyDescent="0.25">
      <c r="A109" s="27" t="s">
        <v>145</v>
      </c>
      <c r="B109" s="19">
        <f>VLOOKUP(CONCATENATE($A109,"_",B$3),'10 seeds 7200s'!$A$1:$AD$1300,12, FALSE)</f>
        <v>1</v>
      </c>
      <c r="C109" s="20">
        <f>VLOOKUP(CONCATENATE($A109,"_",B$3),'10 seeds 7200s'!$A$1:$AD$1300,14, FALSE)</f>
        <v>0</v>
      </c>
      <c r="D109" s="20">
        <f>VLOOKUP(CONCATENATE($A109,"_",B$3),'10 seeds 7200s'!$A$1:$AD$1300,18, FALSE)</f>
        <v>7201</v>
      </c>
      <c r="E109" s="20">
        <f t="shared" si="8"/>
        <v>1</v>
      </c>
      <c r="F109" s="21">
        <f t="shared" si="9"/>
        <v>1</v>
      </c>
      <c r="G109" s="19">
        <f>VLOOKUP(CONCATENATE($A109,"_",G$3),'Checkpoint 7'!$A$1:$AD$1300,12, FALSE)</f>
        <v>1</v>
      </c>
      <c r="H109" s="20">
        <f>VLOOKUP(CONCATENATE($A109,"_",G$3),'Checkpoint 7'!$A$1:$AD$1300,14, FALSE)</f>
        <v>0.26110260000000002</v>
      </c>
      <c r="I109" s="20">
        <f>VLOOKUP(CONCATENATE($A109,"_",G$3),'Checkpoint 7'!$A$1:$AD$1300,18, FALSE)</f>
        <v>7201.2</v>
      </c>
      <c r="J109" s="20">
        <f t="shared" si="10"/>
        <v>0</v>
      </c>
      <c r="K109" s="21">
        <f t="shared" si="11"/>
        <v>1</v>
      </c>
      <c r="L109" s="19">
        <f>VLOOKUP(CONCATENATE($A109,"_",L$3),'10 seeds 7200s'!$A$1:$AD$1300,12, FALSE)</f>
        <v>0.9999979</v>
      </c>
      <c r="M109" s="20">
        <f>VLOOKUP(CONCATENATE($A109,"_",L$3),'10 seeds 7200s'!$A$1:$AD$1300,14, FALSE)</f>
        <v>2.1892675000000001</v>
      </c>
      <c r="N109" s="20">
        <f>VLOOKUP(CONCATENATE($A109,"_",L$3),'10 seeds 7200s'!$A$1:$AD$1300,18, FALSE)</f>
        <v>7200.7</v>
      </c>
      <c r="O109" s="20">
        <f t="shared" si="12"/>
        <v>0</v>
      </c>
      <c r="P109" s="21">
        <f t="shared" si="13"/>
        <v>1</v>
      </c>
      <c r="Q109" s="19">
        <f>VLOOKUP(CONCATENATE($A109,"_",Q$3),'10 seeds 7200s'!$A$1:$AD$1300,12, FALSE)</f>
        <v>1</v>
      </c>
      <c r="R109" s="20">
        <f>VLOOKUP(CONCATENATE($A109,"_",Q$3),'10 seeds 7200s'!$A$1:$AD$1300,14, FALSE)</f>
        <v>4.9901300000000003E-2</v>
      </c>
      <c r="S109" s="20">
        <f>VLOOKUP(CONCATENATE($A109,"_",Q$3),'10 seeds 7200s'!$A$1:$AD$1300,18, FALSE)</f>
        <v>7201.5</v>
      </c>
      <c r="T109" s="20">
        <f t="shared" si="14"/>
        <v>0</v>
      </c>
      <c r="U109" s="21">
        <f t="shared" si="15"/>
        <v>1</v>
      </c>
    </row>
    <row r="110" spans="1:21" x14ac:dyDescent="0.25">
      <c r="A110" s="27" t="s">
        <v>123</v>
      </c>
      <c r="B110" s="19">
        <f>VLOOKUP(CONCATENATE($A110,"_",B$3),'10 seeds 7200s'!$A$1:$AD$1300,12, FALSE)</f>
        <v>1</v>
      </c>
      <c r="C110" s="20">
        <f>VLOOKUP(CONCATENATE($A110,"_",B$3),'10 seeds 7200s'!$A$1:$AD$1300,14, FALSE)</f>
        <v>0</v>
      </c>
      <c r="D110" s="20">
        <f>VLOOKUP(CONCATENATE($A110,"_",B$3),'10 seeds 7200s'!$A$1:$AD$1300,18, FALSE)</f>
        <v>442.3</v>
      </c>
      <c r="E110" s="20">
        <f t="shared" si="8"/>
        <v>1</v>
      </c>
      <c r="F110" s="21">
        <f t="shared" si="9"/>
        <v>1</v>
      </c>
      <c r="G110" s="19">
        <f>VLOOKUP(CONCATENATE($A110,"_",G$3),'Checkpoint 7'!$A$1:$AD$1300,12, FALSE)</f>
        <v>1</v>
      </c>
      <c r="H110" s="20">
        <f>VLOOKUP(CONCATENATE($A110,"_",G$3),'Checkpoint 7'!$A$1:$AD$1300,14, FALSE)</f>
        <v>0</v>
      </c>
      <c r="I110" s="20">
        <f>VLOOKUP(CONCATENATE($A110,"_",G$3),'Checkpoint 7'!$A$1:$AD$1300,18, FALSE)</f>
        <v>424.6</v>
      </c>
      <c r="J110" s="20">
        <f t="shared" si="10"/>
        <v>1</v>
      </c>
      <c r="K110" s="21">
        <f t="shared" si="11"/>
        <v>1</v>
      </c>
      <c r="L110" s="19">
        <f>VLOOKUP(CONCATENATE($A110,"_",L$3),'10 seeds 7200s'!$A$1:$AD$1300,12, FALSE)</f>
        <v>1</v>
      </c>
      <c r="M110" s="20">
        <f>VLOOKUP(CONCATENATE($A110,"_",L$3),'10 seeds 7200s'!$A$1:$AD$1300,14, FALSE)</f>
        <v>0</v>
      </c>
      <c r="N110" s="20">
        <f>VLOOKUP(CONCATENATE($A110,"_",L$3),'10 seeds 7200s'!$A$1:$AD$1300,18, FALSE)</f>
        <v>2709.1</v>
      </c>
      <c r="O110" s="20">
        <f t="shared" si="12"/>
        <v>1</v>
      </c>
      <c r="P110" s="21">
        <f t="shared" si="13"/>
        <v>1</v>
      </c>
      <c r="Q110" s="19">
        <f>VLOOKUP(CONCATENATE($A110,"_",Q$3),'10 seeds 7200s'!$A$1:$AD$1300,12, FALSE)</f>
        <v>1</v>
      </c>
      <c r="R110" s="20">
        <f>VLOOKUP(CONCATENATE($A110,"_",Q$3),'10 seeds 7200s'!$A$1:$AD$1300,14, FALSE)</f>
        <v>0</v>
      </c>
      <c r="S110" s="20">
        <f>VLOOKUP(CONCATENATE($A110,"_",Q$3),'10 seeds 7200s'!$A$1:$AD$1300,18, FALSE)</f>
        <v>441.7</v>
      </c>
      <c r="T110" s="20">
        <f t="shared" si="14"/>
        <v>1</v>
      </c>
      <c r="U110" s="21">
        <f t="shared" si="15"/>
        <v>1</v>
      </c>
    </row>
    <row r="111" spans="1:21" x14ac:dyDescent="0.25">
      <c r="A111" s="27" t="s">
        <v>139</v>
      </c>
      <c r="B111" s="19">
        <f>VLOOKUP(CONCATENATE($A111,"_",B$3),'10 seeds 7200s'!$A$1:$AD$1300,12, FALSE)</f>
        <v>1</v>
      </c>
      <c r="C111" s="20">
        <f>VLOOKUP(CONCATENATE($A111,"_",B$3),'10 seeds 7200s'!$A$1:$AD$1300,14, FALSE)</f>
        <v>0</v>
      </c>
      <c r="D111" s="20">
        <f>VLOOKUP(CONCATENATE($A111,"_",B$3),'10 seeds 7200s'!$A$1:$AD$1300,18, FALSE)</f>
        <v>146.19999999999999</v>
      </c>
      <c r="E111" s="20">
        <f t="shared" si="8"/>
        <v>1</v>
      </c>
      <c r="F111" s="21">
        <f t="shared" si="9"/>
        <v>1</v>
      </c>
      <c r="G111" s="19">
        <f>VLOOKUP(CONCATENATE($A111,"_",G$3),'Checkpoint 7'!$A$1:$AD$1300,12, FALSE)</f>
        <v>1</v>
      </c>
      <c r="H111" s="20">
        <f>VLOOKUP(CONCATENATE($A111,"_",G$3),'Checkpoint 7'!$A$1:$AD$1300,14, FALSE)</f>
        <v>0</v>
      </c>
      <c r="I111" s="20">
        <f>VLOOKUP(CONCATENATE($A111,"_",G$3),'Checkpoint 7'!$A$1:$AD$1300,18, FALSE)</f>
        <v>156.4</v>
      </c>
      <c r="J111" s="20">
        <f t="shared" si="10"/>
        <v>1</v>
      </c>
      <c r="K111" s="21">
        <f t="shared" si="11"/>
        <v>1</v>
      </c>
      <c r="L111" s="19">
        <f>VLOOKUP(CONCATENATE($A111,"_",L$3),'10 seeds 7200s'!$A$1:$AD$1300,12, FALSE)</f>
        <v>1</v>
      </c>
      <c r="M111" s="20">
        <f>VLOOKUP(CONCATENATE($A111,"_",L$3),'10 seeds 7200s'!$A$1:$AD$1300,14, FALSE)</f>
        <v>0</v>
      </c>
      <c r="N111" s="20">
        <f>VLOOKUP(CONCATENATE($A111,"_",L$3),'10 seeds 7200s'!$A$1:$AD$1300,18, FALSE)</f>
        <v>196.6</v>
      </c>
      <c r="O111" s="20">
        <f t="shared" si="12"/>
        <v>1</v>
      </c>
      <c r="P111" s="21">
        <f t="shared" si="13"/>
        <v>1</v>
      </c>
      <c r="Q111" s="19" t="e">
        <f>VLOOKUP(CONCATENATE($A111,"_",Q$3),'10 seeds 7200s'!$A$1:$AD$1300,12, FALSE)</f>
        <v>#N/A</v>
      </c>
      <c r="R111" s="20" t="e">
        <f>VLOOKUP(CONCATENATE($A111,"_",Q$3),'10 seeds 7200s'!$A$1:$AD$1300,14, FALSE)</f>
        <v>#N/A</v>
      </c>
      <c r="S111" s="20" t="e">
        <f>VLOOKUP(CONCATENATE($A111,"_",Q$3),'10 seeds 7200s'!$A$1:$AD$1300,18, FALSE)</f>
        <v>#N/A</v>
      </c>
      <c r="T111" s="20" t="e">
        <f t="shared" si="14"/>
        <v>#N/A</v>
      </c>
      <c r="U111" s="21" t="e">
        <f t="shared" si="15"/>
        <v>#N/A</v>
      </c>
    </row>
    <row r="112" spans="1:21" x14ac:dyDescent="0.25">
      <c r="A112" s="27" t="s">
        <v>143</v>
      </c>
      <c r="B112" s="19">
        <f>VLOOKUP(CONCATENATE($A112,"_",B$3),'10 seeds 7200s'!$A$1:$AD$1300,12, FALSE)</f>
        <v>0.29662179999999999</v>
      </c>
      <c r="C112" s="20">
        <f>VLOOKUP(CONCATENATE($A112,"_",B$3),'10 seeds 7200s'!$A$1:$AD$1300,14, FALSE)</f>
        <v>1.6977886</v>
      </c>
      <c r="D112" s="20">
        <f>VLOOKUP(CONCATENATE($A112,"_",B$3),'10 seeds 7200s'!$A$1:$AD$1300,18, FALSE)</f>
        <v>7201.7</v>
      </c>
      <c r="E112" s="20">
        <f t="shared" si="8"/>
        <v>0</v>
      </c>
      <c r="F112" s="21">
        <f t="shared" si="9"/>
        <v>0</v>
      </c>
      <c r="G112" s="19">
        <f>VLOOKUP(CONCATENATE($A112,"_",G$3),'Checkpoint 7'!$A$1:$AD$1300,12, FALSE)</f>
        <v>0.28083079999999999</v>
      </c>
      <c r="H112" s="20">
        <f>VLOOKUP(CONCATENATE($A112,"_",G$3),'Checkpoint 7'!$A$1:$AD$1300,14, FALSE)</f>
        <v>1.7167406999999999</v>
      </c>
      <c r="I112" s="20">
        <f>VLOOKUP(CONCATENATE($A112,"_",G$3),'Checkpoint 7'!$A$1:$AD$1300,18, FALSE)</f>
        <v>5289.3</v>
      </c>
      <c r="J112" s="20">
        <f t="shared" si="10"/>
        <v>0</v>
      </c>
      <c r="K112" s="21">
        <f t="shared" si="11"/>
        <v>0</v>
      </c>
      <c r="L112" s="19">
        <f>VLOOKUP(CONCATENATE($A112,"_",L$3),'10 seeds 7200s'!$A$1:$AD$1300,12, FALSE)</f>
        <v>0.78791480000000003</v>
      </c>
      <c r="M112" s="20">
        <f>VLOOKUP(CONCATENATE($A112,"_",L$3),'10 seeds 7200s'!$A$1:$AD$1300,14, FALSE)</f>
        <v>0.93237820000000005</v>
      </c>
      <c r="N112" s="20">
        <f>VLOOKUP(CONCATENATE($A112,"_",L$3),'10 seeds 7200s'!$A$1:$AD$1300,18, FALSE)</f>
        <v>7200.3</v>
      </c>
      <c r="O112" s="20">
        <f t="shared" si="12"/>
        <v>0</v>
      </c>
      <c r="P112" s="21">
        <f t="shared" si="13"/>
        <v>0</v>
      </c>
      <c r="Q112" s="19" t="e">
        <f>VLOOKUP(CONCATENATE($A112,"_",Q$3),'10 seeds 7200s'!$A$1:$AD$1300,12, FALSE)</f>
        <v>#N/A</v>
      </c>
      <c r="R112" s="20" t="e">
        <f>VLOOKUP(CONCATENATE($A112,"_",Q$3),'10 seeds 7200s'!$A$1:$AD$1300,14, FALSE)</f>
        <v>#N/A</v>
      </c>
      <c r="S112" s="20" t="e">
        <f>VLOOKUP(CONCATENATE($A112,"_",Q$3),'10 seeds 7200s'!$A$1:$AD$1300,18, FALSE)</f>
        <v>#N/A</v>
      </c>
      <c r="T112" s="20" t="e">
        <f t="shared" si="14"/>
        <v>#N/A</v>
      </c>
      <c r="U112" s="21" t="e">
        <f t="shared" si="15"/>
        <v>#N/A</v>
      </c>
    </row>
    <row r="113" spans="1:21" x14ac:dyDescent="0.25">
      <c r="A113" s="27" t="s">
        <v>148</v>
      </c>
      <c r="B113" s="19"/>
      <c r="C113" s="20"/>
      <c r="D113" s="20">
        <f>VLOOKUP(CONCATENATE($A113,"_",B$3),'10 seeds 7200s'!$A$1:$AD$1300,18, FALSE)</f>
        <v>7201.1</v>
      </c>
      <c r="E113" s="20">
        <f t="shared" si="8"/>
        <v>0</v>
      </c>
      <c r="F113" s="21">
        <f t="shared" si="9"/>
        <v>0</v>
      </c>
      <c r="G113" s="19">
        <f>VLOOKUP(CONCATENATE($A113,"_",G$3),'Checkpoint 7'!$A$1:$AD$1300,12, FALSE)</f>
        <v>0.97951790000000005</v>
      </c>
      <c r="H113" s="20">
        <f>VLOOKUP(CONCATENATE($A113,"_",G$3),'Checkpoint 7'!$A$1:$AD$1300,14, FALSE)</f>
        <v>2.2300461999999999</v>
      </c>
      <c r="I113" s="20">
        <f>VLOOKUP(CONCATENATE($A113,"_",G$3),'Checkpoint 7'!$A$1:$AD$1300,18, FALSE)</f>
        <v>7202.6</v>
      </c>
      <c r="J113" s="20">
        <f t="shared" si="10"/>
        <v>0</v>
      </c>
      <c r="K113" s="21">
        <f t="shared" si="11"/>
        <v>0</v>
      </c>
      <c r="L113" s="19">
        <f>VLOOKUP(CONCATENATE($A113,"_",L$3),'10 seeds 7200s'!$A$1:$AD$1300,12, FALSE)</f>
        <v>0.91640180000000004</v>
      </c>
      <c r="M113" s="20">
        <f>VLOOKUP(CONCATENATE($A113,"_",L$3),'10 seeds 7200s'!$A$1:$AD$1300,14, FALSE)</f>
        <v>4.6431513999999998</v>
      </c>
      <c r="N113" s="20">
        <f>VLOOKUP(CONCATENATE($A113,"_",L$3),'10 seeds 7200s'!$A$1:$AD$1300,18, FALSE)</f>
        <v>7200.2</v>
      </c>
      <c r="O113" s="20">
        <f t="shared" si="12"/>
        <v>0</v>
      </c>
      <c r="P113" s="21">
        <f t="shared" si="13"/>
        <v>0</v>
      </c>
      <c r="Q113" s="19" t="e">
        <f>VLOOKUP(CONCATENATE($A113,"_",Q$3),'10 seeds 7200s'!$A$1:$AD$1300,12, FALSE)</f>
        <v>#N/A</v>
      </c>
      <c r="R113" s="20" t="e">
        <f>VLOOKUP(CONCATENATE($A113,"_",Q$3),'10 seeds 7200s'!$A$1:$AD$1300,14, FALSE)</f>
        <v>#N/A</v>
      </c>
      <c r="S113" s="20" t="e">
        <f>VLOOKUP(CONCATENATE($A113,"_",Q$3),'10 seeds 7200s'!$A$1:$AD$1300,18, FALSE)</f>
        <v>#N/A</v>
      </c>
      <c r="T113" s="20" t="e">
        <f t="shared" si="14"/>
        <v>#N/A</v>
      </c>
      <c r="U113" s="21" t="e">
        <f t="shared" si="15"/>
        <v>#N/A</v>
      </c>
    </row>
    <row r="114" spans="1:21" x14ac:dyDescent="0.25">
      <c r="A114" s="27" t="s">
        <v>86</v>
      </c>
      <c r="B114" s="19">
        <f>VLOOKUP(CONCATENATE($A114,"_",B$3),'10 seeds 7200s'!$A$1:$AD$1300,12, FALSE)</f>
        <v>0.94968779999999997</v>
      </c>
      <c r="C114" s="20">
        <f>VLOOKUP(CONCATENATE($A114,"_",B$3),'10 seeds 7200s'!$A$1:$AD$1300,14, FALSE)</f>
        <v>0.41272940000000002</v>
      </c>
      <c r="D114" s="20">
        <f>VLOOKUP(CONCATENATE($A114,"_",B$3),'10 seeds 7200s'!$A$1:$AD$1300,18, FALSE)</f>
        <v>7202.3</v>
      </c>
      <c r="E114" s="20">
        <f t="shared" si="8"/>
        <v>0</v>
      </c>
      <c r="F114" s="21">
        <f t="shared" si="9"/>
        <v>0</v>
      </c>
      <c r="G114" s="19">
        <f>VLOOKUP(CONCATENATE($A114,"_",G$3),'Checkpoint 7'!$A$1:$AD$1300,12, FALSE)</f>
        <v>0.9995406</v>
      </c>
      <c r="H114" s="20">
        <f>VLOOKUP(CONCATENATE($A114,"_",G$3),'Checkpoint 7'!$A$1:$AD$1300,14, FALSE)</f>
        <v>3.9440999999999997E-2</v>
      </c>
      <c r="I114" s="20">
        <f>VLOOKUP(CONCATENATE($A114,"_",G$3),'Checkpoint 7'!$A$1:$AD$1300,18, FALSE)</f>
        <v>7200.7</v>
      </c>
      <c r="J114" s="20">
        <f t="shared" si="10"/>
        <v>0</v>
      </c>
      <c r="K114" s="21">
        <f t="shared" si="11"/>
        <v>1</v>
      </c>
      <c r="L114" s="19">
        <f>VLOOKUP(CONCATENATE($A114,"_",L$3),'10 seeds 7200s'!$A$1:$AD$1300,12, FALSE)</f>
        <v>0.95013429999999999</v>
      </c>
      <c r="M114" s="20">
        <f>VLOOKUP(CONCATENATE($A114,"_",L$3),'10 seeds 7200s'!$A$1:$AD$1300,14, FALSE)</f>
        <v>0.41112569999999998</v>
      </c>
      <c r="N114" s="20">
        <f>VLOOKUP(CONCATENATE($A114,"_",L$3),'10 seeds 7200s'!$A$1:$AD$1300,18, FALSE)</f>
        <v>7248.4</v>
      </c>
      <c r="O114" s="20">
        <f t="shared" si="12"/>
        <v>0</v>
      </c>
      <c r="P114" s="21">
        <f t="shared" si="13"/>
        <v>0</v>
      </c>
      <c r="Q114" s="19" t="e">
        <f>VLOOKUP(CONCATENATE($A114,"_",Q$3),'10 seeds 7200s'!$A$1:$AD$1300,12, FALSE)</f>
        <v>#N/A</v>
      </c>
      <c r="R114" s="20" t="e">
        <f>VLOOKUP(CONCATENATE($A114,"_",Q$3),'10 seeds 7200s'!$A$1:$AD$1300,14, FALSE)</f>
        <v>#N/A</v>
      </c>
      <c r="S114" s="20" t="e">
        <f>VLOOKUP(CONCATENATE($A114,"_",Q$3),'10 seeds 7200s'!$A$1:$AD$1300,18, FALSE)</f>
        <v>#N/A</v>
      </c>
      <c r="T114" s="20" t="e">
        <f t="shared" si="14"/>
        <v>#N/A</v>
      </c>
      <c r="U114" s="21" t="e">
        <f t="shared" si="15"/>
        <v>#N/A</v>
      </c>
    </row>
    <row r="115" spans="1:21" x14ac:dyDescent="0.25">
      <c r="A115" s="27" t="s">
        <v>117</v>
      </c>
      <c r="B115" s="19">
        <f>VLOOKUP(CONCATENATE($A115,"_",B$3),'10 seeds 7200s'!$A$1:$AD$1300,12, FALSE)</f>
        <v>0.99924069999999998</v>
      </c>
      <c r="C115" s="20">
        <f>VLOOKUP(CONCATENATE($A115,"_",B$3),'10 seeds 7200s'!$A$1:$AD$1300,14, FALSE)</f>
        <v>1.3712800000000001E-2</v>
      </c>
      <c r="D115" s="20">
        <f>VLOOKUP(CONCATENATE($A115,"_",B$3),'10 seeds 7200s'!$A$1:$AD$1300,18, FALSE)</f>
        <v>6919.9</v>
      </c>
      <c r="E115" s="20">
        <f t="shared" si="8"/>
        <v>0</v>
      </c>
      <c r="F115" s="21">
        <f t="shared" si="9"/>
        <v>1</v>
      </c>
      <c r="G115" s="19">
        <f>VLOOKUP(CONCATENATE($A115,"_",G$3),'Checkpoint 7'!$A$1:$AD$1300,12, FALSE)</f>
        <v>0.99918340000000005</v>
      </c>
      <c r="H115" s="20">
        <f>VLOOKUP(CONCATENATE($A115,"_",G$3),'Checkpoint 7'!$A$1:$AD$1300,14, FALSE)</f>
        <v>1.42206E-2</v>
      </c>
      <c r="I115" s="20">
        <f>VLOOKUP(CONCATENATE($A115,"_",G$3),'Checkpoint 7'!$A$1:$AD$1300,18, FALSE)</f>
        <v>7201.4</v>
      </c>
      <c r="J115" s="20">
        <f t="shared" si="10"/>
        <v>0</v>
      </c>
      <c r="K115" s="21">
        <f t="shared" si="11"/>
        <v>1</v>
      </c>
      <c r="L115" s="19">
        <f>VLOOKUP(CONCATENATE($A115,"_",L$3),'10 seeds 7200s'!$A$1:$AD$1300,12, FALSE)</f>
        <v>0.99904389999999998</v>
      </c>
      <c r="M115" s="20">
        <f>VLOOKUP(CONCATENATE($A115,"_",L$3),'10 seeds 7200s'!$A$1:$AD$1300,14, FALSE)</f>
        <v>1.5384999999999999E-2</v>
      </c>
      <c r="N115" s="20">
        <f>VLOOKUP(CONCATENATE($A115,"_",L$3),'10 seeds 7200s'!$A$1:$AD$1300,18, FALSE)</f>
        <v>6877.9</v>
      </c>
      <c r="O115" s="20">
        <f t="shared" si="12"/>
        <v>0</v>
      </c>
      <c r="P115" s="21">
        <f t="shared" si="13"/>
        <v>1</v>
      </c>
      <c r="Q115" s="19" t="e">
        <f>VLOOKUP(CONCATENATE($A115,"_",Q$3),'10 seeds 7200s'!$A$1:$AD$1300,12, FALSE)</f>
        <v>#N/A</v>
      </c>
      <c r="R115" s="20" t="e">
        <f>VLOOKUP(CONCATENATE($A115,"_",Q$3),'10 seeds 7200s'!$A$1:$AD$1300,14, FALSE)</f>
        <v>#N/A</v>
      </c>
      <c r="S115" s="20" t="e">
        <f>VLOOKUP(CONCATENATE($A115,"_",Q$3),'10 seeds 7200s'!$A$1:$AD$1300,18, FALSE)</f>
        <v>#N/A</v>
      </c>
      <c r="T115" s="20" t="e">
        <f t="shared" si="14"/>
        <v>#N/A</v>
      </c>
      <c r="U115" s="21" t="e">
        <f t="shared" si="15"/>
        <v>#N/A</v>
      </c>
    </row>
    <row r="116" spans="1:21" x14ac:dyDescent="0.25">
      <c r="A116" s="27" t="s">
        <v>94</v>
      </c>
      <c r="B116" s="19">
        <f>VLOOKUP(CONCATENATE($A116,"_",B$3),'10 seeds 7200s'!$A$1:$AD$1300,12, FALSE)</f>
        <v>1</v>
      </c>
      <c r="C116" s="20">
        <f>VLOOKUP(CONCATENATE($A116,"_",B$3),'10 seeds 7200s'!$A$1:$AD$1300,14, FALSE)</f>
        <v>0</v>
      </c>
      <c r="D116" s="20">
        <f>VLOOKUP(CONCATENATE($A116,"_",B$3),'10 seeds 7200s'!$A$1:$AD$1300,18, FALSE)</f>
        <v>6794.1</v>
      </c>
      <c r="E116" s="20">
        <f t="shared" si="8"/>
        <v>1</v>
      </c>
      <c r="F116" s="21">
        <f t="shared" si="9"/>
        <v>1</v>
      </c>
      <c r="G116" s="19">
        <f>VLOOKUP(CONCATENATE($A116,"_",G$3),'Checkpoint 7'!$A$1:$AD$1300,12, FALSE)</f>
        <v>0.9999806</v>
      </c>
      <c r="H116" s="20">
        <f>VLOOKUP(CONCATENATE($A116,"_",G$3),'Checkpoint 7'!$A$1:$AD$1300,14, FALSE)</f>
        <v>1.4068199999999999E-2</v>
      </c>
      <c r="I116" s="20">
        <f>VLOOKUP(CONCATENATE($A116,"_",G$3),'Checkpoint 7'!$A$1:$AD$1300,18, FALSE)</f>
        <v>7200.5</v>
      </c>
      <c r="J116" s="20">
        <f t="shared" si="10"/>
        <v>0</v>
      </c>
      <c r="K116" s="21">
        <f t="shared" si="11"/>
        <v>1</v>
      </c>
      <c r="L116" s="19">
        <f>VLOOKUP(CONCATENATE($A116,"_",L$3),'10 seeds 7200s'!$A$1:$AD$1300,12, FALSE)</f>
        <v>1</v>
      </c>
      <c r="M116" s="20">
        <f>VLOOKUP(CONCATENATE($A116,"_",L$3),'10 seeds 7200s'!$A$1:$AD$1300,14, FALSE)</f>
        <v>0</v>
      </c>
      <c r="N116" s="20">
        <f>VLOOKUP(CONCATENATE($A116,"_",L$3),'10 seeds 7200s'!$A$1:$AD$1300,18, FALSE)</f>
        <v>142.9</v>
      </c>
      <c r="O116" s="20">
        <f t="shared" si="12"/>
        <v>1</v>
      </c>
      <c r="P116" s="21">
        <f t="shared" si="13"/>
        <v>1</v>
      </c>
      <c r="Q116" s="19" t="e">
        <f>VLOOKUP(CONCATENATE($A116,"_",Q$3),'10 seeds 7200s'!$A$1:$AD$1300,12, FALSE)</f>
        <v>#N/A</v>
      </c>
      <c r="R116" s="20" t="e">
        <f>VLOOKUP(CONCATENATE($A116,"_",Q$3),'10 seeds 7200s'!$A$1:$AD$1300,14, FALSE)</f>
        <v>#N/A</v>
      </c>
      <c r="S116" s="20" t="e">
        <f>VLOOKUP(CONCATENATE($A116,"_",Q$3),'10 seeds 7200s'!$A$1:$AD$1300,18, FALSE)</f>
        <v>#N/A</v>
      </c>
      <c r="T116" s="20" t="e">
        <f t="shared" si="14"/>
        <v>#N/A</v>
      </c>
      <c r="U116" s="21" t="e">
        <f t="shared" si="15"/>
        <v>#N/A</v>
      </c>
    </row>
    <row r="117" spans="1:21" x14ac:dyDescent="0.25">
      <c r="A117" s="27" t="s">
        <v>146</v>
      </c>
      <c r="B117" s="19">
        <f>VLOOKUP(CONCATENATE($A117,"_",B$3),'10 seeds 7200s'!$A$1:$AD$1300,12, FALSE)</f>
        <v>0.99284790000000001</v>
      </c>
      <c r="C117" s="20">
        <f>VLOOKUP(CONCATENATE($A117,"_",B$3),'10 seeds 7200s'!$A$1:$AD$1300,14, FALSE)</f>
        <v>3.8340899999999997E-2</v>
      </c>
      <c r="D117" s="20">
        <f>VLOOKUP(CONCATENATE($A117,"_",B$3),'10 seeds 7200s'!$A$1:$AD$1300,18, FALSE)</f>
        <v>7200.9</v>
      </c>
      <c r="E117" s="20">
        <f t="shared" si="8"/>
        <v>0</v>
      </c>
      <c r="F117" s="21">
        <f t="shared" si="9"/>
        <v>0</v>
      </c>
      <c r="G117" s="19">
        <f>VLOOKUP(CONCATENATE($A117,"_",G$3),'Checkpoint 7'!$A$1:$AD$1300,12, FALSE)</f>
        <v>0.97583889999999995</v>
      </c>
      <c r="H117" s="20">
        <f>VLOOKUP(CONCATENATE($A117,"_",G$3),'Checkpoint 7'!$A$1:$AD$1300,14, FALSE)</f>
        <v>7.0469699999999996E-2</v>
      </c>
      <c r="I117" s="20">
        <f>VLOOKUP(CONCATENATE($A117,"_",G$3),'Checkpoint 7'!$A$1:$AD$1300,18, FALSE)</f>
        <v>7201.3</v>
      </c>
      <c r="J117" s="20">
        <f t="shared" si="10"/>
        <v>0</v>
      </c>
      <c r="K117" s="21">
        <f t="shared" si="11"/>
        <v>0</v>
      </c>
      <c r="L117" s="19">
        <f>VLOOKUP(CONCATENATE($A117,"_",L$3),'10 seeds 7200s'!$A$1:$AD$1300,12, FALSE)</f>
        <v>0.99936000000000003</v>
      </c>
      <c r="M117" s="20">
        <f>VLOOKUP(CONCATENATE($A117,"_",L$3),'10 seeds 7200s'!$A$1:$AD$1300,14, FALSE)</f>
        <v>1.1558799999999999E-2</v>
      </c>
      <c r="N117" s="20">
        <f>VLOOKUP(CONCATENATE($A117,"_",L$3),'10 seeds 7200s'!$A$1:$AD$1300,18, FALSE)</f>
        <v>7116.6</v>
      </c>
      <c r="O117" s="20">
        <f t="shared" si="12"/>
        <v>0</v>
      </c>
      <c r="P117" s="21">
        <f t="shared" si="13"/>
        <v>1</v>
      </c>
      <c r="Q117" s="19" t="e">
        <f>VLOOKUP(CONCATENATE($A117,"_",Q$3),'10 seeds 7200s'!$A$1:$AD$1300,12, FALSE)</f>
        <v>#N/A</v>
      </c>
      <c r="R117" s="20" t="e">
        <f>VLOOKUP(CONCATENATE($A117,"_",Q$3),'10 seeds 7200s'!$A$1:$AD$1300,14, FALSE)</f>
        <v>#N/A</v>
      </c>
      <c r="S117" s="20" t="e">
        <f>VLOOKUP(CONCATENATE($A117,"_",Q$3),'10 seeds 7200s'!$A$1:$AD$1300,18, FALSE)</f>
        <v>#N/A</v>
      </c>
      <c r="T117" s="20" t="e">
        <f t="shared" si="14"/>
        <v>#N/A</v>
      </c>
      <c r="U117" s="21" t="e">
        <f t="shared" si="15"/>
        <v>#N/A</v>
      </c>
    </row>
    <row r="118" spans="1:21" x14ac:dyDescent="0.25">
      <c r="A118" s="27" t="s">
        <v>118</v>
      </c>
      <c r="B118" s="19">
        <f>VLOOKUP(CONCATENATE($A118,"_",B$3),'10 seeds 7200s'!$A$1:$AD$1300,12, FALSE)</f>
        <v>0.99957689999999999</v>
      </c>
      <c r="C118" s="20">
        <f>VLOOKUP(CONCATENATE($A118,"_",B$3),'10 seeds 7200s'!$A$1:$AD$1300,14, FALSE)</f>
        <v>2.5352099999999999E-2</v>
      </c>
      <c r="D118" s="20">
        <f>VLOOKUP(CONCATENATE($A118,"_",B$3),'10 seeds 7200s'!$A$1:$AD$1300,18, FALSE)</f>
        <v>7200.9</v>
      </c>
      <c r="E118" s="20">
        <f t="shared" si="8"/>
        <v>0</v>
      </c>
      <c r="F118" s="21">
        <f t="shared" si="9"/>
        <v>1</v>
      </c>
      <c r="G118" s="19">
        <f>VLOOKUP(CONCATENATE($A118,"_",G$3),'Checkpoint 7'!$A$1:$AD$1300,12, FALSE)</f>
        <v>0.99998109999999996</v>
      </c>
      <c r="H118" s="20">
        <f>VLOOKUP(CONCATENATE($A118,"_",G$3),'Checkpoint 7'!$A$1:$AD$1300,14, FALSE)</f>
        <v>5.3636999999999999E-3</v>
      </c>
      <c r="I118" s="20">
        <f>VLOOKUP(CONCATENATE($A118,"_",G$3),'Checkpoint 7'!$A$1:$AD$1300,18, FALSE)</f>
        <v>6432.4</v>
      </c>
      <c r="J118" s="20">
        <f t="shared" si="10"/>
        <v>0</v>
      </c>
      <c r="K118" s="21">
        <f t="shared" si="11"/>
        <v>1</v>
      </c>
      <c r="L118" s="19">
        <f>VLOOKUP(CONCATENATE($A118,"_",L$3),'10 seeds 7200s'!$A$1:$AD$1300,12, FALSE)</f>
        <v>0.99958659999999999</v>
      </c>
      <c r="M118" s="20">
        <f>VLOOKUP(CONCATENATE($A118,"_",L$3),'10 seeds 7200s'!$A$1:$AD$1300,14, FALSE)</f>
        <v>2.51036E-2</v>
      </c>
      <c r="N118" s="20">
        <f>VLOOKUP(CONCATENATE($A118,"_",L$3),'10 seeds 7200s'!$A$1:$AD$1300,18, FALSE)</f>
        <v>7201.1</v>
      </c>
      <c r="O118" s="20">
        <f t="shared" si="12"/>
        <v>0</v>
      </c>
      <c r="P118" s="21">
        <f t="shared" si="13"/>
        <v>1</v>
      </c>
      <c r="Q118" s="19" t="e">
        <f>VLOOKUP(CONCATENATE($A118,"_",Q$3),'10 seeds 7200s'!$A$1:$AD$1300,12, FALSE)</f>
        <v>#N/A</v>
      </c>
      <c r="R118" s="20" t="e">
        <f>VLOOKUP(CONCATENATE($A118,"_",Q$3),'10 seeds 7200s'!$A$1:$AD$1300,14, FALSE)</f>
        <v>#N/A</v>
      </c>
      <c r="S118" s="20" t="e">
        <f>VLOOKUP(CONCATENATE($A118,"_",Q$3),'10 seeds 7200s'!$A$1:$AD$1300,18, FALSE)</f>
        <v>#N/A</v>
      </c>
      <c r="T118" s="20" t="e">
        <f t="shared" si="14"/>
        <v>#N/A</v>
      </c>
      <c r="U118" s="21" t="e">
        <f t="shared" si="15"/>
        <v>#N/A</v>
      </c>
    </row>
    <row r="119" spans="1:21" x14ac:dyDescent="0.25">
      <c r="A119" s="27" t="s">
        <v>87</v>
      </c>
      <c r="B119" s="19">
        <f>VLOOKUP(CONCATENATE($A119,"_",B$3),'10 seeds 7200s'!$A$1:$AD$1300,12, FALSE)</f>
        <v>0.99838000000000005</v>
      </c>
      <c r="C119" s="20">
        <f>VLOOKUP(CONCATENATE($A119,"_",B$3),'10 seeds 7200s'!$A$1:$AD$1300,14, FALSE)</f>
        <v>1.8093700000000001E-2</v>
      </c>
      <c r="D119" s="20">
        <f>VLOOKUP(CONCATENATE($A119,"_",B$3),'10 seeds 7200s'!$A$1:$AD$1300,18, FALSE)</f>
        <v>7200.6</v>
      </c>
      <c r="E119" s="20">
        <f t="shared" si="8"/>
        <v>0</v>
      </c>
      <c r="F119" s="21">
        <f t="shared" si="9"/>
        <v>0</v>
      </c>
      <c r="G119" s="19">
        <f>VLOOKUP(CONCATENATE($A119,"_",G$3),'Checkpoint 7'!$A$1:$AD$1300,12, FALSE)</f>
        <v>0.99711839999999996</v>
      </c>
      <c r="H119" s="20">
        <f>VLOOKUP(CONCATENATE($A119,"_",G$3),'Checkpoint 7'!$A$1:$AD$1300,14, FALSE)</f>
        <v>2.41315E-2</v>
      </c>
      <c r="I119" s="20">
        <f>VLOOKUP(CONCATENATE($A119,"_",G$3),'Checkpoint 7'!$A$1:$AD$1300,18, FALSE)</f>
        <v>7201.1</v>
      </c>
      <c r="J119" s="20">
        <f t="shared" si="10"/>
        <v>0</v>
      </c>
      <c r="K119" s="21">
        <f t="shared" si="11"/>
        <v>0</v>
      </c>
      <c r="L119" s="19">
        <f>VLOOKUP(CONCATENATE($A119,"_",L$3),'10 seeds 7200s'!$A$1:$AD$1300,12, FALSE)</f>
        <v>0.99577510000000002</v>
      </c>
      <c r="M119" s="20">
        <f>VLOOKUP(CONCATENATE($A119,"_",L$3),'10 seeds 7200s'!$A$1:$AD$1300,14, FALSE)</f>
        <v>2.92351E-2</v>
      </c>
      <c r="N119" s="20">
        <f>VLOOKUP(CONCATENATE($A119,"_",L$3),'10 seeds 7200s'!$A$1:$AD$1300,18, FALSE)</f>
        <v>7200.1</v>
      </c>
      <c r="O119" s="20">
        <f t="shared" si="12"/>
        <v>0</v>
      </c>
      <c r="P119" s="21">
        <f t="shared" si="13"/>
        <v>0</v>
      </c>
      <c r="Q119" s="19" t="e">
        <f>VLOOKUP(CONCATENATE($A119,"_",Q$3),'10 seeds 7200s'!$A$1:$AD$1300,12, FALSE)</f>
        <v>#N/A</v>
      </c>
      <c r="R119" s="20" t="e">
        <f>VLOOKUP(CONCATENATE($A119,"_",Q$3),'10 seeds 7200s'!$A$1:$AD$1300,14, FALSE)</f>
        <v>#N/A</v>
      </c>
      <c r="S119" s="20" t="e">
        <f>VLOOKUP(CONCATENATE($A119,"_",Q$3),'10 seeds 7200s'!$A$1:$AD$1300,18, FALSE)</f>
        <v>#N/A</v>
      </c>
      <c r="T119" s="20" t="e">
        <f t="shared" si="14"/>
        <v>#N/A</v>
      </c>
      <c r="U119" s="21" t="e">
        <f t="shared" si="15"/>
        <v>#N/A</v>
      </c>
    </row>
    <row r="120" spans="1:21" x14ac:dyDescent="0.25">
      <c r="A120" s="27" t="s">
        <v>136</v>
      </c>
      <c r="B120" s="19"/>
      <c r="C120" s="20"/>
      <c r="D120" s="20">
        <f>VLOOKUP(CONCATENATE($A120,"_",B$3),'10 seeds 7200s'!$A$1:$AD$1300,18, FALSE)</f>
        <v>7202.4</v>
      </c>
      <c r="E120" s="20">
        <f t="shared" si="8"/>
        <v>0</v>
      </c>
      <c r="F120" s="21">
        <f t="shared" si="9"/>
        <v>0</v>
      </c>
      <c r="G120" s="19"/>
      <c r="H120" s="20"/>
      <c r="I120" s="20">
        <f>VLOOKUP(CONCATENATE($A120,"_",G$3),'Checkpoint 7'!$A$1:$AD$1300,18, FALSE)</f>
        <v>7205</v>
      </c>
      <c r="J120" s="20">
        <f t="shared" si="10"/>
        <v>0</v>
      </c>
      <c r="K120" s="21">
        <f t="shared" si="11"/>
        <v>0</v>
      </c>
      <c r="L120" s="19">
        <f>VLOOKUP(CONCATENATE($A120,"_",L$3),'10 seeds 7200s'!$A$1:$AD$1300,12, FALSE)</f>
        <v>0.99999020000000005</v>
      </c>
      <c r="M120" s="20">
        <f>VLOOKUP(CONCATENATE($A120,"_",L$3),'10 seeds 7200s'!$A$1:$AD$1300,14, FALSE)</f>
        <v>21.427461900000001</v>
      </c>
      <c r="N120" s="20">
        <f>VLOOKUP(CONCATENATE($A120,"_",L$3),'10 seeds 7200s'!$A$1:$AD$1300,18, FALSE)</f>
        <v>7201.3</v>
      </c>
      <c r="O120" s="20">
        <f t="shared" si="12"/>
        <v>0</v>
      </c>
      <c r="P120" s="21">
        <f t="shared" si="13"/>
        <v>1</v>
      </c>
      <c r="Q120" s="19" t="e">
        <f>VLOOKUP(CONCATENATE($A120,"_",Q$3),'10 seeds 7200s'!$A$1:$AD$1300,12, FALSE)</f>
        <v>#N/A</v>
      </c>
      <c r="R120" s="20" t="e">
        <f>VLOOKUP(CONCATENATE($A120,"_",Q$3),'10 seeds 7200s'!$A$1:$AD$1300,14, FALSE)</f>
        <v>#N/A</v>
      </c>
      <c r="S120" s="20" t="e">
        <f>VLOOKUP(CONCATENATE($A120,"_",Q$3),'10 seeds 7200s'!$A$1:$AD$1300,18, FALSE)</f>
        <v>#N/A</v>
      </c>
      <c r="T120" s="20" t="e">
        <f t="shared" si="14"/>
        <v>#N/A</v>
      </c>
      <c r="U120" s="21" t="e">
        <f t="shared" si="15"/>
        <v>#N/A</v>
      </c>
    </row>
    <row r="121" spans="1:21" x14ac:dyDescent="0.25">
      <c r="A121" s="27" t="s">
        <v>26</v>
      </c>
      <c r="B121" s="19">
        <f>VLOOKUP(CONCATENATE($A121,"_",B$3),'10 seeds 7200s'!$A$1:$AD$1300,12, FALSE)</f>
        <v>0.999996</v>
      </c>
      <c r="C121" s="20">
        <f>VLOOKUP(CONCATENATE($A121,"_",B$3),'10 seeds 7200s'!$A$1:$AD$1300,14, FALSE)</f>
        <v>5.2810000000000001E-3</v>
      </c>
      <c r="D121" s="20">
        <f>VLOOKUP(CONCATENATE($A121,"_",B$3),'10 seeds 7200s'!$A$1:$AD$1300,18, FALSE)</f>
        <v>923.4</v>
      </c>
      <c r="E121" s="20">
        <f t="shared" si="8"/>
        <v>0</v>
      </c>
      <c r="F121" s="21">
        <f t="shared" si="9"/>
        <v>1</v>
      </c>
      <c r="G121" s="19">
        <f>VLOOKUP(CONCATENATE($A121,"_",G$3),'Checkpoint 7'!$A$1:$AD$1300,12, FALSE)</f>
        <v>1</v>
      </c>
      <c r="H121" s="20">
        <f>VLOOKUP(CONCATENATE($A121,"_",G$3),'Checkpoint 7'!$A$1:$AD$1300,14, FALSE)</f>
        <v>0</v>
      </c>
      <c r="I121" s="20">
        <f>VLOOKUP(CONCATENATE($A121,"_",G$3),'Checkpoint 7'!$A$1:$AD$1300,18, FALSE)</f>
        <v>62.9</v>
      </c>
      <c r="J121" s="20">
        <f t="shared" si="10"/>
        <v>1</v>
      </c>
      <c r="K121" s="21">
        <f t="shared" si="11"/>
        <v>1</v>
      </c>
      <c r="L121" s="19">
        <f>VLOOKUP(CONCATENATE($A121,"_",L$3),'10 seeds 7200s'!$A$1:$AD$1300,12, FALSE)</f>
        <v>0.99999629999999995</v>
      </c>
      <c r="M121" s="20">
        <f>VLOOKUP(CONCATENATE($A121,"_",L$3),'10 seeds 7200s'!$A$1:$AD$1300,14, FALSE)</f>
        <v>4.6090000000000002E-3</v>
      </c>
      <c r="N121" s="20">
        <f>VLOOKUP(CONCATENATE($A121,"_",L$3),'10 seeds 7200s'!$A$1:$AD$1300,18, FALSE)</f>
        <v>942.4</v>
      </c>
      <c r="O121" s="20">
        <f t="shared" si="12"/>
        <v>0</v>
      </c>
      <c r="P121" s="21">
        <f t="shared" si="13"/>
        <v>1</v>
      </c>
      <c r="Q121" s="19">
        <f>VLOOKUP(CONCATENATE($A121,"_",Q$3),'10 seeds 7200s'!$A$1:$AD$1300,12, FALSE)</f>
        <v>0.99985040000000003</v>
      </c>
      <c r="R121" s="20">
        <f>VLOOKUP(CONCATENATE($A121,"_",Q$3),'10 seeds 7200s'!$A$1:$AD$1300,14, FALSE)</f>
        <v>3.1285199999999999E-2</v>
      </c>
      <c r="S121" s="20">
        <f>VLOOKUP(CONCATENATE($A121,"_",Q$3),'10 seeds 7200s'!$A$1:$AD$1300,18, FALSE)</f>
        <v>752.8</v>
      </c>
      <c r="T121" s="20">
        <f t="shared" si="14"/>
        <v>0</v>
      </c>
      <c r="U121" s="21">
        <f t="shared" si="15"/>
        <v>1</v>
      </c>
    </row>
    <row r="122" spans="1:21" x14ac:dyDescent="0.25">
      <c r="A122" s="27" t="s">
        <v>22</v>
      </c>
      <c r="B122" s="19">
        <f>VLOOKUP(CONCATENATE($A122,"_",B$3),'10 seeds 7200s'!$A$1:$AD$1300,12, FALSE)</f>
        <v>0.99999400000000005</v>
      </c>
      <c r="C122" s="20">
        <f>VLOOKUP(CONCATENATE($A122,"_",B$3),'10 seeds 7200s'!$A$1:$AD$1300,14, FALSE)</f>
        <v>5.4558999999999996E-3</v>
      </c>
      <c r="D122" s="20">
        <f>VLOOKUP(CONCATENATE($A122,"_",B$3),'10 seeds 7200s'!$A$1:$AD$1300,18, FALSE)</f>
        <v>648.1</v>
      </c>
      <c r="E122" s="20">
        <f t="shared" si="8"/>
        <v>0</v>
      </c>
      <c r="F122" s="21">
        <f t="shared" si="9"/>
        <v>1</v>
      </c>
      <c r="G122" s="19">
        <f>VLOOKUP(CONCATENATE($A122,"_",G$3),'Checkpoint 7'!$A$1:$AD$1300,12, FALSE)</f>
        <v>1</v>
      </c>
      <c r="H122" s="20">
        <f>VLOOKUP(CONCATENATE($A122,"_",G$3),'Checkpoint 7'!$A$1:$AD$1300,14, FALSE)</f>
        <v>0</v>
      </c>
      <c r="I122" s="20">
        <f>VLOOKUP(CONCATENATE($A122,"_",G$3),'Checkpoint 7'!$A$1:$AD$1300,18, FALSE)</f>
        <v>9.6</v>
      </c>
      <c r="J122" s="20">
        <f t="shared" si="10"/>
        <v>1</v>
      </c>
      <c r="K122" s="21">
        <f t="shared" si="11"/>
        <v>1</v>
      </c>
      <c r="L122" s="19">
        <f>VLOOKUP(CONCATENATE($A122,"_",L$3),'10 seeds 7200s'!$A$1:$AD$1300,12, FALSE)</f>
        <v>0.99999530000000003</v>
      </c>
      <c r="M122" s="20">
        <f>VLOOKUP(CONCATENATE($A122,"_",L$3),'10 seeds 7200s'!$A$1:$AD$1300,14, FALSE)</f>
        <v>4.7102000000000003E-3</v>
      </c>
      <c r="N122" s="20">
        <f>VLOOKUP(CONCATENATE($A122,"_",L$3),'10 seeds 7200s'!$A$1:$AD$1300,18, FALSE)</f>
        <v>639.9</v>
      </c>
      <c r="O122" s="20">
        <f t="shared" si="12"/>
        <v>0</v>
      </c>
      <c r="P122" s="21">
        <f t="shared" si="13"/>
        <v>1</v>
      </c>
      <c r="Q122" s="19">
        <f>VLOOKUP(CONCATENATE($A122,"_",Q$3),'10 seeds 7200s'!$A$1:$AD$1300,12, FALSE)</f>
        <v>0.99985679999999999</v>
      </c>
      <c r="R122" s="20">
        <f>VLOOKUP(CONCATENATE($A122,"_",Q$3),'10 seeds 7200s'!$A$1:$AD$1300,14, FALSE)</f>
        <v>2.5842299999999999E-2</v>
      </c>
      <c r="S122" s="20">
        <f>VLOOKUP(CONCATENATE($A122,"_",Q$3),'10 seeds 7200s'!$A$1:$AD$1300,18, FALSE)</f>
        <v>430.6</v>
      </c>
      <c r="T122" s="20">
        <f t="shared" si="14"/>
        <v>0</v>
      </c>
      <c r="U122" s="21">
        <f t="shared" si="15"/>
        <v>1</v>
      </c>
    </row>
    <row r="123" spans="1:21" x14ac:dyDescent="0.25">
      <c r="A123" s="27" t="s">
        <v>21</v>
      </c>
      <c r="B123" s="19">
        <f>VLOOKUP(CONCATENATE($A123,"_",B$3),'10 seeds 7200s'!$A$1:$AD$1300,12, FALSE)</f>
        <v>1</v>
      </c>
      <c r="C123" s="20">
        <f>VLOOKUP(CONCATENATE($A123,"_",B$3),'10 seeds 7200s'!$A$1:$AD$1300,14, FALSE)</f>
        <v>0</v>
      </c>
      <c r="D123" s="20">
        <f>VLOOKUP(CONCATENATE($A123,"_",B$3),'10 seeds 7200s'!$A$1:$AD$1300,18, FALSE)</f>
        <v>371.9</v>
      </c>
      <c r="E123" s="20">
        <f t="shared" si="8"/>
        <v>1</v>
      </c>
      <c r="F123" s="21">
        <f t="shared" si="9"/>
        <v>1</v>
      </c>
      <c r="G123" s="19">
        <f>VLOOKUP(CONCATENATE($A123,"_",G$3),'Checkpoint 7'!$A$1:$AD$1300,12, FALSE)</f>
        <v>1</v>
      </c>
      <c r="H123" s="20">
        <f>VLOOKUP(CONCATENATE($A123,"_",G$3),'Checkpoint 7'!$A$1:$AD$1300,14, FALSE)</f>
        <v>0</v>
      </c>
      <c r="I123" s="20">
        <f>VLOOKUP(CONCATENATE($A123,"_",G$3),'Checkpoint 7'!$A$1:$AD$1300,18, FALSE)</f>
        <v>1825.1</v>
      </c>
      <c r="J123" s="20">
        <f t="shared" si="10"/>
        <v>1</v>
      </c>
      <c r="K123" s="21">
        <f t="shared" si="11"/>
        <v>1</v>
      </c>
      <c r="L123" s="19">
        <f>VLOOKUP(CONCATENATE($A123,"_",L$3),'10 seeds 7200s'!$A$1:$AD$1300,12, FALSE)</f>
        <v>1</v>
      </c>
      <c r="M123" s="20">
        <f>VLOOKUP(CONCATENATE($A123,"_",L$3),'10 seeds 7200s'!$A$1:$AD$1300,14, FALSE)</f>
        <v>0</v>
      </c>
      <c r="N123" s="20">
        <f>VLOOKUP(CONCATENATE($A123,"_",L$3),'10 seeds 7200s'!$A$1:$AD$1300,18, FALSE)</f>
        <v>674.9</v>
      </c>
      <c r="O123" s="20">
        <f t="shared" si="12"/>
        <v>1</v>
      </c>
      <c r="P123" s="21">
        <f t="shared" si="13"/>
        <v>1</v>
      </c>
      <c r="Q123" s="19">
        <f>VLOOKUP(CONCATENATE($A123,"_",Q$3),'10 seeds 7200s'!$A$1:$AD$1300,12, FALSE)</f>
        <v>1</v>
      </c>
      <c r="R123" s="20">
        <f>VLOOKUP(CONCATENATE($A123,"_",Q$3),'10 seeds 7200s'!$A$1:$AD$1300,14, FALSE)</f>
        <v>0</v>
      </c>
      <c r="S123" s="20">
        <f>VLOOKUP(CONCATENATE($A123,"_",Q$3),'10 seeds 7200s'!$A$1:$AD$1300,18, FALSE)</f>
        <v>59.4</v>
      </c>
      <c r="T123" s="20">
        <f t="shared" si="14"/>
        <v>1</v>
      </c>
      <c r="U123" s="21">
        <f t="shared" si="15"/>
        <v>1</v>
      </c>
    </row>
    <row r="124" spans="1:21" x14ac:dyDescent="0.25">
      <c r="A124" s="27" t="s">
        <v>24</v>
      </c>
      <c r="B124" s="19">
        <f>VLOOKUP(CONCATENATE($A124,"_",B$3),'10 seeds 7200s'!$A$1:$AD$1300,12, FALSE)</f>
        <v>1</v>
      </c>
      <c r="C124" s="20">
        <f>VLOOKUP(CONCATENATE($A124,"_",B$3),'10 seeds 7200s'!$A$1:$AD$1300,14, FALSE)</f>
        <v>0</v>
      </c>
      <c r="D124" s="20">
        <f>VLOOKUP(CONCATENATE($A124,"_",B$3),'10 seeds 7200s'!$A$1:$AD$1300,18, FALSE)</f>
        <v>26.5</v>
      </c>
      <c r="E124" s="20">
        <f t="shared" si="8"/>
        <v>1</v>
      </c>
      <c r="F124" s="21">
        <f t="shared" si="9"/>
        <v>1</v>
      </c>
      <c r="G124" s="19">
        <f>VLOOKUP(CONCATENATE($A124,"_",G$3),'Checkpoint 7'!$A$1:$AD$1300,12, FALSE)</f>
        <v>1</v>
      </c>
      <c r="H124" s="20">
        <f>VLOOKUP(CONCATENATE($A124,"_",G$3),'Checkpoint 7'!$A$1:$AD$1300,14, FALSE)</f>
        <v>0</v>
      </c>
      <c r="I124" s="20">
        <f>VLOOKUP(CONCATENATE($A124,"_",G$3),'Checkpoint 7'!$A$1:$AD$1300,18, FALSE)</f>
        <v>169.6</v>
      </c>
      <c r="J124" s="20">
        <f t="shared" si="10"/>
        <v>1</v>
      </c>
      <c r="K124" s="21">
        <f t="shared" si="11"/>
        <v>1</v>
      </c>
      <c r="L124" s="19">
        <f>VLOOKUP(CONCATENATE($A124,"_",L$3),'10 seeds 7200s'!$A$1:$AD$1300,12, FALSE)</f>
        <v>0.99867539999999999</v>
      </c>
      <c r="M124" s="20">
        <f>VLOOKUP(CONCATENATE($A124,"_",L$3),'10 seeds 7200s'!$A$1:$AD$1300,14, FALSE)</f>
        <v>9.9953000000000004E-3</v>
      </c>
      <c r="N124" s="20">
        <f>VLOOKUP(CONCATENATE($A124,"_",L$3),'10 seeds 7200s'!$A$1:$AD$1300,18, FALSE)</f>
        <v>2566.5</v>
      </c>
      <c r="O124" s="20">
        <f t="shared" si="12"/>
        <v>0</v>
      </c>
      <c r="P124" s="21">
        <f t="shared" si="13"/>
        <v>0</v>
      </c>
      <c r="Q124" s="19" t="e">
        <f>VLOOKUP(CONCATENATE($A124,"_",Q$3),'10 seeds 7200s'!$A$1:$AD$1300,12, FALSE)</f>
        <v>#N/A</v>
      </c>
      <c r="R124" s="20" t="e">
        <f>VLOOKUP(CONCATENATE($A124,"_",Q$3),'10 seeds 7200s'!$A$1:$AD$1300,14, FALSE)</f>
        <v>#N/A</v>
      </c>
      <c r="S124" s="20" t="e">
        <f>VLOOKUP(CONCATENATE($A124,"_",Q$3),'10 seeds 7200s'!$A$1:$AD$1300,18, FALSE)</f>
        <v>#N/A</v>
      </c>
      <c r="T124" s="20" t="e">
        <f t="shared" si="14"/>
        <v>#N/A</v>
      </c>
      <c r="U124" s="21" t="e">
        <f t="shared" si="15"/>
        <v>#N/A</v>
      </c>
    </row>
    <row r="125" spans="1:21" x14ac:dyDescent="0.25">
      <c r="A125" s="27" t="s">
        <v>25</v>
      </c>
      <c r="B125" s="19">
        <f>VLOOKUP(CONCATENATE($A125,"_",B$3),'10 seeds 7200s'!$A$1:$AD$1300,12, FALSE)</f>
        <v>1</v>
      </c>
      <c r="C125" s="20">
        <f>VLOOKUP(CONCATENATE($A125,"_",B$3),'10 seeds 7200s'!$A$1:$AD$1300,14, FALSE)</f>
        <v>0</v>
      </c>
      <c r="D125" s="20">
        <f>VLOOKUP(CONCATENATE($A125,"_",B$3),'10 seeds 7200s'!$A$1:$AD$1300,18, FALSE)</f>
        <v>1.3</v>
      </c>
      <c r="E125" s="20">
        <f t="shared" si="8"/>
        <v>1</v>
      </c>
      <c r="F125" s="21">
        <f t="shared" si="9"/>
        <v>1</v>
      </c>
      <c r="G125" s="19">
        <f>VLOOKUP(CONCATENATE($A125,"_",G$3),'Checkpoint 7'!$A$1:$AD$1300,12, FALSE)</f>
        <v>1</v>
      </c>
      <c r="H125" s="20">
        <f>VLOOKUP(CONCATENATE($A125,"_",G$3),'Checkpoint 7'!$A$1:$AD$1300,14, FALSE)</f>
        <v>0</v>
      </c>
      <c r="I125" s="20">
        <f>VLOOKUP(CONCATENATE($A125,"_",G$3),'Checkpoint 7'!$A$1:$AD$1300,18, FALSE)</f>
        <v>2.1</v>
      </c>
      <c r="J125" s="20">
        <f t="shared" si="10"/>
        <v>1</v>
      </c>
      <c r="K125" s="21">
        <f t="shared" si="11"/>
        <v>1</v>
      </c>
      <c r="L125" s="19">
        <f>VLOOKUP(CONCATENATE($A125,"_",L$3),'10 seeds 7200s'!$A$1:$AD$1300,12, FALSE)</f>
        <v>1</v>
      </c>
      <c r="M125" s="20">
        <f>VLOOKUP(CONCATENATE($A125,"_",L$3),'10 seeds 7200s'!$A$1:$AD$1300,14, FALSE)</f>
        <v>0</v>
      </c>
      <c r="N125" s="20">
        <f>VLOOKUP(CONCATENATE($A125,"_",L$3),'10 seeds 7200s'!$A$1:$AD$1300,18, FALSE)</f>
        <v>1.5</v>
      </c>
      <c r="O125" s="20">
        <f t="shared" si="12"/>
        <v>1</v>
      </c>
      <c r="P125" s="21">
        <f t="shared" si="13"/>
        <v>1</v>
      </c>
      <c r="Q125" s="19">
        <f>VLOOKUP(CONCATENATE($A125,"_",Q$3),'10 seeds 7200s'!$A$1:$AD$1300,12, FALSE)</f>
        <v>1</v>
      </c>
      <c r="R125" s="20">
        <f>VLOOKUP(CONCATENATE($A125,"_",Q$3),'10 seeds 7200s'!$A$1:$AD$1300,14, FALSE)</f>
        <v>0</v>
      </c>
      <c r="S125" s="20">
        <f>VLOOKUP(CONCATENATE($A125,"_",Q$3),'10 seeds 7200s'!$A$1:$AD$1300,18, FALSE)</f>
        <v>1.9</v>
      </c>
      <c r="T125" s="20">
        <f t="shared" si="14"/>
        <v>1</v>
      </c>
      <c r="U125" s="21">
        <f t="shared" si="15"/>
        <v>1</v>
      </c>
    </row>
    <row r="126" spans="1:21" x14ac:dyDescent="0.25">
      <c r="A126" s="27" t="s">
        <v>19</v>
      </c>
      <c r="B126" s="19">
        <f>VLOOKUP(CONCATENATE($A126,"_",B$3),'10 seeds 7200s'!$A$1:$AD$1300,12, FALSE)</f>
        <v>1</v>
      </c>
      <c r="C126" s="20">
        <f>VLOOKUP(CONCATENATE($A126,"_",B$3),'10 seeds 7200s'!$A$1:$AD$1300,14, FALSE)</f>
        <v>0</v>
      </c>
      <c r="D126" s="20">
        <f>VLOOKUP(CONCATENATE($A126,"_",B$3),'10 seeds 7200s'!$A$1:$AD$1300,18, FALSE)</f>
        <v>13.9</v>
      </c>
      <c r="E126" s="20">
        <f t="shared" si="8"/>
        <v>1</v>
      </c>
      <c r="F126" s="21">
        <f t="shared" si="9"/>
        <v>1</v>
      </c>
      <c r="G126" s="19">
        <f>VLOOKUP(CONCATENATE($A126,"_",G$3),'Checkpoint 7'!$A$1:$AD$1300,12, FALSE)</f>
        <v>1</v>
      </c>
      <c r="H126" s="20">
        <f>VLOOKUP(CONCATENATE($A126,"_",G$3),'Checkpoint 7'!$A$1:$AD$1300,14, FALSE)</f>
        <v>0</v>
      </c>
      <c r="I126" s="20">
        <f>VLOOKUP(CONCATENATE($A126,"_",G$3),'Checkpoint 7'!$A$1:$AD$1300,18, FALSE)</f>
        <v>27.2</v>
      </c>
      <c r="J126" s="20">
        <f t="shared" si="10"/>
        <v>1</v>
      </c>
      <c r="K126" s="21">
        <f t="shared" si="11"/>
        <v>1</v>
      </c>
      <c r="L126" s="19">
        <f>VLOOKUP(CONCATENATE($A126,"_",L$3),'10 seeds 7200s'!$A$1:$AD$1300,12, FALSE)</f>
        <v>1</v>
      </c>
      <c r="M126" s="20">
        <f>VLOOKUP(CONCATENATE($A126,"_",L$3),'10 seeds 7200s'!$A$1:$AD$1300,14, FALSE)</f>
        <v>0</v>
      </c>
      <c r="N126" s="20">
        <f>VLOOKUP(CONCATENATE($A126,"_",L$3),'10 seeds 7200s'!$A$1:$AD$1300,18, FALSE)</f>
        <v>24.9</v>
      </c>
      <c r="O126" s="20">
        <f t="shared" si="12"/>
        <v>1</v>
      </c>
      <c r="P126" s="21">
        <f t="shared" si="13"/>
        <v>1</v>
      </c>
      <c r="Q126" s="19">
        <f>VLOOKUP(CONCATENATE($A126,"_",Q$3),'10 seeds 7200s'!$A$1:$AD$1300,12, FALSE)</f>
        <v>1</v>
      </c>
      <c r="R126" s="20">
        <f>VLOOKUP(CONCATENATE($A126,"_",Q$3),'10 seeds 7200s'!$A$1:$AD$1300,14, FALSE)</f>
        <v>0</v>
      </c>
      <c r="S126" s="20">
        <f>VLOOKUP(CONCATENATE($A126,"_",Q$3),'10 seeds 7200s'!$A$1:$AD$1300,18, FALSE)</f>
        <v>37.299999999999997</v>
      </c>
      <c r="T126" s="20">
        <f t="shared" si="14"/>
        <v>1</v>
      </c>
      <c r="U126" s="21">
        <f t="shared" si="15"/>
        <v>1</v>
      </c>
    </row>
    <row r="127" spans="1:21" x14ac:dyDescent="0.25">
      <c r="A127" s="27" t="s">
        <v>29</v>
      </c>
      <c r="B127" s="19">
        <f>VLOOKUP(CONCATENATE($A127,"_",B$3),'10 seeds 7200s'!$A$1:$AD$1300,12, FALSE)</f>
        <v>1</v>
      </c>
      <c r="C127" s="20">
        <f>VLOOKUP(CONCATENATE($A127,"_",B$3),'10 seeds 7200s'!$A$1:$AD$1300,14, FALSE)</f>
        <v>0</v>
      </c>
      <c r="D127" s="20">
        <f>VLOOKUP(CONCATENATE($A127,"_",B$3),'10 seeds 7200s'!$A$1:$AD$1300,18, FALSE)</f>
        <v>910</v>
      </c>
      <c r="E127" s="20">
        <f t="shared" si="8"/>
        <v>1</v>
      </c>
      <c r="F127" s="21">
        <f t="shared" si="9"/>
        <v>1</v>
      </c>
      <c r="G127" s="19">
        <f>VLOOKUP(CONCATENATE($A127,"_",G$3),'Checkpoint 7'!$A$1:$AD$1300,12, FALSE)</f>
        <v>1</v>
      </c>
      <c r="H127" s="20">
        <f>VLOOKUP(CONCATENATE($A127,"_",G$3),'Checkpoint 7'!$A$1:$AD$1300,14, FALSE)</f>
        <v>0</v>
      </c>
      <c r="I127" s="20">
        <f>VLOOKUP(CONCATENATE($A127,"_",G$3),'Checkpoint 7'!$A$1:$AD$1300,18, FALSE)</f>
        <v>696</v>
      </c>
      <c r="J127" s="20">
        <f t="shared" si="10"/>
        <v>1</v>
      </c>
      <c r="K127" s="21">
        <f t="shared" si="11"/>
        <v>1</v>
      </c>
      <c r="L127" s="19">
        <f>VLOOKUP(CONCATENATE($A127,"_",L$3),'10 seeds 7200s'!$A$1:$AD$1300,12, FALSE)</f>
        <v>1</v>
      </c>
      <c r="M127" s="20">
        <f>VLOOKUP(CONCATENATE($A127,"_",L$3),'10 seeds 7200s'!$A$1:$AD$1300,14, FALSE)</f>
        <v>0</v>
      </c>
      <c r="N127" s="20">
        <f>VLOOKUP(CONCATENATE($A127,"_",L$3),'10 seeds 7200s'!$A$1:$AD$1300,18, FALSE)</f>
        <v>416.1</v>
      </c>
      <c r="O127" s="20">
        <f t="shared" si="12"/>
        <v>1</v>
      </c>
      <c r="P127" s="21">
        <f t="shared" si="13"/>
        <v>1</v>
      </c>
      <c r="Q127" s="19">
        <f>VLOOKUP(CONCATENATE($A127,"_",Q$3),'10 seeds 7200s'!$A$1:$AD$1300,12, FALSE)</f>
        <v>1</v>
      </c>
      <c r="R127" s="20">
        <f>VLOOKUP(CONCATENATE($A127,"_",Q$3),'10 seeds 7200s'!$A$1:$AD$1300,14, FALSE)</f>
        <v>0</v>
      </c>
      <c r="S127" s="20">
        <f>VLOOKUP(CONCATENATE($A127,"_",Q$3),'10 seeds 7200s'!$A$1:$AD$1300,18, FALSE)</f>
        <v>121.3</v>
      </c>
      <c r="T127" s="20">
        <f t="shared" si="14"/>
        <v>1</v>
      </c>
      <c r="U127" s="21">
        <f t="shared" si="15"/>
        <v>1</v>
      </c>
    </row>
    <row r="128" spans="1:21" x14ac:dyDescent="0.25">
      <c r="A128" s="27" t="s">
        <v>27</v>
      </c>
      <c r="B128" s="19">
        <f>VLOOKUP(CONCATENATE($A128,"_",B$3),'10 seeds 7200s'!$A$1:$AD$1300,12, FALSE)</f>
        <v>1</v>
      </c>
      <c r="C128" s="20">
        <f>VLOOKUP(CONCATENATE($A128,"_",B$3),'10 seeds 7200s'!$A$1:$AD$1300,14, FALSE)</f>
        <v>0</v>
      </c>
      <c r="D128" s="20">
        <f>VLOOKUP(CONCATENATE($A128,"_",B$3),'10 seeds 7200s'!$A$1:$AD$1300,18, FALSE)</f>
        <v>60.3</v>
      </c>
      <c r="E128" s="20">
        <f t="shared" si="8"/>
        <v>1</v>
      </c>
      <c r="F128" s="21">
        <f t="shared" si="9"/>
        <v>1</v>
      </c>
      <c r="G128" s="19">
        <f>VLOOKUP(CONCATENATE($A128,"_",G$3),'Checkpoint 7'!$A$1:$AD$1300,12, FALSE)</f>
        <v>1</v>
      </c>
      <c r="H128" s="20">
        <f>VLOOKUP(CONCATENATE($A128,"_",G$3),'Checkpoint 7'!$A$1:$AD$1300,14, FALSE)</f>
        <v>0</v>
      </c>
      <c r="I128" s="20">
        <f>VLOOKUP(CONCATENATE($A128,"_",G$3),'Checkpoint 7'!$A$1:$AD$1300,18, FALSE)</f>
        <v>84.6</v>
      </c>
      <c r="J128" s="20">
        <f t="shared" si="10"/>
        <v>1</v>
      </c>
      <c r="K128" s="21">
        <f t="shared" si="11"/>
        <v>1</v>
      </c>
      <c r="L128" s="19">
        <f>VLOOKUP(CONCATENATE($A128,"_",L$3),'10 seeds 7200s'!$A$1:$AD$1300,12, FALSE)</f>
        <v>1</v>
      </c>
      <c r="M128" s="20">
        <f>VLOOKUP(CONCATENATE($A128,"_",L$3),'10 seeds 7200s'!$A$1:$AD$1300,14, FALSE)</f>
        <v>0</v>
      </c>
      <c r="N128" s="20">
        <f>VLOOKUP(CONCATENATE($A128,"_",L$3),'10 seeds 7200s'!$A$1:$AD$1300,18, FALSE)</f>
        <v>88.1</v>
      </c>
      <c r="O128" s="20">
        <f t="shared" si="12"/>
        <v>1</v>
      </c>
      <c r="P128" s="21">
        <f t="shared" si="13"/>
        <v>1</v>
      </c>
      <c r="Q128" s="19">
        <f>VLOOKUP(CONCATENATE($A128,"_",Q$3),'10 seeds 7200s'!$A$1:$AD$1300,12, FALSE)</f>
        <v>1</v>
      </c>
      <c r="R128" s="20">
        <f>VLOOKUP(CONCATENATE($A128,"_",Q$3),'10 seeds 7200s'!$A$1:$AD$1300,14, FALSE)</f>
        <v>0</v>
      </c>
      <c r="S128" s="20">
        <f>VLOOKUP(CONCATENATE($A128,"_",Q$3),'10 seeds 7200s'!$A$1:$AD$1300,18, FALSE)</f>
        <v>107.2</v>
      </c>
      <c r="T128" s="20">
        <f t="shared" si="14"/>
        <v>1</v>
      </c>
      <c r="U128" s="21">
        <f t="shared" si="15"/>
        <v>1</v>
      </c>
    </row>
    <row r="129" spans="1:21" x14ac:dyDescent="0.25">
      <c r="A129" s="27" t="s">
        <v>31</v>
      </c>
      <c r="B129" s="19">
        <f>VLOOKUP(CONCATENATE($A129,"_",B$3),'10 seeds 7200s'!$A$1:$AD$1300,12, FALSE)</f>
        <v>1</v>
      </c>
      <c r="C129" s="20">
        <f>VLOOKUP(CONCATENATE($A129,"_",B$3),'10 seeds 7200s'!$A$1:$AD$1300,14, FALSE)</f>
        <v>1.674E-4</v>
      </c>
      <c r="D129" s="20">
        <f>VLOOKUP(CONCATENATE($A129,"_",B$3),'10 seeds 7200s'!$A$1:$AD$1300,18, FALSE)</f>
        <v>3081.7</v>
      </c>
      <c r="E129" s="20">
        <f t="shared" si="8"/>
        <v>0</v>
      </c>
      <c r="F129" s="21">
        <f t="shared" si="9"/>
        <v>1</v>
      </c>
      <c r="G129" s="19">
        <f>VLOOKUP(CONCATENATE($A129,"_",G$3),'Checkpoint 7'!$A$1:$AD$1300,12, FALSE)</f>
        <v>1</v>
      </c>
      <c r="H129" s="20">
        <f>VLOOKUP(CONCATENATE($A129,"_",G$3),'Checkpoint 7'!$A$1:$AD$1300,14, FALSE)</f>
        <v>0</v>
      </c>
      <c r="I129" s="20">
        <f>VLOOKUP(CONCATENATE($A129,"_",G$3),'Checkpoint 7'!$A$1:$AD$1300,18, FALSE)</f>
        <v>2384.1</v>
      </c>
      <c r="J129" s="20">
        <f t="shared" si="10"/>
        <v>1</v>
      </c>
      <c r="K129" s="21">
        <f t="shared" si="11"/>
        <v>1</v>
      </c>
      <c r="L129" s="19">
        <f>VLOOKUP(CONCATENATE($A129,"_",L$3),'10 seeds 7200s'!$A$1:$AD$1300,12, FALSE)</f>
        <v>1</v>
      </c>
      <c r="M129" s="20">
        <f>VLOOKUP(CONCATENATE($A129,"_",L$3),'10 seeds 7200s'!$A$1:$AD$1300,14, FALSE)</f>
        <v>0</v>
      </c>
      <c r="N129" s="20">
        <f>VLOOKUP(CONCATENATE($A129,"_",L$3),'10 seeds 7200s'!$A$1:$AD$1300,18, FALSE)</f>
        <v>1757.8</v>
      </c>
      <c r="O129" s="20">
        <f t="shared" si="12"/>
        <v>1</v>
      </c>
      <c r="P129" s="21">
        <f t="shared" si="13"/>
        <v>1</v>
      </c>
      <c r="Q129" s="19" t="e">
        <f>VLOOKUP(CONCATENATE($A129,"_",Q$3),'10 seeds 7200s'!$A$1:$AD$1300,12, FALSE)</f>
        <v>#N/A</v>
      </c>
      <c r="R129" s="20" t="e">
        <f>VLOOKUP(CONCATENATE($A129,"_",Q$3),'10 seeds 7200s'!$A$1:$AD$1300,14, FALSE)</f>
        <v>#N/A</v>
      </c>
      <c r="S129" s="20" t="e">
        <f>VLOOKUP(CONCATENATE($A129,"_",Q$3),'10 seeds 7200s'!$A$1:$AD$1300,18, FALSE)</f>
        <v>#N/A</v>
      </c>
      <c r="T129" s="20" t="e">
        <f t="shared" si="14"/>
        <v>#N/A</v>
      </c>
      <c r="U129" s="21" t="e">
        <f t="shared" si="15"/>
        <v>#N/A</v>
      </c>
    </row>
    <row r="130" spans="1:21" x14ac:dyDescent="0.25">
      <c r="A130" s="27" t="s">
        <v>28</v>
      </c>
      <c r="B130" s="19">
        <f>VLOOKUP(CONCATENATE($A130,"_",B$3),'10 seeds 7200s'!$A$1:$AD$1300,12, FALSE)</f>
        <v>1</v>
      </c>
      <c r="C130" s="20">
        <f>VLOOKUP(CONCATENATE($A130,"_",B$3),'10 seeds 7200s'!$A$1:$AD$1300,14, FALSE)</f>
        <v>0</v>
      </c>
      <c r="D130" s="20">
        <f>VLOOKUP(CONCATENATE($A130,"_",B$3),'10 seeds 7200s'!$A$1:$AD$1300,18, FALSE)</f>
        <v>40.1</v>
      </c>
      <c r="E130" s="20">
        <f t="shared" si="8"/>
        <v>1</v>
      </c>
      <c r="F130" s="21">
        <f t="shared" si="9"/>
        <v>1</v>
      </c>
      <c r="G130" s="19">
        <f>VLOOKUP(CONCATENATE($A130,"_",G$3),'Checkpoint 7'!$A$1:$AD$1300,12, FALSE)</f>
        <v>1</v>
      </c>
      <c r="H130" s="20">
        <f>VLOOKUP(CONCATENATE($A130,"_",G$3),'Checkpoint 7'!$A$1:$AD$1300,14, FALSE)</f>
        <v>0</v>
      </c>
      <c r="I130" s="20">
        <f>VLOOKUP(CONCATENATE($A130,"_",G$3),'Checkpoint 7'!$A$1:$AD$1300,18, FALSE)</f>
        <v>42.4</v>
      </c>
      <c r="J130" s="20">
        <f t="shared" si="10"/>
        <v>1</v>
      </c>
      <c r="K130" s="21">
        <f t="shared" si="11"/>
        <v>1</v>
      </c>
      <c r="L130" s="19">
        <f>VLOOKUP(CONCATENATE($A130,"_",L$3),'10 seeds 7200s'!$A$1:$AD$1300,12, FALSE)</f>
        <v>1</v>
      </c>
      <c r="M130" s="20">
        <f>VLOOKUP(CONCATENATE($A130,"_",L$3),'10 seeds 7200s'!$A$1:$AD$1300,14, FALSE)</f>
        <v>0</v>
      </c>
      <c r="N130" s="20">
        <f>VLOOKUP(CONCATENATE($A130,"_",L$3),'10 seeds 7200s'!$A$1:$AD$1300,18, FALSE)</f>
        <v>1567.8</v>
      </c>
      <c r="O130" s="20">
        <f t="shared" si="12"/>
        <v>1</v>
      </c>
      <c r="P130" s="21">
        <f t="shared" si="13"/>
        <v>1</v>
      </c>
      <c r="Q130" s="19" t="e">
        <f>VLOOKUP(CONCATENATE($A130,"_",Q$3),'10 seeds 7200s'!$A$1:$AD$1300,12, FALSE)</f>
        <v>#N/A</v>
      </c>
      <c r="R130" s="20" t="e">
        <f>VLOOKUP(CONCATENATE($A130,"_",Q$3),'10 seeds 7200s'!$A$1:$AD$1300,14, FALSE)</f>
        <v>#N/A</v>
      </c>
      <c r="S130" s="20" t="e">
        <f>VLOOKUP(CONCATENATE($A130,"_",Q$3),'10 seeds 7200s'!$A$1:$AD$1300,18, FALSE)</f>
        <v>#N/A</v>
      </c>
      <c r="T130" s="20" t="e">
        <f t="shared" si="14"/>
        <v>#N/A</v>
      </c>
      <c r="U130" s="21" t="e">
        <f t="shared" si="15"/>
        <v>#N/A</v>
      </c>
    </row>
    <row r="131" spans="1:21" x14ac:dyDescent="0.25">
      <c r="A131" s="27" t="s">
        <v>23</v>
      </c>
      <c r="B131" s="19">
        <f>VLOOKUP(CONCATENATE($A131,"_",B$3),'10 seeds 7200s'!$A$1:$AD$1300,12, FALSE)</f>
        <v>0.98254140000000001</v>
      </c>
      <c r="C131" s="20">
        <f>VLOOKUP(CONCATENATE($A131,"_",B$3),'10 seeds 7200s'!$A$1:$AD$1300,14, FALSE)</f>
        <v>7.2453199999999995E-2</v>
      </c>
      <c r="D131" s="20">
        <f>VLOOKUP(CONCATENATE($A131,"_",B$3),'10 seeds 7200s'!$A$1:$AD$1300,18, FALSE)</f>
        <v>2442</v>
      </c>
      <c r="E131" s="20">
        <f t="shared" si="8"/>
        <v>0</v>
      </c>
      <c r="F131" s="21">
        <f t="shared" si="9"/>
        <v>0</v>
      </c>
      <c r="G131" s="19">
        <f>VLOOKUP(CONCATENATE($A131,"_",G$3),'Checkpoint 7'!$A$1:$AD$1300,12, FALSE)</f>
        <v>0.93120440000000004</v>
      </c>
      <c r="H131" s="20">
        <f>VLOOKUP(CONCATENATE($A131,"_",G$3),'Checkpoint 7'!$A$1:$AD$1300,14, FALSE)</f>
        <v>0.14382439999999999</v>
      </c>
      <c r="I131" s="20">
        <f>VLOOKUP(CONCATENATE($A131,"_",G$3),'Checkpoint 7'!$A$1:$AD$1300,18, FALSE)</f>
        <v>2536.1</v>
      </c>
      <c r="J131" s="20">
        <f t="shared" si="10"/>
        <v>0</v>
      </c>
      <c r="K131" s="21">
        <f t="shared" si="11"/>
        <v>0</v>
      </c>
      <c r="L131" s="19">
        <f>VLOOKUP(CONCATENATE($A131,"_",L$3),'10 seeds 7200s'!$A$1:$AD$1300,12, FALSE)</f>
        <v>0.36658089999999999</v>
      </c>
      <c r="M131" s="20">
        <f>VLOOKUP(CONCATENATE($A131,"_",L$3),'10 seeds 7200s'!$A$1:$AD$1300,14, FALSE)</f>
        <v>0.36004770000000003</v>
      </c>
      <c r="N131" s="20">
        <f>VLOOKUP(CONCATENATE($A131,"_",L$3),'10 seeds 7200s'!$A$1:$AD$1300,18, FALSE)</f>
        <v>2594.8000000000002</v>
      </c>
      <c r="O131" s="20">
        <f t="shared" si="12"/>
        <v>0</v>
      </c>
      <c r="P131" s="21">
        <f t="shared" si="13"/>
        <v>0</v>
      </c>
      <c r="Q131" s="19">
        <f>VLOOKUP(CONCATENATE($A131,"_",Q$3),'10 seeds 7200s'!$A$1:$AD$1300,12, FALSE)</f>
        <v>3.5883400000000003E-2</v>
      </c>
      <c r="R131" s="20">
        <f>VLOOKUP(CONCATENATE($A131,"_",Q$3),'10 seeds 7200s'!$A$1:$AD$1300,14, FALSE)</f>
        <v>0.56723860000000004</v>
      </c>
      <c r="S131" s="20">
        <f>VLOOKUP(CONCATENATE($A131,"_",Q$3),'10 seeds 7200s'!$A$1:$AD$1300,18, FALSE)</f>
        <v>2535.3000000000002</v>
      </c>
      <c r="T131" s="20">
        <f t="shared" si="14"/>
        <v>0</v>
      </c>
      <c r="U131" s="21">
        <f t="shared" si="15"/>
        <v>0</v>
      </c>
    </row>
    <row r="132" spans="1:21" x14ac:dyDescent="0.25">
      <c r="A132" s="27" t="s">
        <v>20</v>
      </c>
      <c r="B132" s="19">
        <f>VLOOKUP(CONCATENATE($A132,"_",B$3),'10 seeds 7200s'!$A$1:$AD$1300,12, FALSE)</f>
        <v>1</v>
      </c>
      <c r="C132" s="20">
        <f>VLOOKUP(CONCATENATE($A132,"_",B$3),'10 seeds 7200s'!$A$1:$AD$1300,14, FALSE)</f>
        <v>0</v>
      </c>
      <c r="D132" s="20">
        <f>VLOOKUP(CONCATENATE($A132,"_",B$3),'10 seeds 7200s'!$A$1:$AD$1300,18, FALSE)</f>
        <v>264</v>
      </c>
      <c r="E132" s="20">
        <f t="shared" si="8"/>
        <v>1</v>
      </c>
      <c r="F132" s="21">
        <f t="shared" si="9"/>
        <v>1</v>
      </c>
      <c r="G132" s="19">
        <f>VLOOKUP(CONCATENATE($A132,"_",G$3),'Checkpoint 7'!$A$1:$AD$1300,12, FALSE)</f>
        <v>1</v>
      </c>
      <c r="H132" s="20">
        <f>VLOOKUP(CONCATENATE($A132,"_",G$3),'Checkpoint 7'!$A$1:$AD$1300,14, FALSE)</f>
        <v>0</v>
      </c>
      <c r="I132" s="20">
        <f>VLOOKUP(CONCATENATE($A132,"_",G$3),'Checkpoint 7'!$A$1:$AD$1300,18, FALSE)</f>
        <v>375.7</v>
      </c>
      <c r="J132" s="20">
        <f t="shared" si="10"/>
        <v>1</v>
      </c>
      <c r="K132" s="21">
        <f t="shared" si="11"/>
        <v>1</v>
      </c>
      <c r="L132" s="19">
        <f>VLOOKUP(CONCATENATE($A132,"_",L$3),'10 seeds 7200s'!$A$1:$AD$1300,12, FALSE)</f>
        <v>1</v>
      </c>
      <c r="M132" s="20">
        <f>VLOOKUP(CONCATENATE($A132,"_",L$3),'10 seeds 7200s'!$A$1:$AD$1300,14, FALSE)</f>
        <v>0</v>
      </c>
      <c r="N132" s="20">
        <f>VLOOKUP(CONCATENATE($A132,"_",L$3),'10 seeds 7200s'!$A$1:$AD$1300,18, FALSE)</f>
        <v>516.79999999999995</v>
      </c>
      <c r="O132" s="20">
        <f t="shared" si="12"/>
        <v>1</v>
      </c>
      <c r="P132" s="21">
        <f t="shared" si="13"/>
        <v>1</v>
      </c>
      <c r="Q132" s="19">
        <f>VLOOKUP(CONCATENATE($A132,"_",Q$3),'10 seeds 7200s'!$A$1:$AD$1300,12, FALSE)</f>
        <v>1</v>
      </c>
      <c r="R132" s="20">
        <f>VLOOKUP(CONCATENATE($A132,"_",Q$3),'10 seeds 7200s'!$A$1:$AD$1300,14, FALSE)</f>
        <v>0</v>
      </c>
      <c r="S132" s="20">
        <f>VLOOKUP(CONCATENATE($A132,"_",Q$3),'10 seeds 7200s'!$A$1:$AD$1300,18, FALSE)</f>
        <v>48.9</v>
      </c>
      <c r="T132" s="20">
        <f t="shared" si="14"/>
        <v>1</v>
      </c>
      <c r="U132" s="21">
        <f t="shared" si="15"/>
        <v>1</v>
      </c>
    </row>
    <row r="133" spans="1:21" x14ac:dyDescent="0.25">
      <c r="A133" s="27" t="s">
        <v>30</v>
      </c>
      <c r="B133" s="19">
        <f>VLOOKUP(CONCATENATE($A133,"_",B$3),'10 seeds 7200s'!$A$1:$AD$1300,12, FALSE)</f>
        <v>1</v>
      </c>
      <c r="C133" s="20">
        <f>VLOOKUP(CONCATENATE($A133,"_",B$3),'10 seeds 7200s'!$A$1:$AD$1300,14, FALSE)</f>
        <v>0</v>
      </c>
      <c r="D133" s="20">
        <f>VLOOKUP(CONCATENATE($A133,"_",B$3),'10 seeds 7200s'!$A$1:$AD$1300,18, FALSE)</f>
        <v>163.80000000000001</v>
      </c>
      <c r="E133" s="20">
        <f t="shared" si="8"/>
        <v>1</v>
      </c>
      <c r="F133" s="21">
        <f t="shared" si="9"/>
        <v>1</v>
      </c>
      <c r="G133" s="19">
        <f>VLOOKUP(CONCATENATE($A133,"_",G$3),'Checkpoint 7'!$A$1:$AD$1300,12, FALSE)</f>
        <v>1</v>
      </c>
      <c r="H133" s="20">
        <f>VLOOKUP(CONCATENATE($A133,"_",G$3),'Checkpoint 7'!$A$1:$AD$1300,14, FALSE)</f>
        <v>0</v>
      </c>
      <c r="I133" s="20">
        <f>VLOOKUP(CONCATENATE($A133,"_",G$3),'Checkpoint 7'!$A$1:$AD$1300,18, FALSE)</f>
        <v>19</v>
      </c>
      <c r="J133" s="20">
        <f t="shared" si="10"/>
        <v>1</v>
      </c>
      <c r="K133" s="21">
        <f t="shared" si="11"/>
        <v>1</v>
      </c>
      <c r="L133" s="19">
        <f>VLOOKUP(CONCATENATE($A133,"_",L$3),'10 seeds 7200s'!$A$1:$AD$1300,12, FALSE)</f>
        <v>1</v>
      </c>
      <c r="M133" s="20">
        <f>VLOOKUP(CONCATENATE($A133,"_",L$3),'10 seeds 7200s'!$A$1:$AD$1300,14, FALSE)</f>
        <v>0</v>
      </c>
      <c r="N133" s="20">
        <f>VLOOKUP(CONCATENATE($A133,"_",L$3),'10 seeds 7200s'!$A$1:$AD$1300,18, FALSE)</f>
        <v>260.7</v>
      </c>
      <c r="O133" s="20">
        <f t="shared" si="12"/>
        <v>1</v>
      </c>
      <c r="P133" s="21">
        <f t="shared" si="13"/>
        <v>1</v>
      </c>
      <c r="Q133" s="19">
        <f>VLOOKUP(CONCATENATE($A133,"_",Q$3),'10 seeds 7200s'!$A$1:$AD$1300,12, FALSE)</f>
        <v>1</v>
      </c>
      <c r="R133" s="20">
        <f>VLOOKUP(CONCATENATE($A133,"_",Q$3),'10 seeds 7200s'!$A$1:$AD$1300,14, FALSE)</f>
        <v>0</v>
      </c>
      <c r="S133" s="20">
        <f>VLOOKUP(CONCATENATE($A133,"_",Q$3),'10 seeds 7200s'!$A$1:$AD$1300,18, FALSE)</f>
        <v>327.5</v>
      </c>
      <c r="T133" s="20">
        <f t="shared" si="14"/>
        <v>1</v>
      </c>
      <c r="U133" s="21">
        <f t="shared" si="15"/>
        <v>1</v>
      </c>
    </row>
    <row r="134" spans="1:21" ht="15.75" thickBot="1" x14ac:dyDescent="0.3">
      <c r="A134" s="11" t="s">
        <v>18</v>
      </c>
      <c r="B134" s="19">
        <f>VLOOKUP(CONCATENATE($A134,"_",B$3),'10 seeds 7200s'!$A$1:$AD$1300,12, FALSE)</f>
        <v>1</v>
      </c>
      <c r="C134" s="20">
        <f>VLOOKUP(CONCATENATE($A134,"_",B$3),'10 seeds 7200s'!$A$1:$AD$1300,14, FALSE)</f>
        <v>0</v>
      </c>
      <c r="D134" s="20">
        <f>VLOOKUP(CONCATENATE($A134,"_",B$3),'10 seeds 7200s'!$A$1:$AD$1300,18, FALSE)</f>
        <v>0.2</v>
      </c>
      <c r="E134" s="23">
        <f t="shared" ref="E134" si="16">IF(AND(B134=1,C134=0),1,0)</f>
        <v>1</v>
      </c>
      <c r="F134" s="26">
        <f t="shared" ref="F134" si="17">IF(B134&gt;0.999,1,0)</f>
        <v>1</v>
      </c>
      <c r="G134" s="19">
        <f>VLOOKUP(CONCATENATE($A134,"_",G$3),'Checkpoint 7'!$A$1:$AD$1300,12, FALSE)</f>
        <v>1</v>
      </c>
      <c r="H134" s="20">
        <f>VLOOKUP(CONCATENATE($A134,"_",G$3),'Checkpoint 7'!$A$1:$AD$1300,14, FALSE)</f>
        <v>0</v>
      </c>
      <c r="I134" s="20">
        <f>VLOOKUP(CONCATENATE($A134,"_",G$3),'Checkpoint 7'!$A$1:$AD$1300,18, FALSE)</f>
        <v>0.2</v>
      </c>
      <c r="J134" s="23">
        <f t="shared" ref="J134" si="18">IF(AND(G134=1,H134=0),1,0)</f>
        <v>1</v>
      </c>
      <c r="K134" s="26">
        <f t="shared" ref="K134" si="19">IF(G134&gt;0.999,1,0)</f>
        <v>1</v>
      </c>
      <c r="L134" s="19">
        <f>VLOOKUP(CONCATENATE($A134,"_",L$3),'10 seeds 7200s'!$A$1:$AD$1300,12, FALSE)</f>
        <v>1</v>
      </c>
      <c r="M134" s="20">
        <f>VLOOKUP(CONCATENATE($A134,"_",L$3),'10 seeds 7200s'!$A$1:$AD$1300,14, FALSE)</f>
        <v>0</v>
      </c>
      <c r="N134" s="20">
        <f>VLOOKUP(CONCATENATE($A134,"_",L$3),'10 seeds 7200s'!$A$1:$AD$1300,18, FALSE)</f>
        <v>0.2</v>
      </c>
      <c r="O134" s="23">
        <f t="shared" ref="O134" si="20">IF(AND(L134=1,M134=0),1,0)</f>
        <v>1</v>
      </c>
      <c r="P134" s="26">
        <f t="shared" ref="P134" si="21">IF(L134&gt;0.999,1,0)</f>
        <v>1</v>
      </c>
      <c r="Q134" s="19">
        <f>VLOOKUP(CONCATENATE($A134,"_",Q$3),'10 seeds 7200s'!$A$1:$AD$1300,12, FALSE)</f>
        <v>1</v>
      </c>
      <c r="R134" s="20">
        <f>VLOOKUP(CONCATENATE($A134,"_",Q$3),'10 seeds 7200s'!$A$1:$AD$1300,14, FALSE)</f>
        <v>0</v>
      </c>
      <c r="S134" s="20">
        <f>VLOOKUP(CONCATENATE($A134,"_",Q$3),'10 seeds 7200s'!$A$1:$AD$1300,18, FALSE)</f>
        <v>0.2</v>
      </c>
      <c r="T134" s="23">
        <f t="shared" ref="T134" si="22">IF(AND(Q134=1,R134=0),1,0)</f>
        <v>1</v>
      </c>
      <c r="U134" s="26">
        <f t="shared" ref="U134" si="23">IF(Q134&gt;0.999,1,0)</f>
        <v>1</v>
      </c>
    </row>
  </sheetData>
  <mergeCells count="4">
    <mergeCell ref="B3:E3"/>
    <mergeCell ref="L3:O3"/>
    <mergeCell ref="Q3:T3"/>
    <mergeCell ref="G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EB761-C4A9-4CD8-86E2-99112C0969DE}">
  <dimension ref="A1:AD321"/>
  <sheetViews>
    <sheetView workbookViewId="0"/>
  </sheetViews>
  <sheetFormatPr defaultRowHeight="15" x14ac:dyDescent="0.25"/>
  <cols>
    <col min="1" max="1" width="25.28515625" bestFit="1" customWidth="1"/>
    <col min="2" max="2" width="19.140625" bestFit="1" customWidth="1"/>
  </cols>
  <sheetData>
    <row r="1" spans="1:30" x14ac:dyDescent="0.25">
      <c r="A1" t="str">
        <f>CONCATENATE(B1, "_", H1)</f>
        <v>strogatz_vdp2_23654</v>
      </c>
      <c r="B1" t="s">
        <v>18</v>
      </c>
      <c r="C1" t="s">
        <v>189</v>
      </c>
      <c r="D1">
        <v>7200</v>
      </c>
      <c r="E1" t="s">
        <v>190</v>
      </c>
      <c r="F1">
        <v>1000000</v>
      </c>
      <c r="G1" t="s">
        <v>191</v>
      </c>
      <c r="H1">
        <v>23654</v>
      </c>
      <c r="I1" t="s">
        <v>192</v>
      </c>
      <c r="J1">
        <v>1E-3</v>
      </c>
      <c r="K1" t="s">
        <v>3</v>
      </c>
      <c r="L1">
        <v>1</v>
      </c>
      <c r="M1" t="s">
        <v>2</v>
      </c>
      <c r="N1">
        <v>0</v>
      </c>
      <c r="O1" t="s">
        <v>17</v>
      </c>
      <c r="P1">
        <v>4</v>
      </c>
      <c r="Q1" t="s">
        <v>0</v>
      </c>
      <c r="R1">
        <v>0.2</v>
      </c>
      <c r="S1" t="s">
        <v>152</v>
      </c>
      <c r="T1">
        <v>1</v>
      </c>
      <c r="U1" t="s">
        <v>153</v>
      </c>
      <c r="V1">
        <v>2</v>
      </c>
      <c r="W1" t="s">
        <v>151</v>
      </c>
      <c r="X1">
        <v>133</v>
      </c>
      <c r="Y1" t="s">
        <v>1</v>
      </c>
      <c r="Z1" t="s">
        <v>154</v>
      </c>
      <c r="AA1" t="s">
        <v>5</v>
      </c>
      <c r="AB1">
        <v>1</v>
      </c>
      <c r="AC1" t="s">
        <v>4</v>
      </c>
      <c r="AD1">
        <v>0</v>
      </c>
    </row>
    <row r="2" spans="1:30" x14ac:dyDescent="0.25">
      <c r="A2" t="str">
        <f t="shared" ref="A2:A65" si="0">CONCATENATE(B2, "_", H2)</f>
        <v>feynman_I_12_1_23654</v>
      </c>
      <c r="B2" t="s">
        <v>37</v>
      </c>
      <c r="C2" t="s">
        <v>189</v>
      </c>
      <c r="D2">
        <v>7200</v>
      </c>
      <c r="E2" t="s">
        <v>190</v>
      </c>
      <c r="F2">
        <v>1000000</v>
      </c>
      <c r="G2" t="s">
        <v>191</v>
      </c>
      <c r="H2">
        <v>23654</v>
      </c>
      <c r="I2" t="s">
        <v>192</v>
      </c>
      <c r="J2">
        <v>1E-3</v>
      </c>
      <c r="K2" t="s">
        <v>3</v>
      </c>
      <c r="L2">
        <v>1</v>
      </c>
      <c r="M2" t="s">
        <v>2</v>
      </c>
      <c r="N2">
        <v>0</v>
      </c>
      <c r="O2" t="s">
        <v>17</v>
      </c>
      <c r="P2">
        <v>6</v>
      </c>
      <c r="Q2" t="s">
        <v>0</v>
      </c>
      <c r="R2">
        <v>1.4</v>
      </c>
      <c r="S2" t="s">
        <v>152</v>
      </c>
      <c r="T2">
        <v>1</v>
      </c>
      <c r="U2" t="s">
        <v>153</v>
      </c>
      <c r="V2">
        <v>2</v>
      </c>
      <c r="W2" t="s">
        <v>151</v>
      </c>
      <c r="X2">
        <v>264</v>
      </c>
      <c r="Y2" t="s">
        <v>1</v>
      </c>
      <c r="Z2" t="s">
        <v>157</v>
      </c>
      <c r="AA2" t="s">
        <v>5</v>
      </c>
      <c r="AB2">
        <v>1</v>
      </c>
      <c r="AC2" t="s">
        <v>4</v>
      </c>
      <c r="AD2">
        <v>0</v>
      </c>
    </row>
    <row r="3" spans="1:30" x14ac:dyDescent="0.25">
      <c r="A3" t="str">
        <f t="shared" si="0"/>
        <v>feynman_I_12_5_23654</v>
      </c>
      <c r="B3" t="s">
        <v>36</v>
      </c>
      <c r="C3" t="s">
        <v>189</v>
      </c>
      <c r="D3">
        <v>7200</v>
      </c>
      <c r="E3" t="s">
        <v>190</v>
      </c>
      <c r="F3">
        <v>1000000</v>
      </c>
      <c r="G3" t="s">
        <v>191</v>
      </c>
      <c r="H3">
        <v>23654</v>
      </c>
      <c r="I3" t="s">
        <v>192</v>
      </c>
      <c r="J3">
        <v>1E-3</v>
      </c>
      <c r="K3" t="s">
        <v>3</v>
      </c>
      <c r="L3">
        <v>1</v>
      </c>
      <c r="M3" t="s">
        <v>2</v>
      </c>
      <c r="N3">
        <v>0</v>
      </c>
      <c r="O3" t="s">
        <v>17</v>
      </c>
      <c r="P3">
        <v>6</v>
      </c>
      <c r="Q3" t="s">
        <v>0</v>
      </c>
      <c r="R3">
        <v>1.4</v>
      </c>
      <c r="S3" t="s">
        <v>152</v>
      </c>
      <c r="T3">
        <v>1</v>
      </c>
      <c r="U3" t="s">
        <v>153</v>
      </c>
      <c r="V3">
        <v>2</v>
      </c>
      <c r="W3" t="s">
        <v>151</v>
      </c>
      <c r="X3">
        <v>264</v>
      </c>
      <c r="Y3" t="s">
        <v>1</v>
      </c>
      <c r="Z3" t="s">
        <v>157</v>
      </c>
      <c r="AA3" t="s">
        <v>5</v>
      </c>
      <c r="AB3">
        <v>1</v>
      </c>
      <c r="AC3" t="s">
        <v>4</v>
      </c>
      <c r="AD3">
        <v>0</v>
      </c>
    </row>
    <row r="4" spans="1:30" x14ac:dyDescent="0.25">
      <c r="A4" t="str">
        <f t="shared" si="0"/>
        <v>feynman_I_39_1_23654</v>
      </c>
      <c r="B4" t="s">
        <v>39</v>
      </c>
      <c r="C4" t="s">
        <v>189</v>
      </c>
      <c r="D4">
        <v>7200</v>
      </c>
      <c r="E4" t="s">
        <v>190</v>
      </c>
      <c r="F4">
        <v>1000000</v>
      </c>
      <c r="G4" t="s">
        <v>191</v>
      </c>
      <c r="H4">
        <v>23654</v>
      </c>
      <c r="I4" t="s">
        <v>192</v>
      </c>
      <c r="J4">
        <v>1E-3</v>
      </c>
      <c r="K4" t="s">
        <v>3</v>
      </c>
      <c r="L4">
        <v>1</v>
      </c>
      <c r="M4" t="s">
        <v>2</v>
      </c>
      <c r="N4">
        <v>0</v>
      </c>
      <c r="O4" t="s">
        <v>17</v>
      </c>
      <c r="P4">
        <v>6</v>
      </c>
      <c r="Q4" t="s">
        <v>0</v>
      </c>
      <c r="R4">
        <v>1.3</v>
      </c>
      <c r="S4" t="s">
        <v>152</v>
      </c>
      <c r="T4">
        <v>1</v>
      </c>
      <c r="U4" t="s">
        <v>153</v>
      </c>
      <c r="V4">
        <v>2</v>
      </c>
      <c r="W4" t="s">
        <v>151</v>
      </c>
      <c r="X4">
        <v>265</v>
      </c>
      <c r="Y4" t="s">
        <v>1</v>
      </c>
      <c r="Z4" t="s">
        <v>158</v>
      </c>
      <c r="AA4" t="s">
        <v>5</v>
      </c>
      <c r="AB4">
        <v>1</v>
      </c>
      <c r="AC4" t="s">
        <v>4</v>
      </c>
      <c r="AD4">
        <v>0</v>
      </c>
    </row>
    <row r="5" spans="1:30" x14ac:dyDescent="0.25">
      <c r="A5" t="str">
        <f t="shared" si="0"/>
        <v>feynman_III_12_43_23654</v>
      </c>
      <c r="B5" t="s">
        <v>33</v>
      </c>
      <c r="C5" t="s">
        <v>189</v>
      </c>
      <c r="D5">
        <v>7200</v>
      </c>
      <c r="E5" t="s">
        <v>190</v>
      </c>
      <c r="F5">
        <v>1000000</v>
      </c>
      <c r="G5" t="s">
        <v>191</v>
      </c>
      <c r="H5">
        <v>23654</v>
      </c>
      <c r="I5" t="s">
        <v>192</v>
      </c>
      <c r="J5">
        <v>1E-3</v>
      </c>
      <c r="K5" t="s">
        <v>3</v>
      </c>
      <c r="L5">
        <v>1</v>
      </c>
      <c r="M5" t="s">
        <v>2</v>
      </c>
      <c r="N5">
        <v>0</v>
      </c>
      <c r="O5" t="s">
        <v>17</v>
      </c>
      <c r="P5">
        <v>6</v>
      </c>
      <c r="Q5" t="s">
        <v>0</v>
      </c>
      <c r="R5">
        <v>1.3</v>
      </c>
      <c r="S5" t="s">
        <v>152</v>
      </c>
      <c r="T5">
        <v>1</v>
      </c>
      <c r="U5" t="s">
        <v>153</v>
      </c>
      <c r="V5">
        <v>2</v>
      </c>
      <c r="W5" t="s">
        <v>151</v>
      </c>
      <c r="X5">
        <v>265</v>
      </c>
      <c r="Y5" t="s">
        <v>1</v>
      </c>
      <c r="Z5" t="s">
        <v>159</v>
      </c>
      <c r="AA5" t="s">
        <v>5</v>
      </c>
      <c r="AB5">
        <v>1</v>
      </c>
      <c r="AC5" t="s">
        <v>4</v>
      </c>
      <c r="AD5">
        <v>0</v>
      </c>
    </row>
    <row r="6" spans="1:30" x14ac:dyDescent="0.25">
      <c r="A6" t="str">
        <f t="shared" si="0"/>
        <v>feynman_I_34_27_23654</v>
      </c>
      <c r="B6" t="s">
        <v>34</v>
      </c>
      <c r="C6" t="s">
        <v>189</v>
      </c>
      <c r="D6">
        <v>7200</v>
      </c>
      <c r="E6" t="s">
        <v>190</v>
      </c>
      <c r="F6">
        <v>1000000</v>
      </c>
      <c r="G6" t="s">
        <v>191</v>
      </c>
      <c r="H6">
        <v>23654</v>
      </c>
      <c r="I6" t="s">
        <v>192</v>
      </c>
      <c r="J6">
        <v>1E-3</v>
      </c>
      <c r="K6" t="s">
        <v>3</v>
      </c>
      <c r="L6">
        <v>1</v>
      </c>
      <c r="M6" t="s">
        <v>2</v>
      </c>
      <c r="N6">
        <v>0</v>
      </c>
      <c r="O6" t="s">
        <v>17</v>
      </c>
      <c r="P6">
        <v>6</v>
      </c>
      <c r="Q6" t="s">
        <v>0</v>
      </c>
      <c r="R6">
        <v>1.3</v>
      </c>
      <c r="S6" t="s">
        <v>152</v>
      </c>
      <c r="T6">
        <v>1</v>
      </c>
      <c r="U6" t="s">
        <v>153</v>
      </c>
      <c r="V6">
        <v>2</v>
      </c>
      <c r="W6" t="s">
        <v>151</v>
      </c>
      <c r="X6">
        <v>265</v>
      </c>
      <c r="Y6" t="s">
        <v>1</v>
      </c>
      <c r="Z6" t="s">
        <v>159</v>
      </c>
      <c r="AA6" t="s">
        <v>5</v>
      </c>
      <c r="AB6">
        <v>1</v>
      </c>
      <c r="AC6" t="s">
        <v>4</v>
      </c>
      <c r="AD6">
        <v>0</v>
      </c>
    </row>
    <row r="7" spans="1:30" x14ac:dyDescent="0.25">
      <c r="A7" t="str">
        <f t="shared" si="0"/>
        <v>feynman_I_25_13_23654</v>
      </c>
      <c r="B7" t="s">
        <v>35</v>
      </c>
      <c r="C7" t="s">
        <v>189</v>
      </c>
      <c r="D7">
        <v>7200</v>
      </c>
      <c r="E7" t="s">
        <v>190</v>
      </c>
      <c r="F7">
        <v>1000000</v>
      </c>
      <c r="G7" t="s">
        <v>191</v>
      </c>
      <c r="H7">
        <v>23654</v>
      </c>
      <c r="I7" t="s">
        <v>192</v>
      </c>
      <c r="J7">
        <v>1E-3</v>
      </c>
      <c r="K7" t="s">
        <v>3</v>
      </c>
      <c r="L7">
        <v>1</v>
      </c>
      <c r="M7" t="s">
        <v>2</v>
      </c>
      <c r="N7">
        <v>0</v>
      </c>
      <c r="O7" t="s">
        <v>17</v>
      </c>
      <c r="P7">
        <v>8</v>
      </c>
      <c r="Q7" t="s">
        <v>0</v>
      </c>
      <c r="R7">
        <v>1.7</v>
      </c>
      <c r="S7" t="s">
        <v>152</v>
      </c>
      <c r="T7">
        <v>1</v>
      </c>
      <c r="U7" t="s">
        <v>153</v>
      </c>
      <c r="V7">
        <v>2</v>
      </c>
      <c r="W7" t="s">
        <v>151</v>
      </c>
      <c r="X7">
        <v>340</v>
      </c>
      <c r="Y7" t="s">
        <v>1</v>
      </c>
      <c r="Z7" t="s">
        <v>155</v>
      </c>
      <c r="AA7" t="s">
        <v>5</v>
      </c>
      <c r="AB7">
        <v>1</v>
      </c>
      <c r="AC7" t="s">
        <v>4</v>
      </c>
      <c r="AD7">
        <v>0</v>
      </c>
    </row>
    <row r="8" spans="1:30" x14ac:dyDescent="0.25">
      <c r="A8" t="str">
        <f t="shared" si="0"/>
        <v>feynman_I_29_4_23654</v>
      </c>
      <c r="B8" t="s">
        <v>38</v>
      </c>
      <c r="C8" t="s">
        <v>189</v>
      </c>
      <c r="D8">
        <v>7200</v>
      </c>
      <c r="E8" t="s">
        <v>190</v>
      </c>
      <c r="F8">
        <v>1000000</v>
      </c>
      <c r="G8" t="s">
        <v>191</v>
      </c>
      <c r="H8">
        <v>23654</v>
      </c>
      <c r="I8" t="s">
        <v>192</v>
      </c>
      <c r="J8">
        <v>1E-3</v>
      </c>
      <c r="K8" t="s">
        <v>3</v>
      </c>
      <c r="L8">
        <v>1</v>
      </c>
      <c r="M8" t="s">
        <v>2</v>
      </c>
      <c r="N8">
        <v>0</v>
      </c>
      <c r="O8" t="s">
        <v>17</v>
      </c>
      <c r="P8">
        <v>8</v>
      </c>
      <c r="Q8" t="s">
        <v>0</v>
      </c>
      <c r="R8">
        <v>1.8</v>
      </c>
      <c r="S8" t="s">
        <v>152</v>
      </c>
      <c r="T8">
        <v>1</v>
      </c>
      <c r="U8" t="s">
        <v>153</v>
      </c>
      <c r="V8">
        <v>2</v>
      </c>
      <c r="W8" t="s">
        <v>151</v>
      </c>
      <c r="X8">
        <v>340</v>
      </c>
      <c r="Y8" t="s">
        <v>1</v>
      </c>
      <c r="Z8" t="s">
        <v>155</v>
      </c>
      <c r="AA8" t="s">
        <v>5</v>
      </c>
      <c r="AB8">
        <v>1</v>
      </c>
      <c r="AC8" t="s">
        <v>4</v>
      </c>
      <c r="AD8">
        <v>0</v>
      </c>
    </row>
    <row r="9" spans="1:30" x14ac:dyDescent="0.25">
      <c r="A9" t="str">
        <f t="shared" si="0"/>
        <v>feynman_II_8_31_23654</v>
      </c>
      <c r="B9" t="s">
        <v>42</v>
      </c>
      <c r="C9" t="s">
        <v>189</v>
      </c>
      <c r="D9">
        <v>7200</v>
      </c>
      <c r="E9" t="s">
        <v>190</v>
      </c>
      <c r="F9">
        <v>1000000</v>
      </c>
      <c r="G9" t="s">
        <v>191</v>
      </c>
      <c r="H9">
        <v>23654</v>
      </c>
      <c r="I9" t="s">
        <v>192</v>
      </c>
      <c r="J9">
        <v>1E-3</v>
      </c>
      <c r="K9" t="s">
        <v>3</v>
      </c>
      <c r="L9">
        <v>1</v>
      </c>
      <c r="M9" t="s">
        <v>2</v>
      </c>
      <c r="N9">
        <v>0</v>
      </c>
      <c r="O9" t="s">
        <v>17</v>
      </c>
      <c r="P9">
        <v>8</v>
      </c>
      <c r="Q9" t="s">
        <v>0</v>
      </c>
      <c r="R9">
        <v>3.1</v>
      </c>
      <c r="S9" t="s">
        <v>152</v>
      </c>
      <c r="T9">
        <v>1</v>
      </c>
      <c r="U9" t="s">
        <v>153</v>
      </c>
      <c r="V9">
        <v>3</v>
      </c>
      <c r="W9" t="s">
        <v>151</v>
      </c>
      <c r="X9">
        <v>603</v>
      </c>
      <c r="Y9" t="s">
        <v>1</v>
      </c>
      <c r="Z9" t="s">
        <v>205</v>
      </c>
      <c r="AA9" t="s">
        <v>5</v>
      </c>
      <c r="AB9">
        <v>1</v>
      </c>
      <c r="AC9" t="s">
        <v>4</v>
      </c>
      <c r="AD9">
        <v>0</v>
      </c>
    </row>
    <row r="10" spans="1:30" x14ac:dyDescent="0.25">
      <c r="A10" t="str">
        <f t="shared" si="0"/>
        <v>feynman_I_14_4_23654</v>
      </c>
      <c r="B10" t="s">
        <v>41</v>
      </c>
      <c r="C10" t="s">
        <v>189</v>
      </c>
      <c r="D10">
        <v>7200</v>
      </c>
      <c r="E10" t="s">
        <v>190</v>
      </c>
      <c r="F10">
        <v>1000000</v>
      </c>
      <c r="G10" t="s">
        <v>191</v>
      </c>
      <c r="H10">
        <v>23654</v>
      </c>
      <c r="I10" t="s">
        <v>192</v>
      </c>
      <c r="J10">
        <v>1E-3</v>
      </c>
      <c r="K10" t="s">
        <v>3</v>
      </c>
      <c r="L10">
        <v>1</v>
      </c>
      <c r="M10" t="s">
        <v>2</v>
      </c>
      <c r="N10">
        <v>0</v>
      </c>
      <c r="O10" t="s">
        <v>17</v>
      </c>
      <c r="P10">
        <v>8</v>
      </c>
      <c r="Q10" t="s">
        <v>0</v>
      </c>
      <c r="R10">
        <v>3.1</v>
      </c>
      <c r="S10" t="s">
        <v>152</v>
      </c>
      <c r="T10">
        <v>1</v>
      </c>
      <c r="U10" t="s">
        <v>153</v>
      </c>
      <c r="V10">
        <v>3</v>
      </c>
      <c r="W10" t="s">
        <v>151</v>
      </c>
      <c r="X10">
        <v>603</v>
      </c>
      <c r="Y10" t="s">
        <v>1</v>
      </c>
      <c r="Z10" t="s">
        <v>205</v>
      </c>
      <c r="AA10" t="s">
        <v>5</v>
      </c>
      <c r="AB10">
        <v>1</v>
      </c>
      <c r="AC10" t="s">
        <v>4</v>
      </c>
      <c r="AD10">
        <v>0</v>
      </c>
    </row>
    <row r="11" spans="1:30" x14ac:dyDescent="0.25">
      <c r="A11" t="str">
        <f t="shared" si="0"/>
        <v>feynman_II_27_18_23654</v>
      </c>
      <c r="B11" t="s">
        <v>43</v>
      </c>
      <c r="C11" t="s">
        <v>189</v>
      </c>
      <c r="D11">
        <v>7200</v>
      </c>
      <c r="E11" t="s">
        <v>190</v>
      </c>
      <c r="F11">
        <v>1000000</v>
      </c>
      <c r="G11" t="s">
        <v>191</v>
      </c>
      <c r="H11">
        <v>23654</v>
      </c>
      <c r="I11" t="s">
        <v>192</v>
      </c>
      <c r="J11">
        <v>1E-3</v>
      </c>
      <c r="K11" t="s">
        <v>3</v>
      </c>
      <c r="L11">
        <v>1</v>
      </c>
      <c r="M11" t="s">
        <v>2</v>
      </c>
      <c r="N11">
        <v>0</v>
      </c>
      <c r="O11" t="s">
        <v>17</v>
      </c>
      <c r="P11">
        <v>8</v>
      </c>
      <c r="Q11" t="s">
        <v>0</v>
      </c>
      <c r="R11">
        <v>3.3</v>
      </c>
      <c r="S11" t="s">
        <v>152</v>
      </c>
      <c r="T11">
        <v>1</v>
      </c>
      <c r="U11" t="s">
        <v>153</v>
      </c>
      <c r="V11">
        <v>3</v>
      </c>
      <c r="W11" t="s">
        <v>151</v>
      </c>
      <c r="X11">
        <v>616</v>
      </c>
      <c r="Y11" t="s">
        <v>1</v>
      </c>
      <c r="Z11" t="s">
        <v>172</v>
      </c>
      <c r="AA11" t="s">
        <v>5</v>
      </c>
      <c r="AB11">
        <v>1</v>
      </c>
      <c r="AC11" t="s">
        <v>4</v>
      </c>
      <c r="AD11">
        <v>0</v>
      </c>
    </row>
    <row r="12" spans="1:30" x14ac:dyDescent="0.25">
      <c r="A12" t="str">
        <f t="shared" si="0"/>
        <v>feynman_I_14_3_23654</v>
      </c>
      <c r="B12" t="s">
        <v>73</v>
      </c>
      <c r="C12" t="s">
        <v>189</v>
      </c>
      <c r="D12">
        <v>7200</v>
      </c>
      <c r="E12" t="s">
        <v>190</v>
      </c>
      <c r="F12">
        <v>1000000</v>
      </c>
      <c r="G12" t="s">
        <v>191</v>
      </c>
      <c r="H12">
        <v>23654</v>
      </c>
      <c r="I12" t="s">
        <v>192</v>
      </c>
      <c r="J12">
        <v>1E-3</v>
      </c>
      <c r="K12" t="s">
        <v>3</v>
      </c>
      <c r="L12">
        <v>1</v>
      </c>
      <c r="M12" t="s">
        <v>2</v>
      </c>
      <c r="N12">
        <v>0</v>
      </c>
      <c r="O12" t="s">
        <v>17</v>
      </c>
      <c r="P12">
        <v>8</v>
      </c>
      <c r="Q12" t="s">
        <v>0</v>
      </c>
      <c r="R12">
        <v>3.3</v>
      </c>
      <c r="S12" t="s">
        <v>152</v>
      </c>
      <c r="T12">
        <v>1</v>
      </c>
      <c r="U12" t="s">
        <v>153</v>
      </c>
      <c r="V12">
        <v>3</v>
      </c>
      <c r="W12" t="s">
        <v>151</v>
      </c>
      <c r="X12">
        <v>660</v>
      </c>
      <c r="Y12" t="s">
        <v>1</v>
      </c>
      <c r="Z12" t="s">
        <v>207</v>
      </c>
      <c r="AA12" t="s">
        <v>5</v>
      </c>
      <c r="AB12">
        <v>1</v>
      </c>
      <c r="AC12" t="s">
        <v>4</v>
      </c>
      <c r="AD12">
        <v>0</v>
      </c>
    </row>
    <row r="13" spans="1:30" x14ac:dyDescent="0.25">
      <c r="A13" t="str">
        <f t="shared" si="0"/>
        <v>feynman_II_34_2_23654</v>
      </c>
      <c r="B13" t="s">
        <v>63</v>
      </c>
      <c r="C13" t="s">
        <v>189</v>
      </c>
      <c r="D13">
        <v>7200</v>
      </c>
      <c r="E13" t="s">
        <v>190</v>
      </c>
      <c r="F13">
        <v>1000000</v>
      </c>
      <c r="G13" t="s">
        <v>191</v>
      </c>
      <c r="H13">
        <v>23654</v>
      </c>
      <c r="I13" t="s">
        <v>192</v>
      </c>
      <c r="J13">
        <v>1E-3</v>
      </c>
      <c r="K13" t="s">
        <v>3</v>
      </c>
      <c r="L13">
        <v>1</v>
      </c>
      <c r="M13" t="s">
        <v>2</v>
      </c>
      <c r="N13">
        <v>0</v>
      </c>
      <c r="O13" t="s">
        <v>17</v>
      </c>
      <c r="P13">
        <v>8</v>
      </c>
      <c r="Q13" t="s">
        <v>0</v>
      </c>
      <c r="R13">
        <v>3.2</v>
      </c>
      <c r="S13" t="s">
        <v>152</v>
      </c>
      <c r="T13">
        <v>1</v>
      </c>
      <c r="U13" t="s">
        <v>153</v>
      </c>
      <c r="V13">
        <v>3</v>
      </c>
      <c r="W13" t="s">
        <v>151</v>
      </c>
      <c r="X13">
        <v>640</v>
      </c>
      <c r="Y13" t="s">
        <v>1</v>
      </c>
      <c r="Z13" t="s">
        <v>206</v>
      </c>
      <c r="AA13" t="s">
        <v>5</v>
      </c>
      <c r="AB13">
        <v>1</v>
      </c>
      <c r="AC13" t="s">
        <v>4</v>
      </c>
      <c r="AD13">
        <v>0</v>
      </c>
    </row>
    <row r="14" spans="1:30" x14ac:dyDescent="0.25">
      <c r="A14" t="str">
        <f t="shared" si="0"/>
        <v>feynman_I_43_31_23654</v>
      </c>
      <c r="B14" t="s">
        <v>72</v>
      </c>
      <c r="C14" t="s">
        <v>189</v>
      </c>
      <c r="D14">
        <v>7200</v>
      </c>
      <c r="E14" t="s">
        <v>190</v>
      </c>
      <c r="F14">
        <v>1000000</v>
      </c>
      <c r="G14" t="s">
        <v>191</v>
      </c>
      <c r="H14">
        <v>23654</v>
      </c>
      <c r="I14" t="s">
        <v>192</v>
      </c>
      <c r="J14">
        <v>1E-3</v>
      </c>
      <c r="K14" t="s">
        <v>3</v>
      </c>
      <c r="L14">
        <v>1</v>
      </c>
      <c r="M14" t="s">
        <v>2</v>
      </c>
      <c r="N14">
        <v>0</v>
      </c>
      <c r="O14" t="s">
        <v>17</v>
      </c>
      <c r="P14">
        <v>8</v>
      </c>
      <c r="Q14" t="s">
        <v>0</v>
      </c>
      <c r="R14">
        <v>3.2</v>
      </c>
      <c r="S14" t="s">
        <v>152</v>
      </c>
      <c r="T14">
        <v>1</v>
      </c>
      <c r="U14" t="s">
        <v>153</v>
      </c>
      <c r="V14">
        <v>3</v>
      </c>
      <c r="W14" t="s">
        <v>151</v>
      </c>
      <c r="X14">
        <v>660</v>
      </c>
      <c r="Y14" t="s">
        <v>1</v>
      </c>
      <c r="Z14" t="s">
        <v>207</v>
      </c>
      <c r="AA14" t="s">
        <v>5</v>
      </c>
      <c r="AB14">
        <v>1</v>
      </c>
      <c r="AC14" t="s">
        <v>4</v>
      </c>
      <c r="AD14">
        <v>0</v>
      </c>
    </row>
    <row r="15" spans="1:30" x14ac:dyDescent="0.25">
      <c r="A15" t="str">
        <f t="shared" si="0"/>
        <v>feynman_II_3_24_23654</v>
      </c>
      <c r="B15" t="s">
        <v>46</v>
      </c>
      <c r="C15" t="s">
        <v>189</v>
      </c>
      <c r="D15">
        <v>7200</v>
      </c>
      <c r="E15" t="s">
        <v>190</v>
      </c>
      <c r="F15">
        <v>1000000</v>
      </c>
      <c r="G15" t="s">
        <v>191</v>
      </c>
      <c r="H15">
        <v>23654</v>
      </c>
      <c r="I15" t="s">
        <v>192</v>
      </c>
      <c r="J15">
        <v>1E-3</v>
      </c>
      <c r="K15" t="s">
        <v>3</v>
      </c>
      <c r="L15">
        <v>1</v>
      </c>
      <c r="M15" t="s">
        <v>2</v>
      </c>
      <c r="N15">
        <v>0</v>
      </c>
      <c r="O15" t="s">
        <v>17</v>
      </c>
      <c r="P15">
        <v>8</v>
      </c>
      <c r="Q15" t="s">
        <v>0</v>
      </c>
      <c r="R15">
        <v>3.4</v>
      </c>
      <c r="S15" t="s">
        <v>152</v>
      </c>
      <c r="T15">
        <v>1</v>
      </c>
      <c r="U15" t="s">
        <v>153</v>
      </c>
      <c r="V15">
        <v>3</v>
      </c>
      <c r="W15" t="s">
        <v>151</v>
      </c>
      <c r="X15">
        <v>693</v>
      </c>
      <c r="Y15" t="s">
        <v>1</v>
      </c>
      <c r="Z15" t="s">
        <v>418</v>
      </c>
      <c r="AA15" t="s">
        <v>5</v>
      </c>
      <c r="AB15">
        <v>1</v>
      </c>
      <c r="AC15" t="s">
        <v>4</v>
      </c>
      <c r="AD15">
        <v>0</v>
      </c>
    </row>
    <row r="16" spans="1:30" x14ac:dyDescent="0.25">
      <c r="A16" t="str">
        <f t="shared" si="0"/>
        <v>strogatz_glider1_23654</v>
      </c>
      <c r="B16" t="s">
        <v>25</v>
      </c>
      <c r="C16" t="s">
        <v>189</v>
      </c>
      <c r="D16">
        <v>7200</v>
      </c>
      <c r="E16" t="s">
        <v>190</v>
      </c>
      <c r="F16">
        <v>1000000</v>
      </c>
      <c r="G16" t="s">
        <v>191</v>
      </c>
      <c r="H16">
        <v>23654</v>
      </c>
      <c r="I16" t="s">
        <v>192</v>
      </c>
      <c r="J16">
        <v>1E-3</v>
      </c>
      <c r="K16" t="s">
        <v>3</v>
      </c>
      <c r="L16">
        <v>1</v>
      </c>
      <c r="M16" t="s">
        <v>2</v>
      </c>
      <c r="N16">
        <v>0</v>
      </c>
      <c r="O16" t="s">
        <v>17</v>
      </c>
      <c r="P16">
        <v>11</v>
      </c>
      <c r="Q16" t="s">
        <v>0</v>
      </c>
      <c r="R16">
        <v>1.3</v>
      </c>
      <c r="S16" t="s">
        <v>152</v>
      </c>
      <c r="T16">
        <v>1</v>
      </c>
      <c r="U16" t="s">
        <v>153</v>
      </c>
      <c r="V16">
        <v>4</v>
      </c>
      <c r="W16" t="s">
        <v>151</v>
      </c>
      <c r="X16">
        <v>804</v>
      </c>
      <c r="Y16" t="s">
        <v>1</v>
      </c>
      <c r="Z16" t="s">
        <v>419</v>
      </c>
      <c r="AA16" t="s">
        <v>5</v>
      </c>
      <c r="AB16">
        <v>1</v>
      </c>
      <c r="AC16" t="s">
        <v>4</v>
      </c>
      <c r="AD16">
        <v>0</v>
      </c>
    </row>
    <row r="17" spans="1:30" x14ac:dyDescent="0.25">
      <c r="A17" t="str">
        <f t="shared" si="0"/>
        <v>feynman_II_38_14_23654</v>
      </c>
      <c r="B17" t="s">
        <v>40</v>
      </c>
      <c r="C17" t="s">
        <v>189</v>
      </c>
      <c r="D17">
        <v>7200</v>
      </c>
      <c r="E17" t="s">
        <v>190</v>
      </c>
      <c r="F17">
        <v>1000000</v>
      </c>
      <c r="G17" t="s">
        <v>191</v>
      </c>
      <c r="H17">
        <v>23654</v>
      </c>
      <c r="I17" t="s">
        <v>192</v>
      </c>
      <c r="J17">
        <v>1E-3</v>
      </c>
      <c r="K17" t="s">
        <v>3</v>
      </c>
      <c r="L17">
        <v>1</v>
      </c>
      <c r="M17" t="s">
        <v>2</v>
      </c>
      <c r="N17">
        <v>0</v>
      </c>
      <c r="O17" t="s">
        <v>17</v>
      </c>
      <c r="P17">
        <v>12</v>
      </c>
      <c r="Q17" t="s">
        <v>0</v>
      </c>
      <c r="R17">
        <v>5.2</v>
      </c>
      <c r="S17" t="s">
        <v>152</v>
      </c>
      <c r="T17">
        <v>1</v>
      </c>
      <c r="U17" t="s">
        <v>153</v>
      </c>
      <c r="V17">
        <v>3</v>
      </c>
      <c r="W17" t="s">
        <v>151</v>
      </c>
      <c r="X17">
        <v>994</v>
      </c>
      <c r="Y17" t="s">
        <v>1</v>
      </c>
      <c r="Z17" t="s">
        <v>420</v>
      </c>
      <c r="AA17" t="s">
        <v>5</v>
      </c>
      <c r="AB17">
        <v>1</v>
      </c>
      <c r="AC17" t="s">
        <v>4</v>
      </c>
      <c r="AD17">
        <v>0</v>
      </c>
    </row>
    <row r="18" spans="1:30" x14ac:dyDescent="0.25">
      <c r="A18" t="str">
        <f t="shared" si="0"/>
        <v>feynman_II_34_29a_23654</v>
      </c>
      <c r="B18" t="s">
        <v>71</v>
      </c>
      <c r="C18" t="s">
        <v>189</v>
      </c>
      <c r="D18">
        <v>7200</v>
      </c>
      <c r="E18" t="s">
        <v>190</v>
      </c>
      <c r="F18">
        <v>1000000</v>
      </c>
      <c r="G18" t="s">
        <v>191</v>
      </c>
      <c r="H18">
        <v>23654</v>
      </c>
      <c r="I18" t="s">
        <v>192</v>
      </c>
      <c r="J18">
        <v>1E-3</v>
      </c>
      <c r="K18" t="s">
        <v>3</v>
      </c>
      <c r="L18">
        <v>1</v>
      </c>
      <c r="M18" t="s">
        <v>2</v>
      </c>
      <c r="N18">
        <v>0</v>
      </c>
      <c r="O18" t="s">
        <v>17</v>
      </c>
      <c r="P18">
        <v>10</v>
      </c>
      <c r="Q18" t="s">
        <v>0</v>
      </c>
      <c r="R18">
        <v>4.0999999999999996</v>
      </c>
      <c r="S18" t="s">
        <v>152</v>
      </c>
      <c r="T18">
        <v>1</v>
      </c>
      <c r="U18" t="s">
        <v>153</v>
      </c>
      <c r="V18">
        <v>3</v>
      </c>
      <c r="W18" t="s">
        <v>151</v>
      </c>
      <c r="X18">
        <v>827</v>
      </c>
      <c r="Y18" t="s">
        <v>1</v>
      </c>
      <c r="Z18" t="s">
        <v>211</v>
      </c>
      <c r="AA18" t="s">
        <v>5</v>
      </c>
      <c r="AB18">
        <v>1</v>
      </c>
      <c r="AC18" t="s">
        <v>4</v>
      </c>
      <c r="AD18">
        <v>0</v>
      </c>
    </row>
    <row r="19" spans="1:30" x14ac:dyDescent="0.25">
      <c r="A19" t="str">
        <f t="shared" si="0"/>
        <v>feynman_II_34_2a_23654</v>
      </c>
      <c r="B19" t="s">
        <v>66</v>
      </c>
      <c r="C19" t="s">
        <v>189</v>
      </c>
      <c r="D19">
        <v>7200</v>
      </c>
      <c r="E19" t="s">
        <v>190</v>
      </c>
      <c r="F19">
        <v>1000000</v>
      </c>
      <c r="G19" t="s">
        <v>191</v>
      </c>
      <c r="H19">
        <v>23654</v>
      </c>
      <c r="I19" t="s">
        <v>192</v>
      </c>
      <c r="J19">
        <v>1E-3</v>
      </c>
      <c r="K19" t="s">
        <v>3</v>
      </c>
      <c r="L19">
        <v>1</v>
      </c>
      <c r="M19" t="s">
        <v>2</v>
      </c>
      <c r="N19">
        <v>0</v>
      </c>
      <c r="O19" t="s">
        <v>17</v>
      </c>
      <c r="P19">
        <v>10</v>
      </c>
      <c r="Q19" t="s">
        <v>0</v>
      </c>
      <c r="R19">
        <v>4.2</v>
      </c>
      <c r="S19" t="s">
        <v>152</v>
      </c>
      <c r="T19">
        <v>1</v>
      </c>
      <c r="U19" t="s">
        <v>153</v>
      </c>
      <c r="V19">
        <v>3</v>
      </c>
      <c r="W19" t="s">
        <v>151</v>
      </c>
      <c r="X19">
        <v>827</v>
      </c>
      <c r="Y19" t="s">
        <v>1</v>
      </c>
      <c r="Z19" t="s">
        <v>161</v>
      </c>
      <c r="AA19" t="s">
        <v>5</v>
      </c>
      <c r="AB19">
        <v>1</v>
      </c>
      <c r="AC19" t="s">
        <v>4</v>
      </c>
      <c r="AD19">
        <v>0</v>
      </c>
    </row>
    <row r="20" spans="1:30" x14ac:dyDescent="0.25">
      <c r="A20" t="str">
        <f t="shared" si="0"/>
        <v>feynman_III_7_38_23654</v>
      </c>
      <c r="B20" t="s">
        <v>76</v>
      </c>
      <c r="C20" t="s">
        <v>189</v>
      </c>
      <c r="D20">
        <v>7200</v>
      </c>
      <c r="E20" t="s">
        <v>190</v>
      </c>
      <c r="F20">
        <v>1000000</v>
      </c>
      <c r="G20" t="s">
        <v>191</v>
      </c>
      <c r="H20">
        <v>23654</v>
      </c>
      <c r="I20" t="s">
        <v>192</v>
      </c>
      <c r="J20">
        <v>1E-3</v>
      </c>
      <c r="K20" t="s">
        <v>3</v>
      </c>
      <c r="L20">
        <v>1</v>
      </c>
      <c r="M20" t="s">
        <v>2</v>
      </c>
      <c r="N20">
        <v>0</v>
      </c>
      <c r="O20" t="s">
        <v>17</v>
      </c>
      <c r="P20">
        <v>10</v>
      </c>
      <c r="Q20" t="s">
        <v>0</v>
      </c>
      <c r="R20">
        <v>4.4000000000000004</v>
      </c>
      <c r="S20" t="s">
        <v>152</v>
      </c>
      <c r="T20">
        <v>1</v>
      </c>
      <c r="U20" t="s">
        <v>153</v>
      </c>
      <c r="V20">
        <v>3</v>
      </c>
      <c r="W20" t="s">
        <v>151</v>
      </c>
      <c r="X20">
        <v>908</v>
      </c>
      <c r="Y20" t="s">
        <v>1</v>
      </c>
      <c r="Z20" t="s">
        <v>208</v>
      </c>
      <c r="AA20" t="s">
        <v>5</v>
      </c>
      <c r="AB20">
        <v>1</v>
      </c>
      <c r="AC20" t="s">
        <v>4</v>
      </c>
      <c r="AD20">
        <v>0</v>
      </c>
    </row>
    <row r="21" spans="1:30" x14ac:dyDescent="0.25">
      <c r="A21" t="str">
        <f t="shared" si="0"/>
        <v>feynman_I_18_12_23654</v>
      </c>
      <c r="B21" t="s">
        <v>78</v>
      </c>
      <c r="C21" t="s">
        <v>189</v>
      </c>
      <c r="D21">
        <v>7200</v>
      </c>
      <c r="E21" t="s">
        <v>190</v>
      </c>
      <c r="F21">
        <v>1000000</v>
      </c>
      <c r="G21" t="s">
        <v>191</v>
      </c>
      <c r="H21">
        <v>23654</v>
      </c>
      <c r="I21" t="s">
        <v>192</v>
      </c>
      <c r="J21">
        <v>1E-3</v>
      </c>
      <c r="K21" t="s">
        <v>3</v>
      </c>
      <c r="L21">
        <v>1</v>
      </c>
      <c r="M21" t="s">
        <v>2</v>
      </c>
      <c r="N21">
        <v>0</v>
      </c>
      <c r="O21" t="s">
        <v>17</v>
      </c>
      <c r="P21">
        <v>9</v>
      </c>
      <c r="Q21" t="s">
        <v>0</v>
      </c>
      <c r="R21">
        <v>4.5999999999999996</v>
      </c>
      <c r="S21" t="s">
        <v>152</v>
      </c>
      <c r="T21">
        <v>1</v>
      </c>
      <c r="U21" t="s">
        <v>153</v>
      </c>
      <c r="V21">
        <v>4</v>
      </c>
      <c r="W21" t="s">
        <v>151</v>
      </c>
      <c r="X21">
        <v>925</v>
      </c>
      <c r="Y21" t="s">
        <v>1</v>
      </c>
      <c r="Z21" t="s">
        <v>186</v>
      </c>
      <c r="AA21" t="s">
        <v>5</v>
      </c>
      <c r="AB21">
        <v>1</v>
      </c>
      <c r="AC21" t="s">
        <v>4</v>
      </c>
      <c r="AD21">
        <v>0</v>
      </c>
    </row>
    <row r="22" spans="1:30" x14ac:dyDescent="0.25">
      <c r="A22" t="str">
        <f t="shared" si="0"/>
        <v>feynman_III_15_27_23654</v>
      </c>
      <c r="B22" t="s">
        <v>59</v>
      </c>
      <c r="C22" t="s">
        <v>189</v>
      </c>
      <c r="D22">
        <v>7200</v>
      </c>
      <c r="E22" t="s">
        <v>190</v>
      </c>
      <c r="F22">
        <v>1000000</v>
      </c>
      <c r="G22" t="s">
        <v>191</v>
      </c>
      <c r="H22">
        <v>23654</v>
      </c>
      <c r="I22" t="s">
        <v>192</v>
      </c>
      <c r="J22">
        <v>1E-3</v>
      </c>
      <c r="K22" t="s">
        <v>3</v>
      </c>
      <c r="L22">
        <v>1</v>
      </c>
      <c r="M22" t="s">
        <v>2</v>
      </c>
      <c r="N22">
        <v>0</v>
      </c>
      <c r="O22" t="s">
        <v>17</v>
      </c>
      <c r="P22">
        <v>12</v>
      </c>
      <c r="Q22" t="s">
        <v>0</v>
      </c>
      <c r="R22">
        <v>4.9000000000000004</v>
      </c>
      <c r="S22" t="s">
        <v>152</v>
      </c>
      <c r="T22">
        <v>1</v>
      </c>
      <c r="U22" t="s">
        <v>153</v>
      </c>
      <c r="V22">
        <v>3</v>
      </c>
      <c r="W22" t="s">
        <v>151</v>
      </c>
      <c r="X22">
        <v>921</v>
      </c>
      <c r="Y22" t="s">
        <v>1</v>
      </c>
      <c r="Z22" t="s">
        <v>421</v>
      </c>
      <c r="AA22" t="s">
        <v>5</v>
      </c>
      <c r="AB22">
        <v>1</v>
      </c>
      <c r="AC22" t="s">
        <v>4</v>
      </c>
      <c r="AD22">
        <v>0</v>
      </c>
    </row>
    <row r="23" spans="1:30" x14ac:dyDescent="0.25">
      <c r="A23" t="str">
        <f t="shared" si="0"/>
        <v>feynman_II_37_1_23654</v>
      </c>
      <c r="B23" t="s">
        <v>75</v>
      </c>
      <c r="C23" t="s">
        <v>189</v>
      </c>
      <c r="D23">
        <v>7200</v>
      </c>
      <c r="E23" t="s">
        <v>190</v>
      </c>
      <c r="F23">
        <v>1000000</v>
      </c>
      <c r="G23" t="s">
        <v>191</v>
      </c>
      <c r="H23">
        <v>23654</v>
      </c>
      <c r="I23" t="s">
        <v>192</v>
      </c>
      <c r="J23">
        <v>1E-3</v>
      </c>
      <c r="K23" t="s">
        <v>3</v>
      </c>
      <c r="L23">
        <v>1</v>
      </c>
      <c r="M23" t="s">
        <v>2</v>
      </c>
      <c r="N23">
        <v>0</v>
      </c>
      <c r="O23" t="s">
        <v>17</v>
      </c>
      <c r="P23">
        <v>14</v>
      </c>
      <c r="Q23" t="s">
        <v>0</v>
      </c>
      <c r="R23">
        <v>7</v>
      </c>
      <c r="S23" t="s">
        <v>152</v>
      </c>
      <c r="T23">
        <v>1</v>
      </c>
      <c r="U23" t="s">
        <v>153</v>
      </c>
      <c r="V23">
        <v>4</v>
      </c>
      <c r="W23" t="s">
        <v>151</v>
      </c>
      <c r="X23">
        <v>1330</v>
      </c>
      <c r="Y23" t="s">
        <v>1</v>
      </c>
      <c r="Z23" t="s">
        <v>164</v>
      </c>
      <c r="AA23" t="s">
        <v>5</v>
      </c>
      <c r="AB23">
        <v>1</v>
      </c>
      <c r="AC23" t="s">
        <v>4</v>
      </c>
      <c r="AD23">
        <v>0</v>
      </c>
    </row>
    <row r="24" spans="1:30" x14ac:dyDescent="0.25">
      <c r="A24" t="str">
        <f t="shared" si="0"/>
        <v>feynman_I_47_23_23654</v>
      </c>
      <c r="B24" t="s">
        <v>54</v>
      </c>
      <c r="C24" t="s">
        <v>189</v>
      </c>
      <c r="D24">
        <v>7200</v>
      </c>
      <c r="E24" t="s">
        <v>190</v>
      </c>
      <c r="F24">
        <v>1000000</v>
      </c>
      <c r="G24" t="s">
        <v>191</v>
      </c>
      <c r="H24">
        <v>23654</v>
      </c>
      <c r="I24" t="s">
        <v>192</v>
      </c>
      <c r="J24">
        <v>1E-3</v>
      </c>
      <c r="K24" t="s">
        <v>3</v>
      </c>
      <c r="L24">
        <v>1</v>
      </c>
      <c r="M24" t="s">
        <v>2</v>
      </c>
      <c r="N24">
        <v>0</v>
      </c>
      <c r="O24" t="s">
        <v>17</v>
      </c>
      <c r="P24">
        <v>12</v>
      </c>
      <c r="Q24" t="s">
        <v>0</v>
      </c>
      <c r="R24">
        <v>7.5</v>
      </c>
      <c r="S24" t="s">
        <v>152</v>
      </c>
      <c r="T24">
        <v>1</v>
      </c>
      <c r="U24" t="s">
        <v>153</v>
      </c>
      <c r="V24">
        <v>4</v>
      </c>
      <c r="W24" t="s">
        <v>151</v>
      </c>
      <c r="X24">
        <v>1455</v>
      </c>
      <c r="Y24" t="s">
        <v>1</v>
      </c>
      <c r="Z24" t="s">
        <v>422</v>
      </c>
      <c r="AA24" t="s">
        <v>5</v>
      </c>
      <c r="AB24">
        <v>1</v>
      </c>
      <c r="AC24" t="s">
        <v>4</v>
      </c>
      <c r="AD24">
        <v>0</v>
      </c>
    </row>
    <row r="25" spans="1:30" x14ac:dyDescent="0.25">
      <c r="A25" t="str">
        <f t="shared" si="0"/>
        <v>feynman_III_21_20_23654</v>
      </c>
      <c r="B25" t="s">
        <v>109</v>
      </c>
      <c r="C25" t="s">
        <v>189</v>
      </c>
      <c r="D25">
        <v>7200</v>
      </c>
      <c r="E25" t="s">
        <v>190</v>
      </c>
      <c r="F25">
        <v>1000000</v>
      </c>
      <c r="G25" t="s">
        <v>191</v>
      </c>
      <c r="H25">
        <v>23654</v>
      </c>
      <c r="I25" t="s">
        <v>192</v>
      </c>
      <c r="J25">
        <v>1E-3</v>
      </c>
      <c r="K25" t="s">
        <v>3</v>
      </c>
      <c r="L25">
        <v>1</v>
      </c>
      <c r="M25" t="s">
        <v>2</v>
      </c>
      <c r="N25">
        <v>0</v>
      </c>
      <c r="O25" t="s">
        <v>17</v>
      </c>
      <c r="P25">
        <v>12</v>
      </c>
      <c r="Q25" t="s">
        <v>0</v>
      </c>
      <c r="R25">
        <v>8.3000000000000007</v>
      </c>
      <c r="S25" t="s">
        <v>152</v>
      </c>
      <c r="T25">
        <v>1</v>
      </c>
      <c r="U25" t="s">
        <v>153</v>
      </c>
      <c r="V25">
        <v>4</v>
      </c>
      <c r="W25" t="s">
        <v>151</v>
      </c>
      <c r="X25">
        <v>1547</v>
      </c>
      <c r="Y25" t="s">
        <v>1</v>
      </c>
      <c r="Z25" t="s">
        <v>209</v>
      </c>
      <c r="AA25" t="s">
        <v>5</v>
      </c>
      <c r="AB25">
        <v>1</v>
      </c>
      <c r="AC25" t="s">
        <v>4</v>
      </c>
      <c r="AD25">
        <v>0</v>
      </c>
    </row>
    <row r="26" spans="1:30" x14ac:dyDescent="0.25">
      <c r="A26" t="str">
        <f t="shared" si="0"/>
        <v>feynman_I_39_22_23654</v>
      </c>
      <c r="B26" t="s">
        <v>99</v>
      </c>
      <c r="C26" t="s">
        <v>189</v>
      </c>
      <c r="D26">
        <v>7200</v>
      </c>
      <c r="E26" t="s">
        <v>190</v>
      </c>
      <c r="F26">
        <v>1000000</v>
      </c>
      <c r="G26" t="s">
        <v>191</v>
      </c>
      <c r="H26">
        <v>23654</v>
      </c>
      <c r="I26" t="s">
        <v>192</v>
      </c>
      <c r="J26">
        <v>1E-3</v>
      </c>
      <c r="K26" t="s">
        <v>3</v>
      </c>
      <c r="L26">
        <v>1</v>
      </c>
      <c r="M26" t="s">
        <v>2</v>
      </c>
      <c r="N26">
        <v>0</v>
      </c>
      <c r="O26" t="s">
        <v>17</v>
      </c>
      <c r="P26">
        <v>12</v>
      </c>
      <c r="Q26" t="s">
        <v>0</v>
      </c>
      <c r="R26">
        <v>8.5</v>
      </c>
      <c r="S26" t="s">
        <v>152</v>
      </c>
      <c r="T26">
        <v>1</v>
      </c>
      <c r="U26" t="s">
        <v>153</v>
      </c>
      <c r="V26">
        <v>4</v>
      </c>
      <c r="W26" t="s">
        <v>151</v>
      </c>
      <c r="X26">
        <v>1645</v>
      </c>
      <c r="Y26" t="s">
        <v>1</v>
      </c>
      <c r="Z26" t="s">
        <v>203</v>
      </c>
      <c r="AA26" t="s">
        <v>5</v>
      </c>
      <c r="AB26">
        <v>1</v>
      </c>
      <c r="AC26" t="s">
        <v>4</v>
      </c>
      <c r="AD26">
        <v>0</v>
      </c>
    </row>
    <row r="27" spans="1:30" x14ac:dyDescent="0.25">
      <c r="A27" t="str">
        <f t="shared" si="0"/>
        <v>feynman_I_34_8_23654</v>
      </c>
      <c r="B27" t="s">
        <v>102</v>
      </c>
      <c r="C27" t="s">
        <v>189</v>
      </c>
      <c r="D27">
        <v>7200</v>
      </c>
      <c r="E27" t="s">
        <v>190</v>
      </c>
      <c r="F27">
        <v>1000000</v>
      </c>
      <c r="G27" t="s">
        <v>191</v>
      </c>
      <c r="H27">
        <v>23654</v>
      </c>
      <c r="I27" t="s">
        <v>192</v>
      </c>
      <c r="J27">
        <v>1E-3</v>
      </c>
      <c r="K27" t="s">
        <v>3</v>
      </c>
      <c r="L27">
        <v>1</v>
      </c>
      <c r="M27" t="s">
        <v>2</v>
      </c>
      <c r="N27">
        <v>0</v>
      </c>
      <c r="O27" t="s">
        <v>17</v>
      </c>
      <c r="P27">
        <v>12</v>
      </c>
      <c r="Q27" t="s">
        <v>0</v>
      </c>
      <c r="R27">
        <v>8.4</v>
      </c>
      <c r="S27" t="s">
        <v>152</v>
      </c>
      <c r="T27">
        <v>1</v>
      </c>
      <c r="U27" t="s">
        <v>153</v>
      </c>
      <c r="V27">
        <v>4</v>
      </c>
      <c r="W27" t="s">
        <v>151</v>
      </c>
      <c r="X27">
        <v>1559</v>
      </c>
      <c r="Y27" t="s">
        <v>1</v>
      </c>
      <c r="Z27" t="s">
        <v>177</v>
      </c>
      <c r="AA27" t="s">
        <v>5</v>
      </c>
      <c r="AB27">
        <v>1</v>
      </c>
      <c r="AC27" t="s">
        <v>4</v>
      </c>
      <c r="AD27">
        <v>0</v>
      </c>
    </row>
    <row r="28" spans="1:30" x14ac:dyDescent="0.25">
      <c r="A28" t="str">
        <f t="shared" si="0"/>
        <v>feynman_II_15_5_23654</v>
      </c>
      <c r="B28" t="s">
        <v>69</v>
      </c>
      <c r="C28" t="s">
        <v>189</v>
      </c>
      <c r="D28">
        <v>7200</v>
      </c>
      <c r="E28" t="s">
        <v>190</v>
      </c>
      <c r="F28">
        <v>1000000</v>
      </c>
      <c r="G28" t="s">
        <v>191</v>
      </c>
      <c r="H28">
        <v>23654</v>
      </c>
      <c r="I28" t="s">
        <v>192</v>
      </c>
      <c r="J28">
        <v>1E-3</v>
      </c>
      <c r="K28" t="s">
        <v>3</v>
      </c>
      <c r="L28">
        <v>1</v>
      </c>
      <c r="M28" t="s">
        <v>2</v>
      </c>
      <c r="N28">
        <v>0</v>
      </c>
      <c r="O28" t="s">
        <v>17</v>
      </c>
      <c r="P28">
        <v>9</v>
      </c>
      <c r="Q28" t="s">
        <v>0</v>
      </c>
      <c r="R28">
        <v>15.1</v>
      </c>
      <c r="S28" t="s">
        <v>152</v>
      </c>
      <c r="T28">
        <v>1</v>
      </c>
      <c r="U28" t="s">
        <v>153</v>
      </c>
      <c r="V28">
        <v>7</v>
      </c>
      <c r="W28" t="s">
        <v>151</v>
      </c>
      <c r="X28">
        <v>2745</v>
      </c>
      <c r="Y28" t="s">
        <v>1</v>
      </c>
      <c r="Z28" t="s">
        <v>178</v>
      </c>
      <c r="AA28" t="s">
        <v>5</v>
      </c>
      <c r="AB28">
        <v>1</v>
      </c>
      <c r="AC28" t="s">
        <v>4</v>
      </c>
      <c r="AD28">
        <v>0</v>
      </c>
    </row>
    <row r="29" spans="1:30" x14ac:dyDescent="0.25">
      <c r="A29" t="str">
        <f t="shared" si="0"/>
        <v>feynman_I_39_11_23654</v>
      </c>
      <c r="B29" t="s">
        <v>53</v>
      </c>
      <c r="C29" t="s">
        <v>189</v>
      </c>
      <c r="D29">
        <v>7200</v>
      </c>
      <c r="E29" t="s">
        <v>190</v>
      </c>
      <c r="F29">
        <v>1000000</v>
      </c>
      <c r="G29" t="s">
        <v>191</v>
      </c>
      <c r="H29">
        <v>23654</v>
      </c>
      <c r="I29" t="s">
        <v>192</v>
      </c>
      <c r="J29">
        <v>1E-3</v>
      </c>
      <c r="K29" t="s">
        <v>3</v>
      </c>
      <c r="L29">
        <v>1</v>
      </c>
      <c r="M29" t="s">
        <v>2</v>
      </c>
      <c r="N29">
        <v>0</v>
      </c>
      <c r="O29" t="s">
        <v>17</v>
      </c>
      <c r="P29">
        <v>14</v>
      </c>
      <c r="Q29" t="s">
        <v>0</v>
      </c>
      <c r="R29">
        <v>9.3000000000000007</v>
      </c>
      <c r="S29" t="s">
        <v>152</v>
      </c>
      <c r="T29">
        <v>1</v>
      </c>
      <c r="U29" t="s">
        <v>153</v>
      </c>
      <c r="V29">
        <v>4</v>
      </c>
      <c r="W29" t="s">
        <v>151</v>
      </c>
      <c r="X29">
        <v>1777</v>
      </c>
      <c r="Y29" t="s">
        <v>1</v>
      </c>
      <c r="Z29" t="s">
        <v>423</v>
      </c>
      <c r="AA29" t="s">
        <v>5</v>
      </c>
      <c r="AB29">
        <v>1</v>
      </c>
      <c r="AC29" t="s">
        <v>4</v>
      </c>
      <c r="AD29">
        <v>0</v>
      </c>
    </row>
    <row r="30" spans="1:30" x14ac:dyDescent="0.25">
      <c r="A30" t="str">
        <f t="shared" si="0"/>
        <v>feynman_I_43_16_23654</v>
      </c>
      <c r="B30" t="s">
        <v>100</v>
      </c>
      <c r="C30" t="s">
        <v>189</v>
      </c>
      <c r="D30">
        <v>7200</v>
      </c>
      <c r="E30" t="s">
        <v>190</v>
      </c>
      <c r="F30">
        <v>1000000</v>
      </c>
      <c r="G30" t="s">
        <v>191</v>
      </c>
      <c r="H30">
        <v>23654</v>
      </c>
      <c r="I30" t="s">
        <v>192</v>
      </c>
      <c r="J30">
        <v>1E-3</v>
      </c>
      <c r="K30" t="s">
        <v>3</v>
      </c>
      <c r="L30">
        <v>1</v>
      </c>
      <c r="M30" t="s">
        <v>2</v>
      </c>
      <c r="N30">
        <v>0</v>
      </c>
      <c r="O30" t="s">
        <v>17</v>
      </c>
      <c r="P30">
        <v>12</v>
      </c>
      <c r="Q30" t="s">
        <v>0</v>
      </c>
      <c r="R30">
        <v>8.1999999999999993</v>
      </c>
      <c r="S30" t="s">
        <v>152</v>
      </c>
      <c r="T30">
        <v>1</v>
      </c>
      <c r="U30" t="s">
        <v>153</v>
      </c>
      <c r="V30">
        <v>4</v>
      </c>
      <c r="W30" t="s">
        <v>151</v>
      </c>
      <c r="X30">
        <v>1559</v>
      </c>
      <c r="Y30" t="s">
        <v>1</v>
      </c>
      <c r="Z30" t="s">
        <v>177</v>
      </c>
      <c r="AA30" t="s">
        <v>5</v>
      </c>
      <c r="AB30">
        <v>1</v>
      </c>
      <c r="AC30" t="s">
        <v>4</v>
      </c>
      <c r="AD30">
        <v>0</v>
      </c>
    </row>
    <row r="31" spans="1:30" x14ac:dyDescent="0.25">
      <c r="A31" t="str">
        <f t="shared" si="0"/>
        <v>feynman_I_12_4_23654</v>
      </c>
      <c r="B31" t="s">
        <v>83</v>
      </c>
      <c r="C31" t="s">
        <v>189</v>
      </c>
      <c r="D31">
        <v>7200</v>
      </c>
      <c r="E31" t="s">
        <v>190</v>
      </c>
      <c r="F31">
        <v>1000000</v>
      </c>
      <c r="G31" t="s">
        <v>191</v>
      </c>
      <c r="H31">
        <v>23654</v>
      </c>
      <c r="I31" t="s">
        <v>192</v>
      </c>
      <c r="J31">
        <v>1E-3</v>
      </c>
      <c r="K31" t="s">
        <v>3</v>
      </c>
      <c r="L31">
        <v>1</v>
      </c>
      <c r="M31" t="s">
        <v>2</v>
      </c>
      <c r="N31">
        <v>0</v>
      </c>
      <c r="O31" t="s">
        <v>17</v>
      </c>
      <c r="P31">
        <v>12</v>
      </c>
      <c r="Q31" t="s">
        <v>0</v>
      </c>
      <c r="R31">
        <v>8.5</v>
      </c>
      <c r="S31" t="s">
        <v>152</v>
      </c>
      <c r="T31">
        <v>1</v>
      </c>
      <c r="U31" t="s">
        <v>153</v>
      </c>
      <c r="V31">
        <v>4</v>
      </c>
      <c r="W31" t="s">
        <v>151</v>
      </c>
      <c r="X31">
        <v>1632</v>
      </c>
      <c r="Y31" t="s">
        <v>1</v>
      </c>
      <c r="Z31" t="s">
        <v>163</v>
      </c>
      <c r="AA31" t="s">
        <v>5</v>
      </c>
      <c r="AB31">
        <v>1</v>
      </c>
      <c r="AC31" t="s">
        <v>4</v>
      </c>
      <c r="AD31">
        <v>0</v>
      </c>
    </row>
    <row r="32" spans="1:30" x14ac:dyDescent="0.25">
      <c r="A32" t="str">
        <f t="shared" si="0"/>
        <v>feynman_II_38_3_23654</v>
      </c>
      <c r="B32" t="s">
        <v>101</v>
      </c>
      <c r="C32" t="s">
        <v>189</v>
      </c>
      <c r="D32">
        <v>7200</v>
      </c>
      <c r="E32" t="s">
        <v>190</v>
      </c>
      <c r="F32">
        <v>1000000</v>
      </c>
      <c r="G32" t="s">
        <v>191</v>
      </c>
      <c r="H32">
        <v>23654</v>
      </c>
      <c r="I32" t="s">
        <v>192</v>
      </c>
      <c r="J32">
        <v>1E-3</v>
      </c>
      <c r="K32" t="s">
        <v>3</v>
      </c>
      <c r="L32">
        <v>1</v>
      </c>
      <c r="M32" t="s">
        <v>2</v>
      </c>
      <c r="N32">
        <v>0</v>
      </c>
      <c r="O32" t="s">
        <v>17</v>
      </c>
      <c r="P32">
        <v>12</v>
      </c>
      <c r="Q32" t="s">
        <v>0</v>
      </c>
      <c r="R32">
        <v>8</v>
      </c>
      <c r="S32" t="s">
        <v>152</v>
      </c>
      <c r="T32">
        <v>1</v>
      </c>
      <c r="U32" t="s">
        <v>153</v>
      </c>
      <c r="V32">
        <v>4</v>
      </c>
      <c r="W32" t="s">
        <v>151</v>
      </c>
      <c r="X32">
        <v>1559</v>
      </c>
      <c r="Y32" t="s">
        <v>1</v>
      </c>
      <c r="Z32" t="s">
        <v>203</v>
      </c>
      <c r="AA32" t="s">
        <v>5</v>
      </c>
      <c r="AB32">
        <v>1</v>
      </c>
      <c r="AC32" t="s">
        <v>4</v>
      </c>
      <c r="AD32">
        <v>0</v>
      </c>
    </row>
    <row r="33" spans="1:30" x14ac:dyDescent="0.25">
      <c r="A33" t="str">
        <f t="shared" si="0"/>
        <v>feynman_II_34_11_23654</v>
      </c>
      <c r="B33" t="s">
        <v>95</v>
      </c>
      <c r="C33" t="s">
        <v>189</v>
      </c>
      <c r="D33">
        <v>7200</v>
      </c>
      <c r="E33" t="s">
        <v>190</v>
      </c>
      <c r="F33">
        <v>1000000</v>
      </c>
      <c r="G33" t="s">
        <v>191</v>
      </c>
      <c r="H33">
        <v>23654</v>
      </c>
      <c r="I33" t="s">
        <v>192</v>
      </c>
      <c r="J33">
        <v>1E-3</v>
      </c>
      <c r="K33" t="s">
        <v>3</v>
      </c>
      <c r="L33">
        <v>1</v>
      </c>
      <c r="M33" t="s">
        <v>2</v>
      </c>
      <c r="N33">
        <v>0</v>
      </c>
      <c r="O33" t="s">
        <v>17</v>
      </c>
      <c r="P33">
        <v>12</v>
      </c>
      <c r="Q33" t="s">
        <v>0</v>
      </c>
      <c r="R33">
        <v>8</v>
      </c>
      <c r="S33" t="s">
        <v>152</v>
      </c>
      <c r="T33">
        <v>1</v>
      </c>
      <c r="U33" t="s">
        <v>153</v>
      </c>
      <c r="V33">
        <v>4</v>
      </c>
      <c r="W33" t="s">
        <v>151</v>
      </c>
      <c r="X33">
        <v>1532</v>
      </c>
      <c r="Y33" t="s">
        <v>1</v>
      </c>
      <c r="Z33" t="s">
        <v>175</v>
      </c>
      <c r="AA33" t="s">
        <v>5</v>
      </c>
      <c r="AB33">
        <v>1</v>
      </c>
      <c r="AC33" t="s">
        <v>4</v>
      </c>
      <c r="AD33">
        <v>0</v>
      </c>
    </row>
    <row r="34" spans="1:30" x14ac:dyDescent="0.25">
      <c r="A34" t="str">
        <f t="shared" si="0"/>
        <v>feynman_II_10_9_23654</v>
      </c>
      <c r="B34" t="s">
        <v>68</v>
      </c>
      <c r="C34" t="s">
        <v>189</v>
      </c>
      <c r="D34">
        <v>7200</v>
      </c>
      <c r="E34" t="s">
        <v>190</v>
      </c>
      <c r="F34">
        <v>1000000</v>
      </c>
      <c r="G34" t="s">
        <v>191</v>
      </c>
      <c r="H34">
        <v>23654</v>
      </c>
      <c r="I34" t="s">
        <v>192</v>
      </c>
      <c r="J34">
        <v>1E-3</v>
      </c>
      <c r="K34" t="s">
        <v>3</v>
      </c>
      <c r="L34">
        <v>1</v>
      </c>
      <c r="M34" t="s">
        <v>2</v>
      </c>
      <c r="N34">
        <v>0</v>
      </c>
      <c r="O34" t="s">
        <v>17</v>
      </c>
      <c r="P34">
        <v>14</v>
      </c>
      <c r="Q34" t="s">
        <v>0</v>
      </c>
      <c r="R34">
        <v>9.1</v>
      </c>
      <c r="S34" t="s">
        <v>152</v>
      </c>
      <c r="T34">
        <v>1</v>
      </c>
      <c r="U34" t="s">
        <v>153</v>
      </c>
      <c r="V34">
        <v>4</v>
      </c>
      <c r="W34" t="s">
        <v>151</v>
      </c>
      <c r="X34">
        <v>1709</v>
      </c>
      <c r="Y34" t="s">
        <v>1</v>
      </c>
      <c r="Z34" t="s">
        <v>244</v>
      </c>
      <c r="AA34" t="s">
        <v>5</v>
      </c>
      <c r="AB34">
        <v>1</v>
      </c>
      <c r="AC34" t="s">
        <v>4</v>
      </c>
      <c r="AD34">
        <v>0</v>
      </c>
    </row>
    <row r="35" spans="1:30" x14ac:dyDescent="0.25">
      <c r="A35" t="str">
        <f t="shared" si="0"/>
        <v>feynman_I_43_43_23654</v>
      </c>
      <c r="B35" t="s">
        <v>90</v>
      </c>
      <c r="C35" t="s">
        <v>189</v>
      </c>
      <c r="D35">
        <v>7200</v>
      </c>
      <c r="E35" t="s">
        <v>190</v>
      </c>
      <c r="F35">
        <v>1000000</v>
      </c>
      <c r="G35" t="s">
        <v>191</v>
      </c>
      <c r="H35">
        <v>23654</v>
      </c>
      <c r="I35" t="s">
        <v>192</v>
      </c>
      <c r="J35">
        <v>1E-3</v>
      </c>
      <c r="K35" t="s">
        <v>3</v>
      </c>
      <c r="L35">
        <v>1</v>
      </c>
      <c r="M35" t="s">
        <v>2</v>
      </c>
      <c r="N35">
        <v>0</v>
      </c>
      <c r="O35" t="s">
        <v>17</v>
      </c>
      <c r="P35">
        <v>16</v>
      </c>
      <c r="Q35" t="s">
        <v>0</v>
      </c>
      <c r="R35">
        <v>15.8</v>
      </c>
      <c r="S35" t="s">
        <v>152</v>
      </c>
      <c r="T35">
        <v>1</v>
      </c>
      <c r="U35" t="s">
        <v>153</v>
      </c>
      <c r="V35">
        <v>5</v>
      </c>
      <c r="W35" t="s">
        <v>151</v>
      </c>
      <c r="X35">
        <v>2867</v>
      </c>
      <c r="Y35" t="s">
        <v>1</v>
      </c>
      <c r="Z35" t="s">
        <v>240</v>
      </c>
      <c r="AA35" t="s">
        <v>5</v>
      </c>
      <c r="AB35">
        <v>1</v>
      </c>
      <c r="AC35" t="s">
        <v>4</v>
      </c>
      <c r="AD35">
        <v>0</v>
      </c>
    </row>
    <row r="36" spans="1:30" x14ac:dyDescent="0.25">
      <c r="A36" t="str">
        <f t="shared" si="0"/>
        <v>feynman_II_34_29b_23654</v>
      </c>
      <c r="B36" t="s">
        <v>133</v>
      </c>
      <c r="C36" t="s">
        <v>189</v>
      </c>
      <c r="D36">
        <v>7200</v>
      </c>
      <c r="E36" t="s">
        <v>190</v>
      </c>
      <c r="F36">
        <v>1000000</v>
      </c>
      <c r="G36" t="s">
        <v>191</v>
      </c>
      <c r="H36">
        <v>23654</v>
      </c>
      <c r="I36" t="s">
        <v>192</v>
      </c>
      <c r="J36">
        <v>1E-3</v>
      </c>
      <c r="K36" t="s">
        <v>3</v>
      </c>
      <c r="L36">
        <v>1</v>
      </c>
      <c r="M36" t="s">
        <v>2</v>
      </c>
      <c r="N36">
        <v>0</v>
      </c>
      <c r="O36" t="s">
        <v>17</v>
      </c>
      <c r="P36">
        <v>14</v>
      </c>
      <c r="Q36" t="s">
        <v>0</v>
      </c>
      <c r="R36">
        <v>14.8</v>
      </c>
      <c r="S36" t="s">
        <v>152</v>
      </c>
      <c r="T36">
        <v>1</v>
      </c>
      <c r="U36" t="s">
        <v>153</v>
      </c>
      <c r="V36">
        <v>5</v>
      </c>
      <c r="W36" t="s">
        <v>151</v>
      </c>
      <c r="X36">
        <v>2681</v>
      </c>
      <c r="Y36" t="s">
        <v>1</v>
      </c>
      <c r="Z36" t="s">
        <v>214</v>
      </c>
      <c r="AA36" t="s">
        <v>5</v>
      </c>
      <c r="AB36">
        <v>1</v>
      </c>
      <c r="AC36" t="s">
        <v>4</v>
      </c>
      <c r="AD36">
        <v>0</v>
      </c>
    </row>
    <row r="37" spans="1:30" x14ac:dyDescent="0.25">
      <c r="A37" t="str">
        <f t="shared" si="0"/>
        <v>feynman_I_34_1_23654</v>
      </c>
      <c r="B37" t="s">
        <v>52</v>
      </c>
      <c r="C37" t="s">
        <v>189</v>
      </c>
      <c r="D37">
        <v>7200</v>
      </c>
      <c r="E37" t="s">
        <v>190</v>
      </c>
      <c r="F37">
        <v>1000000</v>
      </c>
      <c r="G37" t="s">
        <v>191</v>
      </c>
      <c r="H37">
        <v>23654</v>
      </c>
      <c r="I37" t="s">
        <v>192</v>
      </c>
      <c r="J37">
        <v>1E-3</v>
      </c>
      <c r="K37" t="s">
        <v>3</v>
      </c>
      <c r="L37">
        <v>1</v>
      </c>
      <c r="M37" t="s">
        <v>2</v>
      </c>
      <c r="N37">
        <v>0</v>
      </c>
      <c r="O37" t="s">
        <v>17</v>
      </c>
      <c r="P37">
        <v>18</v>
      </c>
      <c r="Q37" t="s">
        <v>0</v>
      </c>
      <c r="R37">
        <v>13.2</v>
      </c>
      <c r="S37" t="s">
        <v>152</v>
      </c>
      <c r="T37">
        <v>1</v>
      </c>
      <c r="U37" t="s">
        <v>153</v>
      </c>
      <c r="V37">
        <v>5</v>
      </c>
      <c r="W37" t="s">
        <v>151</v>
      </c>
      <c r="X37">
        <v>2132</v>
      </c>
      <c r="Y37" t="s">
        <v>1</v>
      </c>
      <c r="Z37" t="s">
        <v>424</v>
      </c>
      <c r="AA37" t="s">
        <v>5</v>
      </c>
      <c r="AB37">
        <v>1</v>
      </c>
      <c r="AC37" t="s">
        <v>4</v>
      </c>
      <c r="AD37">
        <v>0</v>
      </c>
    </row>
    <row r="38" spans="1:30" x14ac:dyDescent="0.25">
      <c r="A38" t="str">
        <f t="shared" si="0"/>
        <v>feynman_III_13_18_23654</v>
      </c>
      <c r="B38" t="s">
        <v>114</v>
      </c>
      <c r="C38" t="s">
        <v>189</v>
      </c>
      <c r="D38">
        <v>7200</v>
      </c>
      <c r="E38" t="s">
        <v>190</v>
      </c>
      <c r="F38">
        <v>1000000</v>
      </c>
      <c r="G38" t="s">
        <v>191</v>
      </c>
      <c r="H38">
        <v>23654</v>
      </c>
      <c r="I38" t="s">
        <v>192</v>
      </c>
      <c r="J38">
        <v>1E-3</v>
      </c>
      <c r="K38" t="s">
        <v>3</v>
      </c>
      <c r="L38">
        <v>1</v>
      </c>
      <c r="M38" t="s">
        <v>2</v>
      </c>
      <c r="N38">
        <v>0</v>
      </c>
      <c r="O38" t="s">
        <v>17</v>
      </c>
      <c r="P38">
        <v>14</v>
      </c>
      <c r="Q38" t="s">
        <v>0</v>
      </c>
      <c r="R38">
        <v>14.7</v>
      </c>
      <c r="S38" t="s">
        <v>152</v>
      </c>
      <c r="T38">
        <v>1</v>
      </c>
      <c r="U38" t="s">
        <v>153</v>
      </c>
      <c r="V38">
        <v>5</v>
      </c>
      <c r="W38" t="s">
        <v>151</v>
      </c>
      <c r="X38">
        <v>2582</v>
      </c>
      <c r="Y38" t="s">
        <v>1</v>
      </c>
      <c r="Z38" t="s">
        <v>425</v>
      </c>
      <c r="AA38" t="s">
        <v>5</v>
      </c>
      <c r="AB38">
        <v>1</v>
      </c>
      <c r="AC38" t="s">
        <v>4</v>
      </c>
      <c r="AD38">
        <v>0</v>
      </c>
    </row>
    <row r="39" spans="1:30" x14ac:dyDescent="0.25">
      <c r="A39" t="str">
        <f t="shared" si="0"/>
        <v>feynman_III_15_14_23654</v>
      </c>
      <c r="B39" t="s">
        <v>84</v>
      </c>
      <c r="C39" t="s">
        <v>189</v>
      </c>
      <c r="D39">
        <v>7200</v>
      </c>
      <c r="E39" t="s">
        <v>190</v>
      </c>
      <c r="F39">
        <v>1000000</v>
      </c>
      <c r="G39" t="s">
        <v>191</v>
      </c>
      <c r="H39">
        <v>23654</v>
      </c>
      <c r="I39" t="s">
        <v>192</v>
      </c>
      <c r="J39">
        <v>1E-3</v>
      </c>
      <c r="K39" t="s">
        <v>3</v>
      </c>
      <c r="L39">
        <v>1</v>
      </c>
      <c r="M39" t="s">
        <v>2</v>
      </c>
      <c r="N39">
        <v>0</v>
      </c>
      <c r="O39" t="s">
        <v>17</v>
      </c>
      <c r="P39">
        <v>14</v>
      </c>
      <c r="Q39" t="s">
        <v>0</v>
      </c>
      <c r="R39">
        <v>13.1</v>
      </c>
      <c r="S39" t="s">
        <v>152</v>
      </c>
      <c r="T39">
        <v>1</v>
      </c>
      <c r="U39" t="s">
        <v>153</v>
      </c>
      <c r="V39">
        <v>5</v>
      </c>
      <c r="W39" t="s">
        <v>151</v>
      </c>
      <c r="X39">
        <v>2378</v>
      </c>
      <c r="Y39" t="s">
        <v>1</v>
      </c>
      <c r="Z39" t="s">
        <v>166</v>
      </c>
      <c r="AA39" t="s">
        <v>5</v>
      </c>
      <c r="AB39">
        <v>1</v>
      </c>
      <c r="AC39" t="s">
        <v>4</v>
      </c>
      <c r="AD39">
        <v>0</v>
      </c>
    </row>
    <row r="40" spans="1:30" x14ac:dyDescent="0.25">
      <c r="A40" t="str">
        <f t="shared" si="0"/>
        <v>feynman_III_17_37_23654</v>
      </c>
      <c r="B40" t="s">
        <v>77</v>
      </c>
      <c r="C40" t="s">
        <v>189</v>
      </c>
      <c r="D40">
        <v>7200</v>
      </c>
      <c r="E40" t="s">
        <v>190</v>
      </c>
      <c r="F40">
        <v>1000000</v>
      </c>
      <c r="G40" t="s">
        <v>191</v>
      </c>
      <c r="H40">
        <v>23654</v>
      </c>
      <c r="I40" t="s">
        <v>192</v>
      </c>
      <c r="J40">
        <v>1E-3</v>
      </c>
      <c r="K40" t="s">
        <v>3</v>
      </c>
      <c r="L40">
        <v>1</v>
      </c>
      <c r="M40" t="s">
        <v>2</v>
      </c>
      <c r="N40">
        <v>0</v>
      </c>
      <c r="O40" t="s">
        <v>17</v>
      </c>
      <c r="P40">
        <v>9</v>
      </c>
      <c r="Q40" t="s">
        <v>0</v>
      </c>
      <c r="R40">
        <v>22.7</v>
      </c>
      <c r="S40" t="s">
        <v>152</v>
      </c>
      <c r="T40">
        <v>2</v>
      </c>
      <c r="U40" t="s">
        <v>153</v>
      </c>
      <c r="V40">
        <v>8</v>
      </c>
      <c r="W40" t="s">
        <v>151</v>
      </c>
      <c r="X40">
        <v>3961</v>
      </c>
      <c r="Y40" t="s">
        <v>1</v>
      </c>
      <c r="Z40" t="s">
        <v>426</v>
      </c>
      <c r="AA40" t="s">
        <v>5</v>
      </c>
      <c r="AB40">
        <v>1</v>
      </c>
      <c r="AC40" t="s">
        <v>4</v>
      </c>
      <c r="AD40">
        <v>0</v>
      </c>
    </row>
    <row r="41" spans="1:30" x14ac:dyDescent="0.25">
      <c r="A41" t="str">
        <f t="shared" si="0"/>
        <v>strogatz_glider2_23654</v>
      </c>
      <c r="B41" t="s">
        <v>19</v>
      </c>
      <c r="C41" t="s">
        <v>189</v>
      </c>
      <c r="D41">
        <v>7200</v>
      </c>
      <c r="E41" t="s">
        <v>190</v>
      </c>
      <c r="F41">
        <v>1000000</v>
      </c>
      <c r="G41" t="s">
        <v>191</v>
      </c>
      <c r="H41">
        <v>23654</v>
      </c>
      <c r="I41" t="s">
        <v>192</v>
      </c>
      <c r="J41">
        <v>1E-3</v>
      </c>
      <c r="K41" t="s">
        <v>3</v>
      </c>
      <c r="L41">
        <v>1</v>
      </c>
      <c r="M41" t="s">
        <v>2</v>
      </c>
      <c r="N41">
        <v>0</v>
      </c>
      <c r="O41" t="s">
        <v>17</v>
      </c>
      <c r="P41">
        <v>13</v>
      </c>
      <c r="Q41" t="s">
        <v>0</v>
      </c>
      <c r="R41">
        <v>13.9</v>
      </c>
      <c r="S41" t="s">
        <v>152</v>
      </c>
      <c r="T41">
        <v>2</v>
      </c>
      <c r="U41" t="s">
        <v>153</v>
      </c>
      <c r="V41">
        <v>26</v>
      </c>
      <c r="W41" t="s">
        <v>151</v>
      </c>
      <c r="X41">
        <v>7674</v>
      </c>
      <c r="Y41" t="s">
        <v>1</v>
      </c>
      <c r="Z41" t="s">
        <v>427</v>
      </c>
      <c r="AA41" t="s">
        <v>5</v>
      </c>
      <c r="AB41">
        <v>1</v>
      </c>
      <c r="AC41" t="s">
        <v>4</v>
      </c>
      <c r="AD41">
        <v>0</v>
      </c>
    </row>
    <row r="42" spans="1:30" x14ac:dyDescent="0.25">
      <c r="A42" t="str">
        <f t="shared" si="0"/>
        <v>feynman_II_15_4_23654</v>
      </c>
      <c r="B42" t="s">
        <v>70</v>
      </c>
      <c r="C42" t="s">
        <v>189</v>
      </c>
      <c r="D42">
        <v>7200</v>
      </c>
      <c r="E42" t="s">
        <v>190</v>
      </c>
      <c r="F42">
        <v>1000000</v>
      </c>
      <c r="G42" t="s">
        <v>191</v>
      </c>
      <c r="H42">
        <v>23654</v>
      </c>
      <c r="I42" t="s">
        <v>192</v>
      </c>
      <c r="J42">
        <v>1E-3</v>
      </c>
      <c r="K42" t="s">
        <v>3</v>
      </c>
      <c r="L42">
        <v>1</v>
      </c>
      <c r="M42" t="s">
        <v>2</v>
      </c>
      <c r="N42">
        <v>0</v>
      </c>
      <c r="O42" t="s">
        <v>17</v>
      </c>
      <c r="P42">
        <v>9</v>
      </c>
      <c r="Q42" t="s">
        <v>0</v>
      </c>
      <c r="R42">
        <v>47.4</v>
      </c>
      <c r="S42" t="s">
        <v>152</v>
      </c>
      <c r="T42">
        <v>2</v>
      </c>
      <c r="U42" t="s">
        <v>153</v>
      </c>
      <c r="V42">
        <v>16</v>
      </c>
      <c r="W42" t="s">
        <v>151</v>
      </c>
      <c r="X42">
        <v>7470</v>
      </c>
      <c r="Y42" t="s">
        <v>1</v>
      </c>
      <c r="Z42" t="s">
        <v>178</v>
      </c>
      <c r="AA42" t="s">
        <v>5</v>
      </c>
      <c r="AB42">
        <v>1</v>
      </c>
      <c r="AC42" t="s">
        <v>4</v>
      </c>
      <c r="AD42">
        <v>0</v>
      </c>
    </row>
    <row r="43" spans="1:30" x14ac:dyDescent="0.25">
      <c r="A43" t="str">
        <f t="shared" si="0"/>
        <v>feynman_I_11_19_23654</v>
      </c>
      <c r="B43" t="s">
        <v>138</v>
      </c>
      <c r="C43" t="s">
        <v>189</v>
      </c>
      <c r="D43">
        <v>7200</v>
      </c>
      <c r="E43" t="s">
        <v>190</v>
      </c>
      <c r="F43">
        <v>1000000</v>
      </c>
      <c r="G43" t="s">
        <v>191</v>
      </c>
      <c r="H43">
        <v>23654</v>
      </c>
      <c r="I43" t="s">
        <v>192</v>
      </c>
      <c r="J43">
        <v>1E-3</v>
      </c>
      <c r="K43" t="s">
        <v>3</v>
      </c>
      <c r="L43">
        <v>1</v>
      </c>
      <c r="M43" t="s">
        <v>2</v>
      </c>
      <c r="N43">
        <v>0</v>
      </c>
      <c r="O43" t="s">
        <v>17</v>
      </c>
      <c r="P43">
        <v>18</v>
      </c>
      <c r="Q43" t="s">
        <v>0</v>
      </c>
      <c r="R43">
        <v>19.2</v>
      </c>
      <c r="S43" t="s">
        <v>152</v>
      </c>
      <c r="T43">
        <v>1</v>
      </c>
      <c r="U43" t="s">
        <v>153</v>
      </c>
      <c r="V43">
        <v>6</v>
      </c>
      <c r="W43" t="s">
        <v>151</v>
      </c>
      <c r="X43">
        <v>3176</v>
      </c>
      <c r="Y43" t="s">
        <v>1</v>
      </c>
      <c r="Z43" t="s">
        <v>428</v>
      </c>
      <c r="AA43" t="s">
        <v>5</v>
      </c>
      <c r="AB43">
        <v>1</v>
      </c>
      <c r="AC43" t="s">
        <v>4</v>
      </c>
      <c r="AD43">
        <v>0</v>
      </c>
    </row>
    <row r="44" spans="1:30" x14ac:dyDescent="0.25">
      <c r="A44" t="str">
        <f t="shared" si="0"/>
        <v>feynman_II_27_16_23654</v>
      </c>
      <c r="B44" t="s">
        <v>79</v>
      </c>
      <c r="C44" t="s">
        <v>189</v>
      </c>
      <c r="D44">
        <v>7200</v>
      </c>
      <c r="E44" t="s">
        <v>190</v>
      </c>
      <c r="F44">
        <v>1000000</v>
      </c>
      <c r="G44" t="s">
        <v>191</v>
      </c>
      <c r="H44">
        <v>23654</v>
      </c>
      <c r="I44" t="s">
        <v>192</v>
      </c>
      <c r="J44">
        <v>1E-3</v>
      </c>
      <c r="K44" t="s">
        <v>3</v>
      </c>
      <c r="L44">
        <v>1</v>
      </c>
      <c r="M44" t="s">
        <v>2</v>
      </c>
      <c r="N44">
        <v>0</v>
      </c>
      <c r="O44" t="s">
        <v>17</v>
      </c>
      <c r="P44">
        <v>10</v>
      </c>
      <c r="Q44" t="s">
        <v>0</v>
      </c>
      <c r="R44">
        <v>25.2</v>
      </c>
      <c r="S44" t="s">
        <v>152</v>
      </c>
      <c r="T44">
        <v>1</v>
      </c>
      <c r="U44" t="s">
        <v>153</v>
      </c>
      <c r="V44">
        <v>7</v>
      </c>
      <c r="W44" t="s">
        <v>151</v>
      </c>
      <c r="X44">
        <v>4016</v>
      </c>
      <c r="Y44" t="s">
        <v>1</v>
      </c>
      <c r="Z44" t="s">
        <v>229</v>
      </c>
      <c r="AA44" t="s">
        <v>5</v>
      </c>
      <c r="AB44">
        <v>1</v>
      </c>
      <c r="AC44" t="s">
        <v>4</v>
      </c>
      <c r="AD44">
        <v>0</v>
      </c>
    </row>
    <row r="45" spans="1:30" x14ac:dyDescent="0.25">
      <c r="A45" t="str">
        <f t="shared" si="0"/>
        <v>feynman_II_4_23_23654</v>
      </c>
      <c r="B45" t="s">
        <v>81</v>
      </c>
      <c r="C45" t="s">
        <v>189</v>
      </c>
      <c r="D45">
        <v>7200</v>
      </c>
      <c r="E45" t="s">
        <v>190</v>
      </c>
      <c r="F45">
        <v>1000000</v>
      </c>
      <c r="G45" t="s">
        <v>191</v>
      </c>
      <c r="H45">
        <v>23654</v>
      </c>
      <c r="I45" t="s">
        <v>192</v>
      </c>
      <c r="J45">
        <v>1E-3</v>
      </c>
      <c r="K45" t="s">
        <v>3</v>
      </c>
      <c r="L45">
        <v>1</v>
      </c>
      <c r="M45" t="s">
        <v>2</v>
      </c>
      <c r="N45">
        <v>0</v>
      </c>
      <c r="O45" t="s">
        <v>17</v>
      </c>
      <c r="P45">
        <v>12</v>
      </c>
      <c r="Q45" t="s">
        <v>0</v>
      </c>
      <c r="R45">
        <v>4.8</v>
      </c>
      <c r="S45" t="s">
        <v>152</v>
      </c>
      <c r="T45">
        <v>1</v>
      </c>
      <c r="U45" t="s">
        <v>153</v>
      </c>
      <c r="V45">
        <v>3</v>
      </c>
      <c r="W45" t="s">
        <v>151</v>
      </c>
      <c r="X45">
        <v>922</v>
      </c>
      <c r="Y45" t="s">
        <v>1</v>
      </c>
      <c r="Z45" t="s">
        <v>174</v>
      </c>
      <c r="AA45" t="s">
        <v>5</v>
      </c>
      <c r="AB45">
        <v>1</v>
      </c>
      <c r="AC45" t="s">
        <v>4</v>
      </c>
      <c r="AD45">
        <v>0</v>
      </c>
    </row>
    <row r="46" spans="1:30" x14ac:dyDescent="0.25">
      <c r="A46" t="str">
        <f t="shared" si="0"/>
        <v>strogatz_lv2_23654</v>
      </c>
      <c r="B46" t="s">
        <v>27</v>
      </c>
      <c r="C46" t="s">
        <v>189</v>
      </c>
      <c r="D46">
        <v>7200</v>
      </c>
      <c r="E46" t="s">
        <v>190</v>
      </c>
      <c r="F46">
        <v>1000000</v>
      </c>
      <c r="G46" t="s">
        <v>191</v>
      </c>
      <c r="H46">
        <v>23654</v>
      </c>
      <c r="I46" t="s">
        <v>192</v>
      </c>
      <c r="J46">
        <v>1E-3</v>
      </c>
      <c r="K46" t="s">
        <v>3</v>
      </c>
      <c r="L46">
        <v>1</v>
      </c>
      <c r="M46" t="s">
        <v>2</v>
      </c>
      <c r="N46">
        <v>0</v>
      </c>
      <c r="O46" t="s">
        <v>17</v>
      </c>
      <c r="P46">
        <v>16</v>
      </c>
      <c r="Q46" t="s">
        <v>0</v>
      </c>
      <c r="R46">
        <v>60.3</v>
      </c>
      <c r="S46" t="s">
        <v>152</v>
      </c>
      <c r="T46">
        <v>5</v>
      </c>
      <c r="U46" t="s">
        <v>153</v>
      </c>
      <c r="V46">
        <v>41</v>
      </c>
      <c r="W46" t="s">
        <v>151</v>
      </c>
      <c r="X46">
        <v>26022</v>
      </c>
      <c r="Y46" t="s">
        <v>1</v>
      </c>
      <c r="Z46" t="s">
        <v>429</v>
      </c>
      <c r="AA46" t="s">
        <v>5</v>
      </c>
      <c r="AB46">
        <v>1</v>
      </c>
      <c r="AC46" t="s">
        <v>4</v>
      </c>
      <c r="AD46">
        <v>0</v>
      </c>
    </row>
    <row r="47" spans="1:30" x14ac:dyDescent="0.25">
      <c r="A47" t="str">
        <f t="shared" si="0"/>
        <v>feynman_II_11_3_23654</v>
      </c>
      <c r="B47" t="s">
        <v>126</v>
      </c>
      <c r="C47" t="s">
        <v>189</v>
      </c>
      <c r="D47">
        <v>7200</v>
      </c>
      <c r="E47" t="s">
        <v>190</v>
      </c>
      <c r="F47">
        <v>1000000</v>
      </c>
      <c r="G47" t="s">
        <v>191</v>
      </c>
      <c r="H47">
        <v>23654</v>
      </c>
      <c r="I47" t="s">
        <v>192</v>
      </c>
      <c r="J47">
        <v>1E-3</v>
      </c>
      <c r="K47" t="s">
        <v>3</v>
      </c>
      <c r="L47">
        <v>1</v>
      </c>
      <c r="M47" t="s">
        <v>2</v>
      </c>
      <c r="N47">
        <v>0</v>
      </c>
      <c r="O47" t="s">
        <v>17</v>
      </c>
      <c r="P47">
        <v>24</v>
      </c>
      <c r="Q47" t="s">
        <v>0</v>
      </c>
      <c r="R47">
        <v>46.6</v>
      </c>
      <c r="S47" t="s">
        <v>152</v>
      </c>
      <c r="T47">
        <v>1</v>
      </c>
      <c r="U47" t="s">
        <v>153</v>
      </c>
      <c r="V47">
        <v>8</v>
      </c>
      <c r="W47" t="s">
        <v>151</v>
      </c>
      <c r="X47">
        <v>7349</v>
      </c>
      <c r="Y47" t="s">
        <v>1</v>
      </c>
      <c r="Z47" t="s">
        <v>258</v>
      </c>
      <c r="AA47" t="s">
        <v>5</v>
      </c>
      <c r="AB47">
        <v>1</v>
      </c>
      <c r="AC47" t="s">
        <v>4</v>
      </c>
      <c r="AD47">
        <v>0</v>
      </c>
    </row>
    <row r="48" spans="1:30" x14ac:dyDescent="0.25">
      <c r="A48" t="str">
        <f t="shared" si="0"/>
        <v>feynman_III_19_51_23654</v>
      </c>
      <c r="B48" t="s">
        <v>135</v>
      </c>
      <c r="C48" t="s">
        <v>189</v>
      </c>
      <c r="D48">
        <v>7200</v>
      </c>
      <c r="E48" t="s">
        <v>190</v>
      </c>
      <c r="F48">
        <v>1000000</v>
      </c>
      <c r="G48" t="s">
        <v>191</v>
      </c>
      <c r="H48">
        <v>23654</v>
      </c>
      <c r="I48" t="s">
        <v>192</v>
      </c>
      <c r="J48">
        <v>1E-3</v>
      </c>
      <c r="K48" t="s">
        <v>3</v>
      </c>
      <c r="L48">
        <v>1</v>
      </c>
      <c r="M48" t="s">
        <v>2</v>
      </c>
      <c r="N48">
        <v>0</v>
      </c>
      <c r="O48" t="s">
        <v>17</v>
      </c>
      <c r="P48">
        <v>20</v>
      </c>
      <c r="Q48" t="s">
        <v>0</v>
      </c>
      <c r="R48">
        <v>35.200000000000003</v>
      </c>
      <c r="S48" t="s">
        <v>152</v>
      </c>
      <c r="T48">
        <v>1</v>
      </c>
      <c r="U48" t="s">
        <v>153</v>
      </c>
      <c r="V48">
        <v>7</v>
      </c>
      <c r="W48" t="s">
        <v>151</v>
      </c>
      <c r="X48">
        <v>6025</v>
      </c>
      <c r="Y48" t="s">
        <v>1</v>
      </c>
      <c r="Z48" t="s">
        <v>430</v>
      </c>
      <c r="AA48" t="s">
        <v>5</v>
      </c>
      <c r="AB48">
        <v>1</v>
      </c>
      <c r="AC48" t="s">
        <v>4</v>
      </c>
      <c r="AD48">
        <v>0</v>
      </c>
    </row>
    <row r="49" spans="1:30" x14ac:dyDescent="0.25">
      <c r="A49" t="str">
        <f t="shared" si="0"/>
        <v>feynman_I_24_6_23654</v>
      </c>
      <c r="B49" t="s">
        <v>106</v>
      </c>
      <c r="C49" t="s">
        <v>189</v>
      </c>
      <c r="D49">
        <v>7200</v>
      </c>
      <c r="E49" t="s">
        <v>190</v>
      </c>
      <c r="F49">
        <v>1000000</v>
      </c>
      <c r="G49" t="s">
        <v>191</v>
      </c>
      <c r="H49">
        <v>23654</v>
      </c>
      <c r="I49" t="s">
        <v>192</v>
      </c>
      <c r="J49">
        <v>1E-3</v>
      </c>
      <c r="K49" t="s">
        <v>3</v>
      </c>
      <c r="L49">
        <v>1</v>
      </c>
      <c r="M49" t="s">
        <v>2</v>
      </c>
      <c r="N49">
        <v>0</v>
      </c>
      <c r="O49" t="s">
        <v>17</v>
      </c>
      <c r="P49">
        <v>30</v>
      </c>
      <c r="Q49" t="s">
        <v>0</v>
      </c>
      <c r="R49">
        <v>63.8</v>
      </c>
      <c r="S49" t="s">
        <v>152</v>
      </c>
      <c r="T49">
        <v>1</v>
      </c>
      <c r="U49" t="s">
        <v>153</v>
      </c>
      <c r="V49">
        <v>9</v>
      </c>
      <c r="W49" t="s">
        <v>151</v>
      </c>
      <c r="X49">
        <v>9512</v>
      </c>
      <c r="Y49" t="s">
        <v>1</v>
      </c>
      <c r="Z49" t="s">
        <v>431</v>
      </c>
      <c r="AA49" t="s">
        <v>5</v>
      </c>
      <c r="AB49">
        <v>1</v>
      </c>
      <c r="AC49" t="s">
        <v>4</v>
      </c>
      <c r="AD49">
        <v>0</v>
      </c>
    </row>
    <row r="50" spans="1:30" x14ac:dyDescent="0.25">
      <c r="A50" t="str">
        <f t="shared" si="0"/>
        <v>feynman_I_32_5_23654</v>
      </c>
      <c r="B50" t="s">
        <v>108</v>
      </c>
      <c r="C50" t="s">
        <v>189</v>
      </c>
      <c r="D50">
        <v>7200</v>
      </c>
      <c r="E50" t="s">
        <v>190</v>
      </c>
      <c r="F50">
        <v>1000000</v>
      </c>
      <c r="G50" t="s">
        <v>191</v>
      </c>
      <c r="H50">
        <v>23654</v>
      </c>
      <c r="I50" t="s">
        <v>192</v>
      </c>
      <c r="J50">
        <v>1E-3</v>
      </c>
      <c r="K50" t="s">
        <v>3</v>
      </c>
      <c r="L50">
        <v>1</v>
      </c>
      <c r="M50" t="s">
        <v>2</v>
      </c>
      <c r="N50">
        <v>0</v>
      </c>
      <c r="O50" t="s">
        <v>17</v>
      </c>
      <c r="P50">
        <v>18</v>
      </c>
      <c r="Q50" t="s">
        <v>0</v>
      </c>
      <c r="R50">
        <v>26.5</v>
      </c>
      <c r="S50" t="s">
        <v>152</v>
      </c>
      <c r="T50">
        <v>1</v>
      </c>
      <c r="U50" t="s">
        <v>153</v>
      </c>
      <c r="V50">
        <v>7</v>
      </c>
      <c r="W50" t="s">
        <v>151</v>
      </c>
      <c r="X50">
        <v>4871</v>
      </c>
      <c r="Y50" t="s">
        <v>1</v>
      </c>
      <c r="Z50" t="s">
        <v>432</v>
      </c>
      <c r="AA50" t="s">
        <v>5</v>
      </c>
      <c r="AB50">
        <v>1</v>
      </c>
      <c r="AC50" t="s">
        <v>4</v>
      </c>
      <c r="AD50">
        <v>0</v>
      </c>
    </row>
    <row r="51" spans="1:30" x14ac:dyDescent="0.25">
      <c r="A51" t="str">
        <f t="shared" si="0"/>
        <v>feynman_I_18_14_23654</v>
      </c>
      <c r="B51" t="s">
        <v>111</v>
      </c>
      <c r="C51" t="s">
        <v>189</v>
      </c>
      <c r="D51">
        <v>7200</v>
      </c>
      <c r="E51" t="s">
        <v>190</v>
      </c>
      <c r="F51">
        <v>1000000</v>
      </c>
      <c r="G51" t="s">
        <v>191</v>
      </c>
      <c r="H51">
        <v>23654</v>
      </c>
      <c r="I51" t="s">
        <v>192</v>
      </c>
      <c r="J51">
        <v>1E-3</v>
      </c>
      <c r="K51" t="s">
        <v>3</v>
      </c>
      <c r="L51">
        <v>1</v>
      </c>
      <c r="M51" t="s">
        <v>2</v>
      </c>
      <c r="N51">
        <v>0</v>
      </c>
      <c r="O51" t="s">
        <v>17</v>
      </c>
      <c r="P51">
        <v>11</v>
      </c>
      <c r="Q51" t="s">
        <v>0</v>
      </c>
      <c r="R51">
        <v>8.1999999999999993</v>
      </c>
      <c r="S51" t="s">
        <v>152</v>
      </c>
      <c r="T51">
        <v>1</v>
      </c>
      <c r="U51" t="s">
        <v>153</v>
      </c>
      <c r="V51">
        <v>5</v>
      </c>
      <c r="W51" t="s">
        <v>151</v>
      </c>
      <c r="X51">
        <v>1737</v>
      </c>
      <c r="Y51" t="s">
        <v>1</v>
      </c>
      <c r="Z51" t="s">
        <v>212</v>
      </c>
      <c r="AA51" t="s">
        <v>5</v>
      </c>
      <c r="AB51">
        <v>1</v>
      </c>
      <c r="AC51" t="s">
        <v>4</v>
      </c>
      <c r="AD51">
        <v>0</v>
      </c>
    </row>
    <row r="52" spans="1:30" x14ac:dyDescent="0.25">
      <c r="A52" t="str">
        <f t="shared" si="0"/>
        <v>feynman_II_6_11_23654</v>
      </c>
      <c r="B52" t="s">
        <v>116</v>
      </c>
      <c r="C52" t="s">
        <v>189</v>
      </c>
      <c r="D52">
        <v>7200</v>
      </c>
      <c r="E52" t="s">
        <v>190</v>
      </c>
      <c r="F52">
        <v>1000000</v>
      </c>
      <c r="G52" t="s">
        <v>191</v>
      </c>
      <c r="H52">
        <v>23654</v>
      </c>
      <c r="I52" t="s">
        <v>192</v>
      </c>
      <c r="J52">
        <v>1E-3</v>
      </c>
      <c r="K52" t="s">
        <v>3</v>
      </c>
      <c r="L52">
        <v>1</v>
      </c>
      <c r="M52" t="s">
        <v>2</v>
      </c>
      <c r="N52">
        <v>0</v>
      </c>
      <c r="O52" t="s">
        <v>17</v>
      </c>
      <c r="P52">
        <v>15</v>
      </c>
      <c r="Q52" t="s">
        <v>0</v>
      </c>
      <c r="R52">
        <v>153.1</v>
      </c>
      <c r="S52" t="s">
        <v>152</v>
      </c>
      <c r="T52">
        <v>3</v>
      </c>
      <c r="U52" t="s">
        <v>153</v>
      </c>
      <c r="V52">
        <v>27</v>
      </c>
      <c r="W52" t="s">
        <v>151</v>
      </c>
      <c r="X52">
        <v>23754</v>
      </c>
      <c r="Y52" t="s">
        <v>1</v>
      </c>
      <c r="Z52" t="s">
        <v>170</v>
      </c>
      <c r="AA52" t="s">
        <v>5</v>
      </c>
      <c r="AB52">
        <v>1</v>
      </c>
      <c r="AC52" t="s">
        <v>4</v>
      </c>
      <c r="AD52">
        <v>0</v>
      </c>
    </row>
    <row r="53" spans="1:30" x14ac:dyDescent="0.25">
      <c r="A53" t="str">
        <f t="shared" si="0"/>
        <v>feynman_II_8_7_23654</v>
      </c>
      <c r="B53" t="s">
        <v>80</v>
      </c>
      <c r="C53" t="s">
        <v>189</v>
      </c>
      <c r="D53">
        <v>7200</v>
      </c>
      <c r="E53" t="s">
        <v>190</v>
      </c>
      <c r="F53">
        <v>1000000</v>
      </c>
      <c r="G53" t="s">
        <v>191</v>
      </c>
      <c r="H53">
        <v>23654</v>
      </c>
      <c r="I53" t="s">
        <v>192</v>
      </c>
      <c r="J53">
        <v>1E-3</v>
      </c>
      <c r="K53" t="s">
        <v>3</v>
      </c>
      <c r="L53">
        <v>1</v>
      </c>
      <c r="M53" t="s">
        <v>2</v>
      </c>
      <c r="N53">
        <v>0</v>
      </c>
      <c r="O53" t="s">
        <v>17</v>
      </c>
      <c r="P53">
        <v>14</v>
      </c>
      <c r="Q53" t="s">
        <v>0</v>
      </c>
      <c r="R53">
        <v>148</v>
      </c>
      <c r="S53" t="s">
        <v>152</v>
      </c>
      <c r="T53">
        <v>2</v>
      </c>
      <c r="U53" t="s">
        <v>153</v>
      </c>
      <c r="V53">
        <v>54</v>
      </c>
      <c r="W53" t="s">
        <v>151</v>
      </c>
      <c r="X53">
        <v>29744</v>
      </c>
      <c r="Y53" t="s">
        <v>1</v>
      </c>
      <c r="Z53" t="s">
        <v>433</v>
      </c>
      <c r="AA53" t="s">
        <v>5</v>
      </c>
      <c r="AB53">
        <v>1</v>
      </c>
      <c r="AC53" t="s">
        <v>4</v>
      </c>
      <c r="AD53">
        <v>0</v>
      </c>
    </row>
    <row r="54" spans="1:30" x14ac:dyDescent="0.25">
      <c r="A54" t="str">
        <f t="shared" si="0"/>
        <v>feynman_III_15_12_23654</v>
      </c>
      <c r="B54" t="s">
        <v>67</v>
      </c>
      <c r="C54" t="s">
        <v>189</v>
      </c>
      <c r="D54">
        <v>7200</v>
      </c>
      <c r="E54" t="s">
        <v>190</v>
      </c>
      <c r="F54">
        <v>1000000</v>
      </c>
      <c r="G54" t="s">
        <v>191</v>
      </c>
      <c r="H54">
        <v>23654</v>
      </c>
      <c r="I54" t="s">
        <v>192</v>
      </c>
      <c r="J54">
        <v>1E-3</v>
      </c>
      <c r="K54" t="s">
        <v>3</v>
      </c>
      <c r="L54">
        <v>1</v>
      </c>
      <c r="M54" t="s">
        <v>2</v>
      </c>
      <c r="N54">
        <v>0</v>
      </c>
      <c r="O54" t="s">
        <v>17</v>
      </c>
      <c r="P54">
        <v>15</v>
      </c>
      <c r="Q54" t="s">
        <v>0</v>
      </c>
      <c r="R54">
        <v>122.8</v>
      </c>
      <c r="S54" t="s">
        <v>152</v>
      </c>
      <c r="T54">
        <v>3</v>
      </c>
      <c r="U54" t="s">
        <v>153</v>
      </c>
      <c r="V54">
        <v>23</v>
      </c>
      <c r="W54" t="s">
        <v>151</v>
      </c>
      <c r="X54">
        <v>18751</v>
      </c>
      <c r="Y54" t="s">
        <v>1</v>
      </c>
      <c r="Z54" t="s">
        <v>434</v>
      </c>
      <c r="AA54" t="s">
        <v>5</v>
      </c>
      <c r="AB54">
        <v>1</v>
      </c>
      <c r="AC54" t="s">
        <v>4</v>
      </c>
      <c r="AD54">
        <v>0</v>
      </c>
    </row>
    <row r="55" spans="1:30" x14ac:dyDescent="0.25">
      <c r="A55" t="str">
        <f t="shared" si="0"/>
        <v>strogatz_barmag2_23654</v>
      </c>
      <c r="B55" t="s">
        <v>24</v>
      </c>
      <c r="C55" t="s">
        <v>189</v>
      </c>
      <c r="D55">
        <v>7200</v>
      </c>
      <c r="E55" t="s">
        <v>190</v>
      </c>
      <c r="F55">
        <v>1000000</v>
      </c>
      <c r="G55" t="s">
        <v>191</v>
      </c>
      <c r="H55">
        <v>23654</v>
      </c>
      <c r="I55" t="s">
        <v>192</v>
      </c>
      <c r="J55">
        <v>1E-3</v>
      </c>
      <c r="K55" t="s">
        <v>3</v>
      </c>
      <c r="L55">
        <v>1</v>
      </c>
      <c r="M55" t="s">
        <v>2</v>
      </c>
      <c r="N55">
        <v>0</v>
      </c>
      <c r="O55" t="s">
        <v>17</v>
      </c>
      <c r="P55">
        <v>14</v>
      </c>
      <c r="Q55" t="s">
        <v>0</v>
      </c>
      <c r="R55">
        <v>26.5</v>
      </c>
      <c r="S55" t="s">
        <v>152</v>
      </c>
      <c r="T55">
        <v>2</v>
      </c>
      <c r="U55" t="s">
        <v>153</v>
      </c>
      <c r="V55">
        <v>17</v>
      </c>
      <c r="W55" t="s">
        <v>151</v>
      </c>
      <c r="X55">
        <v>12254</v>
      </c>
      <c r="Y55" t="s">
        <v>1</v>
      </c>
      <c r="Z55" t="s">
        <v>435</v>
      </c>
      <c r="AA55" t="s">
        <v>5</v>
      </c>
      <c r="AB55">
        <v>1</v>
      </c>
      <c r="AC55" t="s">
        <v>4</v>
      </c>
      <c r="AD55">
        <v>0</v>
      </c>
    </row>
    <row r="56" spans="1:30" x14ac:dyDescent="0.25">
      <c r="A56" t="str">
        <f t="shared" si="0"/>
        <v>feynman_II_36_38_23654</v>
      </c>
      <c r="B56" t="s">
        <v>149</v>
      </c>
      <c r="C56" t="s">
        <v>189</v>
      </c>
      <c r="D56">
        <v>7200</v>
      </c>
      <c r="E56" t="s">
        <v>190</v>
      </c>
      <c r="F56">
        <v>1000000</v>
      </c>
      <c r="G56" t="s">
        <v>191</v>
      </c>
      <c r="H56">
        <v>23654</v>
      </c>
      <c r="I56" t="s">
        <v>192</v>
      </c>
      <c r="J56">
        <v>1E-3</v>
      </c>
      <c r="K56" t="s">
        <v>3</v>
      </c>
      <c r="L56">
        <v>1</v>
      </c>
      <c r="M56" t="s">
        <v>2</v>
      </c>
      <c r="N56">
        <v>0</v>
      </c>
      <c r="O56" t="s">
        <v>17</v>
      </c>
      <c r="P56">
        <v>38</v>
      </c>
      <c r="Q56" t="s">
        <v>0</v>
      </c>
      <c r="R56">
        <v>284.8</v>
      </c>
      <c r="S56" t="s">
        <v>152</v>
      </c>
      <c r="T56">
        <v>1</v>
      </c>
      <c r="U56" t="s">
        <v>153</v>
      </c>
      <c r="V56">
        <v>14</v>
      </c>
      <c r="W56" t="s">
        <v>151</v>
      </c>
      <c r="X56">
        <v>33001</v>
      </c>
      <c r="Y56" t="s">
        <v>1</v>
      </c>
      <c r="Z56" t="s">
        <v>180</v>
      </c>
      <c r="AA56" t="s">
        <v>5</v>
      </c>
      <c r="AB56">
        <v>1</v>
      </c>
      <c r="AC56" t="s">
        <v>4</v>
      </c>
      <c r="AD56">
        <v>0</v>
      </c>
    </row>
    <row r="57" spans="1:30" x14ac:dyDescent="0.25">
      <c r="A57" t="str">
        <f t="shared" si="0"/>
        <v>feynman_I_12_2_23654</v>
      </c>
      <c r="B57" t="s">
        <v>110</v>
      </c>
      <c r="C57" t="s">
        <v>189</v>
      </c>
      <c r="D57">
        <v>7200</v>
      </c>
      <c r="E57" t="s">
        <v>190</v>
      </c>
      <c r="F57">
        <v>1000000</v>
      </c>
      <c r="G57" t="s">
        <v>191</v>
      </c>
      <c r="H57">
        <v>23654</v>
      </c>
      <c r="I57" t="s">
        <v>192</v>
      </c>
      <c r="J57">
        <v>1E-3</v>
      </c>
      <c r="K57" t="s">
        <v>3</v>
      </c>
      <c r="L57">
        <v>1</v>
      </c>
      <c r="M57" t="s">
        <v>2</v>
      </c>
      <c r="N57">
        <v>0</v>
      </c>
      <c r="O57" t="s">
        <v>17</v>
      </c>
      <c r="P57">
        <v>16</v>
      </c>
      <c r="Q57" t="s">
        <v>0</v>
      </c>
      <c r="R57">
        <v>457.9</v>
      </c>
      <c r="S57" t="s">
        <v>152</v>
      </c>
      <c r="T57">
        <v>4</v>
      </c>
      <c r="U57" t="s">
        <v>153</v>
      </c>
      <c r="V57">
        <v>32</v>
      </c>
      <c r="W57" t="s">
        <v>151</v>
      </c>
      <c r="X57">
        <v>64352</v>
      </c>
      <c r="Y57" t="s">
        <v>1</v>
      </c>
      <c r="Z57" t="s">
        <v>436</v>
      </c>
      <c r="AA57" t="s">
        <v>5</v>
      </c>
      <c r="AB57">
        <v>1</v>
      </c>
      <c r="AC57" t="s">
        <v>4</v>
      </c>
      <c r="AD57">
        <v>0</v>
      </c>
    </row>
    <row r="58" spans="1:30" x14ac:dyDescent="0.25">
      <c r="A58" t="str">
        <f t="shared" si="0"/>
        <v>feynman_test_18_23654</v>
      </c>
      <c r="B58" t="s">
        <v>123</v>
      </c>
      <c r="C58" t="s">
        <v>189</v>
      </c>
      <c r="D58">
        <v>7200</v>
      </c>
      <c r="E58" t="s">
        <v>190</v>
      </c>
      <c r="F58">
        <v>1000000</v>
      </c>
      <c r="G58" t="s">
        <v>191</v>
      </c>
      <c r="H58">
        <v>23654</v>
      </c>
      <c r="I58" t="s">
        <v>192</v>
      </c>
      <c r="J58">
        <v>1E-3</v>
      </c>
      <c r="K58" t="s">
        <v>3</v>
      </c>
      <c r="L58">
        <v>1</v>
      </c>
      <c r="M58" t="s">
        <v>2</v>
      </c>
      <c r="N58">
        <v>0</v>
      </c>
      <c r="O58" t="s">
        <v>17</v>
      </c>
      <c r="P58">
        <v>26</v>
      </c>
      <c r="Q58" t="s">
        <v>0</v>
      </c>
      <c r="R58">
        <v>442.3</v>
      </c>
      <c r="S58" t="s">
        <v>152</v>
      </c>
      <c r="T58">
        <v>2</v>
      </c>
      <c r="U58" t="s">
        <v>153</v>
      </c>
      <c r="V58">
        <v>19</v>
      </c>
      <c r="W58" t="s">
        <v>151</v>
      </c>
      <c r="X58">
        <v>49805</v>
      </c>
      <c r="Y58" t="s">
        <v>1</v>
      </c>
      <c r="Z58" t="s">
        <v>179</v>
      </c>
      <c r="AA58" t="s">
        <v>5</v>
      </c>
      <c r="AB58">
        <v>1</v>
      </c>
      <c r="AC58" t="s">
        <v>4</v>
      </c>
      <c r="AD58">
        <v>0</v>
      </c>
    </row>
    <row r="59" spans="1:30" x14ac:dyDescent="0.25">
      <c r="A59" t="str">
        <f t="shared" si="0"/>
        <v>feynman_I_12_11_23654</v>
      </c>
      <c r="B59" t="s">
        <v>130</v>
      </c>
      <c r="C59" t="s">
        <v>189</v>
      </c>
      <c r="D59">
        <v>7200</v>
      </c>
      <c r="E59" t="s">
        <v>190</v>
      </c>
      <c r="F59">
        <v>1000000</v>
      </c>
      <c r="G59" t="s">
        <v>191</v>
      </c>
      <c r="H59">
        <v>23654</v>
      </c>
      <c r="I59" t="s">
        <v>192</v>
      </c>
      <c r="J59">
        <v>1E-3</v>
      </c>
      <c r="K59" t="s">
        <v>3</v>
      </c>
      <c r="L59">
        <v>1</v>
      </c>
      <c r="M59" t="s">
        <v>2</v>
      </c>
      <c r="N59">
        <v>0</v>
      </c>
      <c r="O59" t="s">
        <v>17</v>
      </c>
      <c r="P59">
        <v>17</v>
      </c>
      <c r="Q59" t="s">
        <v>0</v>
      </c>
      <c r="R59">
        <v>21.2</v>
      </c>
      <c r="S59" t="s">
        <v>152</v>
      </c>
      <c r="T59">
        <v>1</v>
      </c>
      <c r="U59" t="s">
        <v>153</v>
      </c>
      <c r="V59">
        <v>7</v>
      </c>
      <c r="W59" t="s">
        <v>151</v>
      </c>
      <c r="X59">
        <v>4007</v>
      </c>
      <c r="Y59" t="s">
        <v>1</v>
      </c>
      <c r="Z59" t="s">
        <v>437</v>
      </c>
      <c r="AA59" t="s">
        <v>5</v>
      </c>
      <c r="AB59">
        <v>1</v>
      </c>
      <c r="AC59" t="s">
        <v>4</v>
      </c>
      <c r="AD59">
        <v>0</v>
      </c>
    </row>
    <row r="60" spans="1:30" x14ac:dyDescent="0.25">
      <c r="A60" t="str">
        <f t="shared" si="0"/>
        <v>strogatz_shearflow2_23654</v>
      </c>
      <c r="B60" t="s">
        <v>20</v>
      </c>
      <c r="C60" t="s">
        <v>189</v>
      </c>
      <c r="D60">
        <v>7200</v>
      </c>
      <c r="E60" t="s">
        <v>190</v>
      </c>
      <c r="F60">
        <v>1000000</v>
      </c>
      <c r="G60" t="s">
        <v>191</v>
      </c>
      <c r="H60">
        <v>23654</v>
      </c>
      <c r="I60" t="s">
        <v>192</v>
      </c>
      <c r="J60">
        <v>1E-3</v>
      </c>
      <c r="K60" t="s">
        <v>3</v>
      </c>
      <c r="L60">
        <v>1</v>
      </c>
      <c r="M60" t="s">
        <v>2</v>
      </c>
      <c r="N60">
        <v>0</v>
      </c>
      <c r="O60" t="s">
        <v>17</v>
      </c>
      <c r="P60">
        <v>15</v>
      </c>
      <c r="Q60" t="s">
        <v>0</v>
      </c>
      <c r="R60">
        <v>264</v>
      </c>
      <c r="S60" t="s">
        <v>152</v>
      </c>
      <c r="T60">
        <v>4</v>
      </c>
      <c r="U60" t="s">
        <v>153</v>
      </c>
      <c r="V60">
        <v>129</v>
      </c>
      <c r="W60" t="s">
        <v>151</v>
      </c>
      <c r="X60">
        <v>108795</v>
      </c>
      <c r="Y60" t="s">
        <v>1</v>
      </c>
      <c r="Z60" t="s">
        <v>438</v>
      </c>
      <c r="AA60" t="s">
        <v>5</v>
      </c>
      <c r="AB60">
        <v>1</v>
      </c>
      <c r="AC60" t="s">
        <v>4</v>
      </c>
      <c r="AD60">
        <v>0</v>
      </c>
    </row>
    <row r="61" spans="1:30" x14ac:dyDescent="0.25">
      <c r="A61" t="str">
        <f t="shared" si="0"/>
        <v>strogatz_barmag1_23654</v>
      </c>
      <c r="B61" t="s">
        <v>21</v>
      </c>
      <c r="C61" t="s">
        <v>189</v>
      </c>
      <c r="D61">
        <v>7200</v>
      </c>
      <c r="E61" t="s">
        <v>190</v>
      </c>
      <c r="F61">
        <v>1000000</v>
      </c>
      <c r="G61" t="s">
        <v>191</v>
      </c>
      <c r="H61">
        <v>23654</v>
      </c>
      <c r="I61" t="s">
        <v>192</v>
      </c>
      <c r="J61">
        <v>1E-3</v>
      </c>
      <c r="K61" t="s">
        <v>3</v>
      </c>
      <c r="L61">
        <v>1</v>
      </c>
      <c r="M61" t="s">
        <v>2</v>
      </c>
      <c r="N61">
        <v>0</v>
      </c>
      <c r="O61" t="s">
        <v>17</v>
      </c>
      <c r="P61">
        <v>14</v>
      </c>
      <c r="Q61" t="s">
        <v>0</v>
      </c>
      <c r="R61">
        <v>371.9</v>
      </c>
      <c r="S61" t="s">
        <v>152</v>
      </c>
      <c r="T61">
        <v>10</v>
      </c>
      <c r="U61" t="s">
        <v>153</v>
      </c>
      <c r="V61">
        <v>206</v>
      </c>
      <c r="W61" t="s">
        <v>151</v>
      </c>
      <c r="X61">
        <v>164973</v>
      </c>
      <c r="Y61" t="s">
        <v>1</v>
      </c>
      <c r="Z61" t="s">
        <v>439</v>
      </c>
      <c r="AA61" t="s">
        <v>5</v>
      </c>
      <c r="AB61">
        <v>1</v>
      </c>
      <c r="AC61" t="s">
        <v>4</v>
      </c>
      <c r="AD61">
        <v>0</v>
      </c>
    </row>
    <row r="62" spans="1:30" x14ac:dyDescent="0.25">
      <c r="A62" t="str">
        <f t="shared" si="0"/>
        <v>feynman_I_44_4_23654</v>
      </c>
      <c r="B62" t="s">
        <v>129</v>
      </c>
      <c r="C62" t="s">
        <v>189</v>
      </c>
      <c r="D62">
        <v>7200</v>
      </c>
      <c r="E62" t="s">
        <v>190</v>
      </c>
      <c r="F62">
        <v>1000000</v>
      </c>
      <c r="G62" t="s">
        <v>191</v>
      </c>
      <c r="H62">
        <v>23654</v>
      </c>
      <c r="I62" t="s">
        <v>192</v>
      </c>
      <c r="J62">
        <v>1E-3</v>
      </c>
      <c r="K62" t="s">
        <v>3</v>
      </c>
      <c r="L62">
        <v>1</v>
      </c>
      <c r="M62" t="s">
        <v>2</v>
      </c>
      <c r="N62">
        <v>0</v>
      </c>
      <c r="O62" t="s">
        <v>17</v>
      </c>
      <c r="P62">
        <v>15</v>
      </c>
      <c r="Q62" t="s">
        <v>0</v>
      </c>
      <c r="R62">
        <v>887.8</v>
      </c>
      <c r="S62" t="s">
        <v>152</v>
      </c>
      <c r="T62">
        <v>2</v>
      </c>
      <c r="U62" t="s">
        <v>153</v>
      </c>
      <c r="V62">
        <v>31</v>
      </c>
      <c r="W62" t="s">
        <v>151</v>
      </c>
      <c r="X62">
        <v>87514</v>
      </c>
      <c r="Y62" t="s">
        <v>1</v>
      </c>
      <c r="Z62" t="s">
        <v>251</v>
      </c>
      <c r="AA62" t="s">
        <v>5</v>
      </c>
      <c r="AB62">
        <v>1</v>
      </c>
      <c r="AC62" t="s">
        <v>4</v>
      </c>
      <c r="AD62">
        <v>0</v>
      </c>
    </row>
    <row r="63" spans="1:30" x14ac:dyDescent="0.25">
      <c r="A63" t="str">
        <f t="shared" si="0"/>
        <v>feynman_I_13_4_23654</v>
      </c>
      <c r="B63" t="s">
        <v>107</v>
      </c>
      <c r="C63" t="s">
        <v>189</v>
      </c>
      <c r="D63">
        <v>7200</v>
      </c>
      <c r="E63" t="s">
        <v>190</v>
      </c>
      <c r="F63">
        <v>1000000</v>
      </c>
      <c r="G63" t="s">
        <v>191</v>
      </c>
      <c r="H63">
        <v>23654</v>
      </c>
      <c r="I63" t="s">
        <v>192</v>
      </c>
      <c r="J63">
        <v>1E-3</v>
      </c>
      <c r="K63" t="s">
        <v>3</v>
      </c>
      <c r="L63">
        <v>1</v>
      </c>
      <c r="M63" t="s">
        <v>2</v>
      </c>
      <c r="N63">
        <v>0</v>
      </c>
      <c r="O63" t="s">
        <v>17</v>
      </c>
      <c r="P63">
        <v>26</v>
      </c>
      <c r="Q63" t="s">
        <v>0</v>
      </c>
      <c r="R63">
        <v>202.6</v>
      </c>
      <c r="S63" t="s">
        <v>152</v>
      </c>
      <c r="T63">
        <v>1</v>
      </c>
      <c r="U63" t="s">
        <v>153</v>
      </c>
      <c r="V63">
        <v>16</v>
      </c>
      <c r="W63" t="s">
        <v>151</v>
      </c>
      <c r="X63">
        <v>22307</v>
      </c>
      <c r="Y63" t="s">
        <v>1</v>
      </c>
      <c r="Z63" t="s">
        <v>440</v>
      </c>
      <c r="AA63" t="s">
        <v>5</v>
      </c>
      <c r="AB63">
        <v>1</v>
      </c>
      <c r="AC63" t="s">
        <v>4</v>
      </c>
      <c r="AD63">
        <v>0</v>
      </c>
    </row>
    <row r="64" spans="1:30" x14ac:dyDescent="0.25">
      <c r="A64" t="str">
        <f t="shared" si="0"/>
        <v>feynman_II_13_17_23654</v>
      </c>
      <c r="B64" t="s">
        <v>113</v>
      </c>
      <c r="C64" t="s">
        <v>189</v>
      </c>
      <c r="D64">
        <v>7200</v>
      </c>
      <c r="E64" t="s">
        <v>190</v>
      </c>
      <c r="F64">
        <v>1000000</v>
      </c>
      <c r="G64" t="s">
        <v>191</v>
      </c>
      <c r="H64">
        <v>23654</v>
      </c>
      <c r="I64" t="s">
        <v>192</v>
      </c>
      <c r="J64">
        <v>1E-3</v>
      </c>
      <c r="K64" t="s">
        <v>3</v>
      </c>
      <c r="L64">
        <v>1</v>
      </c>
      <c r="M64" t="s">
        <v>2</v>
      </c>
      <c r="N64">
        <v>0</v>
      </c>
      <c r="O64" t="s">
        <v>17</v>
      </c>
      <c r="P64">
        <v>20</v>
      </c>
      <c r="Q64" t="s">
        <v>0</v>
      </c>
      <c r="R64">
        <v>367.9</v>
      </c>
      <c r="S64" t="s">
        <v>152</v>
      </c>
      <c r="T64">
        <v>6</v>
      </c>
      <c r="U64" t="s">
        <v>153</v>
      </c>
      <c r="V64">
        <v>55</v>
      </c>
      <c r="W64" t="s">
        <v>151</v>
      </c>
      <c r="X64">
        <v>60884</v>
      </c>
      <c r="Y64" t="s">
        <v>1</v>
      </c>
      <c r="Z64" t="s">
        <v>441</v>
      </c>
      <c r="AA64" t="s">
        <v>5</v>
      </c>
      <c r="AB64">
        <v>1</v>
      </c>
      <c r="AC64" t="s">
        <v>4</v>
      </c>
      <c r="AD64">
        <v>0</v>
      </c>
    </row>
    <row r="65" spans="1:30" x14ac:dyDescent="0.25">
      <c r="A65" t="str">
        <f t="shared" si="0"/>
        <v>feynman_I_37_4_23654</v>
      </c>
      <c r="B65" t="s">
        <v>61</v>
      </c>
      <c r="C65" t="s">
        <v>189</v>
      </c>
      <c r="D65">
        <v>7200</v>
      </c>
      <c r="E65" t="s">
        <v>190</v>
      </c>
      <c r="F65">
        <v>1000000</v>
      </c>
      <c r="G65" t="s">
        <v>191</v>
      </c>
      <c r="H65">
        <v>23654</v>
      </c>
      <c r="I65" t="s">
        <v>192</v>
      </c>
      <c r="J65">
        <v>1E-3</v>
      </c>
      <c r="K65" t="s">
        <v>3</v>
      </c>
      <c r="L65">
        <v>1</v>
      </c>
      <c r="M65" t="s">
        <v>2</v>
      </c>
      <c r="N65">
        <v>0</v>
      </c>
      <c r="O65" t="s">
        <v>17</v>
      </c>
      <c r="P65">
        <v>21</v>
      </c>
      <c r="Q65" t="s">
        <v>0</v>
      </c>
      <c r="R65">
        <v>1353.6</v>
      </c>
      <c r="S65" t="s">
        <v>152</v>
      </c>
      <c r="T65">
        <v>12</v>
      </c>
      <c r="U65" t="s">
        <v>153</v>
      </c>
      <c r="V65">
        <v>165</v>
      </c>
      <c r="W65" t="s">
        <v>151</v>
      </c>
      <c r="X65">
        <v>170790</v>
      </c>
      <c r="Y65" t="s">
        <v>1</v>
      </c>
      <c r="Z65" t="s">
        <v>442</v>
      </c>
      <c r="AA65" t="s">
        <v>5</v>
      </c>
      <c r="AB65">
        <v>1</v>
      </c>
      <c r="AC65" t="s">
        <v>4</v>
      </c>
      <c r="AD65">
        <v>0</v>
      </c>
    </row>
    <row r="66" spans="1:30" x14ac:dyDescent="0.25">
      <c r="A66" t="str">
        <f t="shared" ref="A66:A129" si="1">CONCATENATE(B66, "_", H66)</f>
        <v>feynman_I_38_12_23654</v>
      </c>
      <c r="B66" t="s">
        <v>104</v>
      </c>
      <c r="C66" t="s">
        <v>189</v>
      </c>
      <c r="D66">
        <v>7200</v>
      </c>
      <c r="E66" t="s">
        <v>190</v>
      </c>
      <c r="F66">
        <v>1000000</v>
      </c>
      <c r="G66" t="s">
        <v>191</v>
      </c>
      <c r="H66">
        <v>23654</v>
      </c>
      <c r="I66" t="s">
        <v>192</v>
      </c>
      <c r="J66">
        <v>1E-3</v>
      </c>
      <c r="K66" t="s">
        <v>3</v>
      </c>
      <c r="L66">
        <v>1</v>
      </c>
      <c r="M66" t="s">
        <v>2</v>
      </c>
      <c r="N66">
        <v>0</v>
      </c>
      <c r="O66" t="s">
        <v>17</v>
      </c>
      <c r="P66">
        <v>16</v>
      </c>
      <c r="Q66" t="s">
        <v>0</v>
      </c>
      <c r="R66">
        <v>19</v>
      </c>
      <c r="S66" t="s">
        <v>152</v>
      </c>
      <c r="T66">
        <v>1</v>
      </c>
      <c r="U66" t="s">
        <v>153</v>
      </c>
      <c r="V66">
        <v>6</v>
      </c>
      <c r="W66" t="s">
        <v>151</v>
      </c>
      <c r="X66">
        <v>3758</v>
      </c>
      <c r="Y66" t="s">
        <v>1</v>
      </c>
      <c r="Z66" t="s">
        <v>443</v>
      </c>
      <c r="AA66" t="s">
        <v>5</v>
      </c>
      <c r="AB66">
        <v>1</v>
      </c>
      <c r="AC66" t="s">
        <v>4</v>
      </c>
      <c r="AD66">
        <v>0</v>
      </c>
    </row>
    <row r="67" spans="1:30" x14ac:dyDescent="0.25">
      <c r="A67" t="str">
        <f t="shared" si="1"/>
        <v>feynman_II_11_20_23654</v>
      </c>
      <c r="B67" t="s">
        <v>122</v>
      </c>
      <c r="C67" t="s">
        <v>189</v>
      </c>
      <c r="D67">
        <v>7200</v>
      </c>
      <c r="E67" t="s">
        <v>190</v>
      </c>
      <c r="F67">
        <v>1000000</v>
      </c>
      <c r="G67" t="s">
        <v>191</v>
      </c>
      <c r="H67">
        <v>23654</v>
      </c>
      <c r="I67" t="s">
        <v>192</v>
      </c>
      <c r="J67">
        <v>1E-3</v>
      </c>
      <c r="K67" t="s">
        <v>3</v>
      </c>
      <c r="L67">
        <v>1</v>
      </c>
      <c r="M67" t="s">
        <v>2</v>
      </c>
      <c r="N67">
        <v>0</v>
      </c>
      <c r="O67" t="s">
        <v>17</v>
      </c>
      <c r="P67">
        <v>16</v>
      </c>
      <c r="Q67" t="s">
        <v>0</v>
      </c>
      <c r="R67">
        <v>1584.8</v>
      </c>
      <c r="S67" t="s">
        <v>152</v>
      </c>
      <c r="T67">
        <v>5</v>
      </c>
      <c r="U67" t="s">
        <v>153</v>
      </c>
      <c r="V67">
        <v>96</v>
      </c>
      <c r="W67" t="s">
        <v>151</v>
      </c>
      <c r="X67">
        <v>205333</v>
      </c>
      <c r="Y67" t="s">
        <v>1</v>
      </c>
      <c r="Z67" t="s">
        <v>444</v>
      </c>
      <c r="AA67" t="s">
        <v>5</v>
      </c>
      <c r="AB67">
        <v>1</v>
      </c>
      <c r="AC67" t="s">
        <v>4</v>
      </c>
      <c r="AD67">
        <v>0</v>
      </c>
    </row>
    <row r="68" spans="1:30" x14ac:dyDescent="0.25">
      <c r="A68" t="str">
        <f t="shared" si="1"/>
        <v>feynman_II_6_15b_23654</v>
      </c>
      <c r="B68" t="s">
        <v>115</v>
      </c>
      <c r="C68" t="s">
        <v>189</v>
      </c>
      <c r="D68">
        <v>7200</v>
      </c>
      <c r="E68" t="s">
        <v>190</v>
      </c>
      <c r="F68">
        <v>1000000</v>
      </c>
      <c r="G68" t="s">
        <v>191</v>
      </c>
      <c r="H68">
        <v>23654</v>
      </c>
      <c r="I68" t="s">
        <v>192</v>
      </c>
      <c r="J68">
        <v>1E-3</v>
      </c>
      <c r="K68" t="s">
        <v>3</v>
      </c>
      <c r="L68">
        <v>1</v>
      </c>
      <c r="M68" t="s">
        <v>2</v>
      </c>
      <c r="N68">
        <v>0</v>
      </c>
      <c r="O68" t="s">
        <v>17</v>
      </c>
      <c r="P68">
        <v>18</v>
      </c>
      <c r="Q68" t="s">
        <v>0</v>
      </c>
      <c r="R68">
        <v>1604.3</v>
      </c>
      <c r="S68" t="s">
        <v>152</v>
      </c>
      <c r="T68">
        <v>10</v>
      </c>
      <c r="U68" t="s">
        <v>153</v>
      </c>
      <c r="V68">
        <v>93</v>
      </c>
      <c r="W68" t="s">
        <v>151</v>
      </c>
      <c r="X68">
        <v>213914</v>
      </c>
      <c r="Y68" t="s">
        <v>1</v>
      </c>
      <c r="Z68" t="s">
        <v>445</v>
      </c>
      <c r="AA68" t="s">
        <v>5</v>
      </c>
      <c r="AB68">
        <v>1</v>
      </c>
      <c r="AC68" t="s">
        <v>4</v>
      </c>
      <c r="AD68">
        <v>0</v>
      </c>
    </row>
    <row r="69" spans="1:30" x14ac:dyDescent="0.25">
      <c r="A69" t="str">
        <f t="shared" si="1"/>
        <v>strogatz_bacres1_23654</v>
      </c>
      <c r="B69" t="s">
        <v>26</v>
      </c>
      <c r="C69" t="s">
        <v>189</v>
      </c>
      <c r="D69">
        <v>7200</v>
      </c>
      <c r="E69" t="s">
        <v>190</v>
      </c>
      <c r="F69">
        <v>1000000</v>
      </c>
      <c r="G69" t="s">
        <v>191</v>
      </c>
      <c r="H69">
        <v>23654</v>
      </c>
      <c r="I69" t="s">
        <v>192</v>
      </c>
      <c r="J69">
        <v>1E-3</v>
      </c>
      <c r="K69" t="s">
        <v>3</v>
      </c>
      <c r="L69">
        <v>0.999996</v>
      </c>
      <c r="M69" t="s">
        <v>2</v>
      </c>
      <c r="N69">
        <v>5.2810000000000001E-3</v>
      </c>
      <c r="O69" t="s">
        <v>17</v>
      </c>
      <c r="P69">
        <v>20</v>
      </c>
      <c r="Q69" t="s">
        <v>0</v>
      </c>
      <c r="R69">
        <v>923.4</v>
      </c>
      <c r="S69" t="s">
        <v>152</v>
      </c>
      <c r="T69">
        <v>10</v>
      </c>
      <c r="U69" t="s">
        <v>153</v>
      </c>
      <c r="V69">
        <v>665</v>
      </c>
      <c r="W69" t="s">
        <v>151</v>
      </c>
      <c r="X69">
        <v>352440</v>
      </c>
      <c r="Y69" t="s">
        <v>1</v>
      </c>
      <c r="Z69" t="s">
        <v>446</v>
      </c>
      <c r="AA69" t="s">
        <v>5</v>
      </c>
      <c r="AB69">
        <v>0.99999830000000001</v>
      </c>
      <c r="AC69" t="s">
        <v>4</v>
      </c>
      <c r="AD69">
        <v>2.8108999999999999E-3</v>
      </c>
    </row>
    <row r="70" spans="1:30" x14ac:dyDescent="0.25">
      <c r="A70" t="str">
        <f t="shared" si="1"/>
        <v>strogatz_lv1_23654</v>
      </c>
      <c r="B70" t="s">
        <v>29</v>
      </c>
      <c r="C70" t="s">
        <v>189</v>
      </c>
      <c r="D70">
        <v>7200</v>
      </c>
      <c r="E70" t="s">
        <v>190</v>
      </c>
      <c r="F70">
        <v>1000000</v>
      </c>
      <c r="G70" t="s">
        <v>191</v>
      </c>
      <c r="H70">
        <v>23654</v>
      </c>
      <c r="I70" t="s">
        <v>192</v>
      </c>
      <c r="J70">
        <v>1E-3</v>
      </c>
      <c r="K70" t="s">
        <v>3</v>
      </c>
      <c r="L70">
        <v>1</v>
      </c>
      <c r="M70" t="s">
        <v>2</v>
      </c>
      <c r="N70">
        <v>0</v>
      </c>
      <c r="O70" t="s">
        <v>17</v>
      </c>
      <c r="P70">
        <v>18</v>
      </c>
      <c r="Q70" t="s">
        <v>0</v>
      </c>
      <c r="R70">
        <v>910</v>
      </c>
      <c r="S70" t="s">
        <v>152</v>
      </c>
      <c r="T70">
        <v>11</v>
      </c>
      <c r="U70" t="s">
        <v>153</v>
      </c>
      <c r="V70">
        <v>169</v>
      </c>
      <c r="W70" t="s">
        <v>151</v>
      </c>
      <c r="X70">
        <v>255305</v>
      </c>
      <c r="Y70" t="s">
        <v>1</v>
      </c>
      <c r="Z70" t="s">
        <v>379</v>
      </c>
      <c r="AA70" t="s">
        <v>5</v>
      </c>
      <c r="AB70">
        <v>1</v>
      </c>
      <c r="AC70" t="s">
        <v>4</v>
      </c>
      <c r="AD70">
        <v>0</v>
      </c>
    </row>
    <row r="71" spans="1:30" x14ac:dyDescent="0.25">
      <c r="A71" t="str">
        <f t="shared" si="1"/>
        <v>strogatz_vdp1_23654</v>
      </c>
      <c r="B71" t="s">
        <v>30</v>
      </c>
      <c r="C71" t="s">
        <v>189</v>
      </c>
      <c r="D71">
        <v>7200</v>
      </c>
      <c r="E71" t="s">
        <v>190</v>
      </c>
      <c r="F71">
        <v>1000000</v>
      </c>
      <c r="G71" t="s">
        <v>191</v>
      </c>
      <c r="H71">
        <v>23654</v>
      </c>
      <c r="I71" t="s">
        <v>192</v>
      </c>
      <c r="J71">
        <v>1E-3</v>
      </c>
      <c r="K71" t="s">
        <v>3</v>
      </c>
      <c r="L71">
        <v>1</v>
      </c>
      <c r="M71" t="s">
        <v>2</v>
      </c>
      <c r="N71">
        <v>0</v>
      </c>
      <c r="O71" t="s">
        <v>17</v>
      </c>
      <c r="P71">
        <v>14</v>
      </c>
      <c r="Q71" t="s">
        <v>0</v>
      </c>
      <c r="R71">
        <v>163.80000000000001</v>
      </c>
      <c r="S71" t="s">
        <v>152</v>
      </c>
      <c r="T71">
        <v>4</v>
      </c>
      <c r="U71" t="s">
        <v>153</v>
      </c>
      <c r="V71">
        <v>45</v>
      </c>
      <c r="W71" t="s">
        <v>151</v>
      </c>
      <c r="X71">
        <v>55446</v>
      </c>
      <c r="Y71" t="s">
        <v>1</v>
      </c>
      <c r="Z71" t="s">
        <v>447</v>
      </c>
      <c r="AA71" t="s">
        <v>5</v>
      </c>
      <c r="AB71">
        <v>1</v>
      </c>
      <c r="AC71" t="s">
        <v>4</v>
      </c>
      <c r="AD71">
        <v>0</v>
      </c>
    </row>
    <row r="72" spans="1:30" x14ac:dyDescent="0.25">
      <c r="A72" t="str">
        <f t="shared" si="1"/>
        <v>strogatz_shearflow1_23654</v>
      </c>
      <c r="B72" t="s">
        <v>23</v>
      </c>
      <c r="C72" t="s">
        <v>189</v>
      </c>
      <c r="D72">
        <v>7200</v>
      </c>
      <c r="E72" t="s">
        <v>190</v>
      </c>
      <c r="F72">
        <v>1000000</v>
      </c>
      <c r="G72" t="s">
        <v>191</v>
      </c>
      <c r="H72">
        <v>23654</v>
      </c>
      <c r="I72" t="s">
        <v>192</v>
      </c>
      <c r="J72">
        <v>1E-3</v>
      </c>
      <c r="K72" t="s">
        <v>3</v>
      </c>
      <c r="L72">
        <v>0.98254140000000001</v>
      </c>
      <c r="M72" t="s">
        <v>2</v>
      </c>
      <c r="N72">
        <v>7.2453199999999995E-2</v>
      </c>
      <c r="O72" t="s">
        <v>17</v>
      </c>
      <c r="P72">
        <v>36</v>
      </c>
      <c r="Q72" t="s">
        <v>0</v>
      </c>
      <c r="R72">
        <v>2442</v>
      </c>
      <c r="S72" t="s">
        <v>152</v>
      </c>
      <c r="T72">
        <v>8</v>
      </c>
      <c r="U72" t="s">
        <v>153</v>
      </c>
      <c r="V72">
        <v>1402</v>
      </c>
      <c r="W72" t="s">
        <v>151</v>
      </c>
      <c r="X72">
        <v>1000443</v>
      </c>
      <c r="Y72" t="s">
        <v>1</v>
      </c>
      <c r="Z72" t="s">
        <v>448</v>
      </c>
      <c r="AA72" t="s">
        <v>5</v>
      </c>
      <c r="AB72">
        <v>0.97575690000000004</v>
      </c>
      <c r="AC72" t="s">
        <v>4</v>
      </c>
      <c r="AD72">
        <v>0.11271829999999999</v>
      </c>
    </row>
    <row r="73" spans="1:30" x14ac:dyDescent="0.25">
      <c r="A73" t="str">
        <f t="shared" si="1"/>
        <v>feynman_test_17_23654</v>
      </c>
      <c r="B73" t="s">
        <v>145</v>
      </c>
      <c r="C73" t="s">
        <v>189</v>
      </c>
      <c r="D73">
        <v>7200</v>
      </c>
      <c r="E73" t="s">
        <v>190</v>
      </c>
      <c r="F73">
        <v>1000000</v>
      </c>
      <c r="G73" t="s">
        <v>191</v>
      </c>
      <c r="H73">
        <v>23654</v>
      </c>
      <c r="I73" t="s">
        <v>192</v>
      </c>
      <c r="J73">
        <v>1E-3</v>
      </c>
      <c r="K73" t="s">
        <v>3</v>
      </c>
      <c r="L73">
        <v>1</v>
      </c>
      <c r="M73" t="s">
        <v>2</v>
      </c>
      <c r="N73">
        <v>0</v>
      </c>
      <c r="O73" t="s">
        <v>17</v>
      </c>
      <c r="P73">
        <v>42</v>
      </c>
      <c r="Q73" t="s">
        <v>0</v>
      </c>
      <c r="R73">
        <v>7201</v>
      </c>
      <c r="S73" t="s">
        <v>152</v>
      </c>
      <c r="T73">
        <v>5</v>
      </c>
      <c r="U73" t="s">
        <v>153</v>
      </c>
      <c r="V73">
        <v>107</v>
      </c>
      <c r="W73" t="s">
        <v>151</v>
      </c>
      <c r="X73">
        <v>597378</v>
      </c>
      <c r="Y73" t="s">
        <v>1</v>
      </c>
      <c r="Z73" t="s">
        <v>449</v>
      </c>
      <c r="AA73" t="s">
        <v>5</v>
      </c>
      <c r="AB73">
        <v>1</v>
      </c>
      <c r="AC73" t="s">
        <v>4</v>
      </c>
      <c r="AD73">
        <v>0</v>
      </c>
    </row>
    <row r="74" spans="1:30" x14ac:dyDescent="0.25">
      <c r="A74" t="str">
        <f t="shared" si="1"/>
        <v>feynman_I_27_6_23654</v>
      </c>
      <c r="B74" t="s">
        <v>60</v>
      </c>
      <c r="C74" t="s">
        <v>189</v>
      </c>
      <c r="D74">
        <v>7200</v>
      </c>
      <c r="E74" t="s">
        <v>190</v>
      </c>
      <c r="F74">
        <v>1000000</v>
      </c>
      <c r="G74" t="s">
        <v>191</v>
      </c>
      <c r="H74">
        <v>23654</v>
      </c>
      <c r="I74" t="s">
        <v>192</v>
      </c>
      <c r="J74">
        <v>1E-3</v>
      </c>
      <c r="K74" t="s">
        <v>3</v>
      </c>
      <c r="L74">
        <v>1</v>
      </c>
      <c r="M74" t="s">
        <v>2</v>
      </c>
      <c r="N74">
        <v>0</v>
      </c>
      <c r="O74" t="s">
        <v>17</v>
      </c>
      <c r="P74">
        <v>14</v>
      </c>
      <c r="Q74" t="s">
        <v>0</v>
      </c>
      <c r="R74">
        <v>16.2</v>
      </c>
      <c r="S74" t="s">
        <v>152</v>
      </c>
      <c r="T74">
        <v>1</v>
      </c>
      <c r="U74" t="s">
        <v>153</v>
      </c>
      <c r="V74">
        <v>5</v>
      </c>
      <c r="W74" t="s">
        <v>151</v>
      </c>
      <c r="X74">
        <v>2891</v>
      </c>
      <c r="Y74" t="s">
        <v>1</v>
      </c>
      <c r="Z74" t="s">
        <v>278</v>
      </c>
      <c r="AA74" t="s">
        <v>5</v>
      </c>
      <c r="AB74">
        <v>1</v>
      </c>
      <c r="AC74" t="s">
        <v>4</v>
      </c>
      <c r="AD74">
        <v>0</v>
      </c>
    </row>
    <row r="75" spans="1:30" x14ac:dyDescent="0.25">
      <c r="A75" t="str">
        <f t="shared" si="1"/>
        <v>feynman_I_6_2_23654</v>
      </c>
      <c r="B75" t="s">
        <v>44</v>
      </c>
      <c r="C75" t="s">
        <v>189</v>
      </c>
      <c r="D75">
        <v>7200</v>
      </c>
      <c r="E75" t="s">
        <v>190</v>
      </c>
      <c r="F75">
        <v>1000000</v>
      </c>
      <c r="G75" t="s">
        <v>191</v>
      </c>
      <c r="H75">
        <v>23654</v>
      </c>
      <c r="I75" t="s">
        <v>192</v>
      </c>
      <c r="J75">
        <v>1E-3</v>
      </c>
      <c r="K75" t="s">
        <v>3</v>
      </c>
      <c r="L75">
        <v>0.99505129999999997</v>
      </c>
      <c r="M75" t="s">
        <v>2</v>
      </c>
      <c r="N75">
        <v>2.9987E-3</v>
      </c>
      <c r="O75" t="s">
        <v>17</v>
      </c>
      <c r="P75">
        <v>25</v>
      </c>
      <c r="Q75" t="s">
        <v>0</v>
      </c>
      <c r="R75">
        <v>7200.4</v>
      </c>
      <c r="S75" t="s">
        <v>152</v>
      </c>
      <c r="T75">
        <v>21</v>
      </c>
      <c r="U75" t="s">
        <v>153</v>
      </c>
      <c r="V75">
        <v>1222</v>
      </c>
      <c r="W75" t="s">
        <v>151</v>
      </c>
      <c r="X75">
        <v>855000</v>
      </c>
      <c r="Y75" t="s">
        <v>1</v>
      </c>
      <c r="Z75" t="s">
        <v>450</v>
      </c>
      <c r="AA75" t="s">
        <v>5</v>
      </c>
      <c r="AB75">
        <v>0.99504490000000001</v>
      </c>
      <c r="AC75" t="s">
        <v>4</v>
      </c>
      <c r="AD75">
        <v>2.9957999999999999E-3</v>
      </c>
    </row>
    <row r="76" spans="1:30" x14ac:dyDescent="0.25">
      <c r="A76" t="str">
        <f t="shared" si="1"/>
        <v>feynman_test_7_23654</v>
      </c>
      <c r="B76" t="s">
        <v>118</v>
      </c>
      <c r="C76" t="s">
        <v>189</v>
      </c>
      <c r="D76">
        <v>7200</v>
      </c>
      <c r="E76" t="s">
        <v>190</v>
      </c>
      <c r="F76">
        <v>1000000</v>
      </c>
      <c r="G76" t="s">
        <v>191</v>
      </c>
      <c r="H76">
        <v>23654</v>
      </c>
      <c r="I76" t="s">
        <v>192</v>
      </c>
      <c r="J76">
        <v>1E-3</v>
      </c>
      <c r="K76" t="s">
        <v>3</v>
      </c>
      <c r="L76">
        <v>0.99957689999999999</v>
      </c>
      <c r="M76" t="s">
        <v>2</v>
      </c>
      <c r="N76">
        <v>2.5352099999999999E-2</v>
      </c>
      <c r="O76" t="s">
        <v>17</v>
      </c>
      <c r="P76">
        <v>22</v>
      </c>
      <c r="Q76" t="s">
        <v>0</v>
      </c>
      <c r="R76">
        <v>7200.9</v>
      </c>
      <c r="S76" t="s">
        <v>152</v>
      </c>
      <c r="T76">
        <v>8</v>
      </c>
      <c r="U76" t="s">
        <v>153</v>
      </c>
      <c r="V76">
        <v>950</v>
      </c>
      <c r="W76" t="s">
        <v>151</v>
      </c>
      <c r="X76">
        <v>726603</v>
      </c>
      <c r="Y76" t="s">
        <v>1</v>
      </c>
      <c r="Z76" t="e" cm="1">
        <f t="array" aca="1" ref="Z76" ca="1">-0.1119882801172+(2.9511730984431*pow((v0*V1),0.5))+(((-0.0922711387227*V2)*pow(V3,2))*pow(V4,-2))</f>
        <v>#NAME?</v>
      </c>
      <c r="AA76" t="s">
        <v>5</v>
      </c>
      <c r="AB76">
        <v>0.9995887</v>
      </c>
      <c r="AC76" t="s">
        <v>4</v>
      </c>
      <c r="AD76">
        <v>2.50954E-2</v>
      </c>
    </row>
    <row r="77" spans="1:30" x14ac:dyDescent="0.25">
      <c r="A77" t="str">
        <f t="shared" si="1"/>
        <v>feynman_II_2_42_23654</v>
      </c>
      <c r="B77" t="s">
        <v>127</v>
      </c>
      <c r="C77" t="s">
        <v>189</v>
      </c>
      <c r="D77">
        <v>7200</v>
      </c>
      <c r="E77" t="s">
        <v>190</v>
      </c>
      <c r="F77">
        <v>1000000</v>
      </c>
      <c r="G77" t="s">
        <v>191</v>
      </c>
      <c r="H77">
        <v>23654</v>
      </c>
      <c r="I77" t="s">
        <v>192</v>
      </c>
      <c r="J77">
        <v>1E-3</v>
      </c>
      <c r="K77" t="s">
        <v>3</v>
      </c>
      <c r="L77">
        <v>0.98671540000000002</v>
      </c>
      <c r="M77" t="s">
        <v>2</v>
      </c>
      <c r="N77">
        <v>0.86621579999999998</v>
      </c>
      <c r="O77" t="s">
        <v>17</v>
      </c>
      <c r="P77">
        <v>235</v>
      </c>
      <c r="Q77" t="s">
        <v>0</v>
      </c>
      <c r="R77">
        <v>7202</v>
      </c>
      <c r="S77" t="s">
        <v>152</v>
      </c>
      <c r="T77">
        <v>5</v>
      </c>
      <c r="U77" t="s">
        <v>153</v>
      </c>
      <c r="V77">
        <v>87</v>
      </c>
      <c r="W77" t="s">
        <v>151</v>
      </c>
      <c r="X77">
        <v>562558</v>
      </c>
      <c r="Y77" t="s">
        <v>1</v>
      </c>
      <c r="Z77" t="e" cm="1">
        <f t="array" aca="1" ref="Z77" ca="1">-2.1676823089289+(-0.1753264058387*V3)+((2.7610748614709*pow((((V1+(V1*pow((-0.5+v0),-1)))+(V4*pow(v0,-1)))+SIN((((((1*pow(v0,-1))*pow(V4,-1))+((-1*V1)*pow(V4,-1)))+((V4*pow(v0,-1))*pow(V1,-1)))+(((-1*pow(v0,-1))*pow(V2,-1))*pow(V4,-1))))),-1))*pow((((V4+(V1*pow(v0,-1)))+(V2*V3))+((-1*V3)*SIN(((1+(V2*SIN(pow(V4,-1))))+((V4*pow(v0,-1))*pow(V2,-1)))))),1))+((((-1.9403785249344*V1)*pow(V2,-1))*pow((((V2+(V1*V3))+((-1*V1)*pow(v0,-1)))+(((pow(v0,1)*pow(V2,1))*pow(V4,-1))*SIN((((1+((0.5*V1)*pow(V4,-1)))+((-1*V2)*pow(V4,-1)))+((V4*pow(v0,-1))*pow(V2,-1)))))),1))*pow(((((((V1*pow(v0,-1))+(V1*pow(V3,-1)))+((3.1415926535898*V4)*pow(v0,-1)))+((V1*pow(v0,-1))*pow(V2,-1)))+((V4*pow(v0,-1))*pow(V2,-1)))+SIN(((pow(v0,-1)+(V1*pow(V4,-1)))+((V4*pow(v0,-1))*pow(V1,-1))))),-1))</f>
        <v>#NAME?</v>
      </c>
      <c r="AA77" t="s">
        <v>5</v>
      </c>
      <c r="AB77">
        <v>0.98647309999999999</v>
      </c>
      <c r="AC77" t="s">
        <v>4</v>
      </c>
      <c r="AD77">
        <v>0.87053939999999996</v>
      </c>
    </row>
    <row r="78" spans="1:30" x14ac:dyDescent="0.25">
      <c r="A78" t="str">
        <f t="shared" si="1"/>
        <v>feynman_test_19_23654</v>
      </c>
      <c r="B78" t="s">
        <v>139</v>
      </c>
      <c r="C78" t="s">
        <v>189</v>
      </c>
      <c r="D78">
        <v>7200</v>
      </c>
      <c r="E78" t="s">
        <v>190</v>
      </c>
      <c r="F78">
        <v>1000000</v>
      </c>
      <c r="G78" t="s">
        <v>191</v>
      </c>
      <c r="H78">
        <v>23654</v>
      </c>
      <c r="I78" t="s">
        <v>192</v>
      </c>
      <c r="J78">
        <v>1E-3</v>
      </c>
      <c r="K78" t="s">
        <v>3</v>
      </c>
      <c r="L78">
        <v>1</v>
      </c>
      <c r="M78" t="s">
        <v>2</v>
      </c>
      <c r="N78">
        <v>0</v>
      </c>
      <c r="O78" t="s">
        <v>17</v>
      </c>
      <c r="P78">
        <v>48</v>
      </c>
      <c r="Q78" t="s">
        <v>0</v>
      </c>
      <c r="R78">
        <v>146.19999999999999</v>
      </c>
      <c r="S78" t="s">
        <v>152</v>
      </c>
      <c r="T78">
        <v>1</v>
      </c>
      <c r="U78" t="s">
        <v>153</v>
      </c>
      <c r="V78">
        <v>10</v>
      </c>
      <c r="W78" t="s">
        <v>151</v>
      </c>
      <c r="X78">
        <v>18620</v>
      </c>
      <c r="Y78" t="s">
        <v>1</v>
      </c>
      <c r="Z78" t="s">
        <v>451</v>
      </c>
      <c r="AA78" t="s">
        <v>5</v>
      </c>
      <c r="AB78">
        <v>1</v>
      </c>
      <c r="AC78" t="s">
        <v>4</v>
      </c>
      <c r="AD78">
        <v>0</v>
      </c>
    </row>
    <row r="79" spans="1:30" x14ac:dyDescent="0.25">
      <c r="A79" t="str">
        <f t="shared" si="1"/>
        <v>feynman_test_20_23654</v>
      </c>
      <c r="B79" t="s">
        <v>148</v>
      </c>
      <c r="C79" t="s">
        <v>189</v>
      </c>
      <c r="D79">
        <v>7200</v>
      </c>
      <c r="E79" t="s">
        <v>190</v>
      </c>
      <c r="F79">
        <v>1000000</v>
      </c>
      <c r="G79" t="s">
        <v>191</v>
      </c>
      <c r="H79">
        <v>23654</v>
      </c>
      <c r="I79" t="s">
        <v>192</v>
      </c>
      <c r="J79">
        <v>1E-3</v>
      </c>
      <c r="K79" t="s">
        <v>3</v>
      </c>
      <c r="L79">
        <v>-3579.0747403</v>
      </c>
      <c r="M79" t="s">
        <v>2</v>
      </c>
      <c r="N79">
        <v>932.33604649999995</v>
      </c>
      <c r="O79" t="s">
        <v>17</v>
      </c>
      <c r="P79">
        <v>92</v>
      </c>
      <c r="Q79" t="s">
        <v>0</v>
      </c>
      <c r="R79">
        <v>7201.1</v>
      </c>
      <c r="S79" t="s">
        <v>152</v>
      </c>
      <c r="T79">
        <v>7</v>
      </c>
      <c r="U79" t="s">
        <v>153</v>
      </c>
      <c r="V79">
        <v>113</v>
      </c>
      <c r="W79" t="s">
        <v>151</v>
      </c>
      <c r="X79">
        <v>719916</v>
      </c>
      <c r="Y79" t="s">
        <v>1</v>
      </c>
      <c r="Z79" t="s">
        <v>452</v>
      </c>
      <c r="AA79" t="s">
        <v>5</v>
      </c>
      <c r="AB79">
        <v>-2.3423601000000001</v>
      </c>
      <c r="AC79" t="s">
        <v>4</v>
      </c>
      <c r="AD79">
        <v>23.983415999999998</v>
      </c>
    </row>
    <row r="80" spans="1:30" x14ac:dyDescent="0.25">
      <c r="A80" t="str">
        <f t="shared" si="1"/>
        <v>strogatz_bacres2_23654</v>
      </c>
      <c r="B80" t="s">
        <v>22</v>
      </c>
      <c r="C80" t="s">
        <v>189</v>
      </c>
      <c r="D80">
        <v>7200</v>
      </c>
      <c r="E80" t="s">
        <v>190</v>
      </c>
      <c r="F80">
        <v>1000000</v>
      </c>
      <c r="G80" t="s">
        <v>191</v>
      </c>
      <c r="H80">
        <v>23654</v>
      </c>
      <c r="I80" t="s">
        <v>192</v>
      </c>
      <c r="J80">
        <v>1E-3</v>
      </c>
      <c r="K80" t="s">
        <v>3</v>
      </c>
      <c r="L80">
        <v>0.99999400000000005</v>
      </c>
      <c r="M80" t="s">
        <v>2</v>
      </c>
      <c r="N80">
        <v>5.4558999999999996E-3</v>
      </c>
      <c r="O80" t="s">
        <v>17</v>
      </c>
      <c r="P80">
        <v>16</v>
      </c>
      <c r="Q80" t="s">
        <v>0</v>
      </c>
      <c r="R80">
        <v>648.1</v>
      </c>
      <c r="S80" t="s">
        <v>152</v>
      </c>
      <c r="T80">
        <v>8</v>
      </c>
      <c r="U80" t="s">
        <v>153</v>
      </c>
      <c r="V80">
        <v>562</v>
      </c>
      <c r="W80" t="s">
        <v>151</v>
      </c>
      <c r="X80">
        <v>277330</v>
      </c>
      <c r="Y80" t="s">
        <v>1</v>
      </c>
      <c r="Z80" t="s">
        <v>453</v>
      </c>
      <c r="AA80" t="s">
        <v>5</v>
      </c>
      <c r="AB80">
        <v>0.9999981</v>
      </c>
      <c r="AC80" t="s">
        <v>4</v>
      </c>
      <c r="AD80">
        <v>2.8105999999999999E-3</v>
      </c>
    </row>
    <row r="81" spans="1:30" x14ac:dyDescent="0.25">
      <c r="A81" t="str">
        <f t="shared" si="1"/>
        <v>feynman_I_13_12_23654</v>
      </c>
      <c r="B81" t="s">
        <v>128</v>
      </c>
      <c r="C81" t="s">
        <v>189</v>
      </c>
      <c r="D81">
        <v>7200</v>
      </c>
      <c r="E81" t="s">
        <v>190</v>
      </c>
      <c r="F81">
        <v>1000000</v>
      </c>
      <c r="G81" t="s">
        <v>191</v>
      </c>
      <c r="H81">
        <v>23654</v>
      </c>
      <c r="I81" t="s">
        <v>192</v>
      </c>
      <c r="J81">
        <v>1E-3</v>
      </c>
      <c r="K81" t="s">
        <v>3</v>
      </c>
      <c r="L81">
        <v>0.9999768</v>
      </c>
      <c r="M81" t="s">
        <v>2</v>
      </c>
      <c r="N81">
        <v>4.3743999999999998E-2</v>
      </c>
      <c r="O81" t="s">
        <v>17</v>
      </c>
      <c r="P81">
        <v>68</v>
      </c>
      <c r="Q81" t="s">
        <v>0</v>
      </c>
      <c r="R81">
        <v>7201.9</v>
      </c>
      <c r="S81" t="s">
        <v>152</v>
      </c>
      <c r="T81">
        <v>3</v>
      </c>
      <c r="U81" t="s">
        <v>153</v>
      </c>
      <c r="V81">
        <v>190</v>
      </c>
      <c r="W81" t="s">
        <v>151</v>
      </c>
      <c r="X81">
        <v>798899</v>
      </c>
      <c r="Y81" t="s">
        <v>1</v>
      </c>
      <c r="Z81" t="s">
        <v>454</v>
      </c>
      <c r="AA81" t="s">
        <v>5</v>
      </c>
      <c r="AB81">
        <v>0.999977</v>
      </c>
      <c r="AC81" t="s">
        <v>4</v>
      </c>
      <c r="AD81">
        <v>4.3922099999999999E-2</v>
      </c>
    </row>
    <row r="82" spans="1:30" x14ac:dyDescent="0.25">
      <c r="A82" t="str">
        <f t="shared" si="1"/>
        <v>feynman_I_50_26_23654</v>
      </c>
      <c r="B82" t="s">
        <v>105</v>
      </c>
      <c r="C82" t="s">
        <v>189</v>
      </c>
      <c r="D82">
        <v>7200</v>
      </c>
      <c r="E82" t="s">
        <v>190</v>
      </c>
      <c r="F82">
        <v>1000000</v>
      </c>
      <c r="G82" t="s">
        <v>191</v>
      </c>
      <c r="H82">
        <v>23654</v>
      </c>
      <c r="I82" t="s">
        <v>192</v>
      </c>
      <c r="J82">
        <v>1E-3</v>
      </c>
      <c r="K82" t="s">
        <v>3</v>
      </c>
      <c r="L82">
        <v>1</v>
      </c>
      <c r="M82" t="s">
        <v>2</v>
      </c>
      <c r="N82">
        <v>0</v>
      </c>
      <c r="O82" t="s">
        <v>17</v>
      </c>
      <c r="P82">
        <v>28</v>
      </c>
      <c r="Q82" t="s">
        <v>0</v>
      </c>
      <c r="R82">
        <v>931.5</v>
      </c>
      <c r="S82" t="s">
        <v>152</v>
      </c>
      <c r="T82">
        <v>4</v>
      </c>
      <c r="U82" t="s">
        <v>153</v>
      </c>
      <c r="V82">
        <v>32</v>
      </c>
      <c r="W82" t="s">
        <v>151</v>
      </c>
      <c r="X82">
        <v>88050</v>
      </c>
      <c r="Y82" t="s">
        <v>1</v>
      </c>
      <c r="Z82" t="s">
        <v>455</v>
      </c>
      <c r="AA82" t="s">
        <v>5</v>
      </c>
      <c r="AB82">
        <v>1</v>
      </c>
      <c r="AC82" t="s">
        <v>4</v>
      </c>
      <c r="AD82">
        <v>0</v>
      </c>
    </row>
    <row r="83" spans="1:30" x14ac:dyDescent="0.25">
      <c r="A83" t="str">
        <f t="shared" si="1"/>
        <v>feynman_III_10_19_23654</v>
      </c>
      <c r="B83" t="s">
        <v>103</v>
      </c>
      <c r="C83" t="s">
        <v>189</v>
      </c>
      <c r="D83">
        <v>7200</v>
      </c>
      <c r="E83" t="s">
        <v>190</v>
      </c>
      <c r="F83">
        <v>1000000</v>
      </c>
      <c r="G83" t="s">
        <v>191</v>
      </c>
      <c r="H83">
        <v>23654</v>
      </c>
      <c r="I83" t="s">
        <v>192</v>
      </c>
      <c r="J83">
        <v>1E-3</v>
      </c>
      <c r="K83" t="s">
        <v>3</v>
      </c>
      <c r="L83">
        <v>0.9999344</v>
      </c>
      <c r="M83" t="s">
        <v>2</v>
      </c>
      <c r="N83">
        <v>5.8742700000000002E-2</v>
      </c>
      <c r="O83" t="s">
        <v>17</v>
      </c>
      <c r="P83">
        <v>53</v>
      </c>
      <c r="Q83" t="s">
        <v>0</v>
      </c>
      <c r="R83">
        <v>7201</v>
      </c>
      <c r="S83" t="s">
        <v>152</v>
      </c>
      <c r="T83">
        <v>9</v>
      </c>
      <c r="U83" t="s">
        <v>153</v>
      </c>
      <c r="V83">
        <v>306</v>
      </c>
      <c r="W83" t="s">
        <v>151</v>
      </c>
      <c r="X83">
        <v>750121</v>
      </c>
      <c r="Y83" t="s">
        <v>1</v>
      </c>
      <c r="Z83" t="s">
        <v>456</v>
      </c>
      <c r="AA83" t="s">
        <v>5</v>
      </c>
      <c r="AB83">
        <v>0.99993299999999996</v>
      </c>
      <c r="AC83" t="s">
        <v>4</v>
      </c>
      <c r="AD83">
        <v>5.9869499999999999E-2</v>
      </c>
    </row>
    <row r="84" spans="1:30" x14ac:dyDescent="0.25">
      <c r="A84" t="str">
        <f t="shared" si="1"/>
        <v>feynman_I_40_1_23654</v>
      </c>
      <c r="B84" t="s">
        <v>144</v>
      </c>
      <c r="C84" t="s">
        <v>189</v>
      </c>
      <c r="D84">
        <v>7200</v>
      </c>
      <c r="E84" t="s">
        <v>190</v>
      </c>
      <c r="F84">
        <v>1000000</v>
      </c>
      <c r="G84" t="s">
        <v>191</v>
      </c>
      <c r="H84">
        <v>23654</v>
      </c>
      <c r="I84" t="s">
        <v>192</v>
      </c>
      <c r="J84">
        <v>1E-3</v>
      </c>
      <c r="K84" t="s">
        <v>3</v>
      </c>
      <c r="L84">
        <v>0.91481869999999998</v>
      </c>
      <c r="M84" t="s">
        <v>2</v>
      </c>
      <c r="N84">
        <v>0.1907112</v>
      </c>
      <c r="O84" t="s">
        <v>17</v>
      </c>
      <c r="P84">
        <v>48</v>
      </c>
      <c r="Q84" t="s">
        <v>0</v>
      </c>
      <c r="R84">
        <v>7200.7</v>
      </c>
      <c r="S84" t="s">
        <v>152</v>
      </c>
      <c r="T84">
        <v>9</v>
      </c>
      <c r="U84" t="s">
        <v>153</v>
      </c>
      <c r="V84">
        <v>424</v>
      </c>
      <c r="W84" t="s">
        <v>151</v>
      </c>
      <c r="X84">
        <v>931619</v>
      </c>
      <c r="Y84" t="s">
        <v>1</v>
      </c>
      <c r="Z84" t="s">
        <v>457</v>
      </c>
      <c r="AA84" t="s">
        <v>5</v>
      </c>
      <c r="AB84">
        <v>0.93563110000000005</v>
      </c>
      <c r="AC84" t="s">
        <v>4</v>
      </c>
      <c r="AD84">
        <v>0.16447729999999999</v>
      </c>
    </row>
    <row r="85" spans="1:30" x14ac:dyDescent="0.25">
      <c r="A85" t="str">
        <f t="shared" si="1"/>
        <v>feynman_III_9_52_23654</v>
      </c>
      <c r="B85" t="s">
        <v>141</v>
      </c>
      <c r="C85" t="s">
        <v>189</v>
      </c>
      <c r="D85">
        <v>7200</v>
      </c>
      <c r="E85" t="s">
        <v>190</v>
      </c>
      <c r="F85">
        <v>1000000</v>
      </c>
      <c r="G85" t="s">
        <v>191</v>
      </c>
      <c r="H85">
        <v>23654</v>
      </c>
      <c r="I85" t="s">
        <v>192</v>
      </c>
      <c r="J85">
        <v>1E-3</v>
      </c>
      <c r="K85" t="s">
        <v>3</v>
      </c>
      <c r="L85">
        <v>0.99873829999999997</v>
      </c>
      <c r="M85" t="s">
        <v>2</v>
      </c>
      <c r="N85">
        <v>0.50898770000000004</v>
      </c>
      <c r="O85" t="s">
        <v>17</v>
      </c>
      <c r="P85">
        <v>139</v>
      </c>
      <c r="Q85" t="s">
        <v>0</v>
      </c>
      <c r="R85">
        <v>7200.2</v>
      </c>
      <c r="S85" t="s">
        <v>152</v>
      </c>
      <c r="T85">
        <v>4</v>
      </c>
      <c r="U85" t="s">
        <v>153</v>
      </c>
      <c r="V85">
        <v>164</v>
      </c>
      <c r="W85" t="s">
        <v>151</v>
      </c>
      <c r="X85">
        <v>666006</v>
      </c>
      <c r="Y85" t="s">
        <v>1</v>
      </c>
      <c r="Z85" t="s">
        <v>458</v>
      </c>
      <c r="AA85" t="s">
        <v>5</v>
      </c>
      <c r="AB85">
        <v>0.99868789999999996</v>
      </c>
      <c r="AC85" t="s">
        <v>4</v>
      </c>
      <c r="AD85">
        <v>0.52157439999999999</v>
      </c>
    </row>
    <row r="86" spans="1:30" x14ac:dyDescent="0.25">
      <c r="A86" t="str">
        <f t="shared" si="1"/>
        <v>strogatz_predprey1_23654</v>
      </c>
      <c r="B86" t="s">
        <v>31</v>
      </c>
      <c r="C86" t="s">
        <v>189</v>
      </c>
      <c r="D86">
        <v>7200</v>
      </c>
      <c r="E86" t="s">
        <v>190</v>
      </c>
      <c r="F86">
        <v>1000000</v>
      </c>
      <c r="G86" t="s">
        <v>191</v>
      </c>
      <c r="H86">
        <v>23654</v>
      </c>
      <c r="I86" t="s">
        <v>192</v>
      </c>
      <c r="J86">
        <v>1E-3</v>
      </c>
      <c r="K86" t="s">
        <v>3</v>
      </c>
      <c r="L86">
        <v>1</v>
      </c>
      <c r="M86" t="s">
        <v>2</v>
      </c>
      <c r="N86">
        <v>1.674E-4</v>
      </c>
      <c r="O86" t="s">
        <v>17</v>
      </c>
      <c r="P86">
        <v>28</v>
      </c>
      <c r="Q86" t="s">
        <v>0</v>
      </c>
      <c r="R86">
        <v>3081.7</v>
      </c>
      <c r="S86" t="s">
        <v>152</v>
      </c>
      <c r="T86">
        <v>5</v>
      </c>
      <c r="U86" t="s">
        <v>153</v>
      </c>
      <c r="V86">
        <v>1083</v>
      </c>
      <c r="W86" t="s">
        <v>151</v>
      </c>
      <c r="X86">
        <v>1000300</v>
      </c>
      <c r="Y86" t="s">
        <v>1</v>
      </c>
      <c r="Z86" t="s">
        <v>459</v>
      </c>
      <c r="AA86" t="s">
        <v>5</v>
      </c>
      <c r="AB86">
        <v>1</v>
      </c>
      <c r="AC86" t="s">
        <v>4</v>
      </c>
      <c r="AD86">
        <v>1.6259999999999999E-4</v>
      </c>
    </row>
    <row r="87" spans="1:30" x14ac:dyDescent="0.25">
      <c r="A87" t="str">
        <f t="shared" si="1"/>
        <v>feynman_test_1_23654</v>
      </c>
      <c r="B87" t="s">
        <v>147</v>
      </c>
      <c r="C87" t="s">
        <v>189</v>
      </c>
      <c r="D87">
        <v>7200</v>
      </c>
      <c r="E87" t="s">
        <v>190</v>
      </c>
      <c r="F87">
        <v>1000000</v>
      </c>
      <c r="G87" t="s">
        <v>191</v>
      </c>
      <c r="H87">
        <v>23654</v>
      </c>
      <c r="I87" t="s">
        <v>192</v>
      </c>
      <c r="J87">
        <v>1E-3</v>
      </c>
      <c r="K87" t="s">
        <v>3</v>
      </c>
      <c r="L87">
        <v>0.99999470000000001</v>
      </c>
      <c r="M87" t="s">
        <v>2</v>
      </c>
      <c r="N87">
        <v>2.73855E-2</v>
      </c>
      <c r="O87" t="s">
        <v>17</v>
      </c>
      <c r="P87">
        <v>70</v>
      </c>
      <c r="Q87" t="s">
        <v>0</v>
      </c>
      <c r="R87">
        <v>7201.4</v>
      </c>
      <c r="S87" t="s">
        <v>152</v>
      </c>
      <c r="T87">
        <v>5</v>
      </c>
      <c r="U87" t="s">
        <v>153</v>
      </c>
      <c r="V87">
        <v>178</v>
      </c>
      <c r="W87" t="s">
        <v>151</v>
      </c>
      <c r="X87">
        <v>801821</v>
      </c>
      <c r="Y87" t="s">
        <v>1</v>
      </c>
      <c r="Z87" t="s">
        <v>460</v>
      </c>
      <c r="AA87" t="s">
        <v>5</v>
      </c>
      <c r="AB87">
        <v>0.9999943</v>
      </c>
      <c r="AC87" t="s">
        <v>4</v>
      </c>
      <c r="AD87">
        <v>2.8057499999999999E-2</v>
      </c>
    </row>
    <row r="88" spans="1:30" x14ac:dyDescent="0.25">
      <c r="A88" t="str">
        <f t="shared" si="1"/>
        <v>feynman_I_9_18_23654</v>
      </c>
      <c r="B88" t="s">
        <v>150</v>
      </c>
      <c r="C88" t="s">
        <v>189</v>
      </c>
      <c r="D88">
        <v>7200</v>
      </c>
      <c r="E88" t="s">
        <v>190</v>
      </c>
      <c r="F88">
        <v>1000000</v>
      </c>
      <c r="G88" t="s">
        <v>191</v>
      </c>
      <c r="H88">
        <v>23654</v>
      </c>
      <c r="I88" t="s">
        <v>192</v>
      </c>
      <c r="J88">
        <v>1E-3</v>
      </c>
      <c r="K88" t="s">
        <v>3</v>
      </c>
      <c r="L88">
        <v>0.99314789999999997</v>
      </c>
      <c r="M88" t="s">
        <v>2</v>
      </c>
      <c r="N88">
        <v>1.0180700000000001E-2</v>
      </c>
      <c r="O88" t="s">
        <v>17</v>
      </c>
      <c r="P88">
        <v>30</v>
      </c>
      <c r="Q88" t="s">
        <v>0</v>
      </c>
      <c r="R88">
        <v>7201</v>
      </c>
      <c r="S88" t="s">
        <v>152</v>
      </c>
      <c r="T88">
        <v>4</v>
      </c>
      <c r="U88" t="s">
        <v>153</v>
      </c>
      <c r="V88">
        <v>350</v>
      </c>
      <c r="W88" t="s">
        <v>151</v>
      </c>
      <c r="X88">
        <v>910489</v>
      </c>
      <c r="Y88" t="s">
        <v>1</v>
      </c>
      <c r="Z88" t="s">
        <v>461</v>
      </c>
      <c r="AA88" t="s">
        <v>5</v>
      </c>
      <c r="AB88">
        <v>0.99309320000000001</v>
      </c>
      <c r="AC88" t="s">
        <v>4</v>
      </c>
      <c r="AD88">
        <v>1.0207300000000001E-2</v>
      </c>
    </row>
    <row r="89" spans="1:30" x14ac:dyDescent="0.25">
      <c r="A89" t="str">
        <f t="shared" si="1"/>
        <v>feynman_I_15_3x_23654</v>
      </c>
      <c r="B89" t="s">
        <v>93</v>
      </c>
      <c r="C89" t="s">
        <v>189</v>
      </c>
      <c r="D89">
        <v>7200</v>
      </c>
      <c r="E89" t="s">
        <v>190</v>
      </c>
      <c r="F89">
        <v>1000000</v>
      </c>
      <c r="G89" t="s">
        <v>191</v>
      </c>
      <c r="H89">
        <v>23654</v>
      </c>
      <c r="I89" t="s">
        <v>192</v>
      </c>
      <c r="J89">
        <v>1E-3</v>
      </c>
      <c r="K89" t="s">
        <v>3</v>
      </c>
      <c r="L89">
        <v>0.99969549999999996</v>
      </c>
      <c r="M89" t="s">
        <v>2</v>
      </c>
      <c r="N89">
        <v>2.7969999999999998E-2</v>
      </c>
      <c r="O89" t="s">
        <v>17</v>
      </c>
      <c r="P89">
        <v>22</v>
      </c>
      <c r="Q89" t="s">
        <v>0</v>
      </c>
      <c r="R89">
        <v>7200.8</v>
      </c>
      <c r="S89" t="s">
        <v>152</v>
      </c>
      <c r="T89">
        <v>9</v>
      </c>
      <c r="U89" t="s">
        <v>153</v>
      </c>
      <c r="V89">
        <v>812</v>
      </c>
      <c r="W89" t="s">
        <v>151</v>
      </c>
      <c r="X89">
        <v>677987</v>
      </c>
      <c r="Y89" t="s">
        <v>1</v>
      </c>
      <c r="Z89" t="s">
        <v>462</v>
      </c>
      <c r="AA89" t="s">
        <v>5</v>
      </c>
      <c r="AB89">
        <v>0.9996874</v>
      </c>
      <c r="AC89" t="s">
        <v>4</v>
      </c>
      <c r="AD89">
        <v>2.8405400000000001E-2</v>
      </c>
    </row>
    <row r="90" spans="1:30" x14ac:dyDescent="0.25">
      <c r="A90" t="str">
        <f t="shared" si="1"/>
        <v>feynman_I_48_2_23654</v>
      </c>
      <c r="B90" t="s">
        <v>82</v>
      </c>
      <c r="C90" t="s">
        <v>189</v>
      </c>
      <c r="D90">
        <v>7200</v>
      </c>
      <c r="E90" t="s">
        <v>190</v>
      </c>
      <c r="F90">
        <v>1000000</v>
      </c>
      <c r="G90" t="s">
        <v>191</v>
      </c>
      <c r="H90">
        <v>23654</v>
      </c>
      <c r="I90" t="s">
        <v>192</v>
      </c>
      <c r="J90">
        <v>1E-3</v>
      </c>
      <c r="K90" t="s">
        <v>3</v>
      </c>
      <c r="L90">
        <v>1</v>
      </c>
      <c r="M90" t="s">
        <v>2</v>
      </c>
      <c r="N90">
        <v>7.4798E-3</v>
      </c>
      <c r="O90" t="s">
        <v>17</v>
      </c>
      <c r="P90">
        <v>32</v>
      </c>
      <c r="Q90" t="s">
        <v>0</v>
      </c>
      <c r="R90">
        <v>7200.7</v>
      </c>
      <c r="S90" t="s">
        <v>152</v>
      </c>
      <c r="T90">
        <v>14</v>
      </c>
      <c r="U90" t="s">
        <v>153</v>
      </c>
      <c r="V90">
        <v>671</v>
      </c>
      <c r="W90" t="s">
        <v>151</v>
      </c>
      <c r="X90">
        <v>908390</v>
      </c>
      <c r="Y90" t="s">
        <v>1</v>
      </c>
      <c r="Z90" t="s">
        <v>463</v>
      </c>
      <c r="AA90" t="s">
        <v>5</v>
      </c>
      <c r="AB90">
        <v>1</v>
      </c>
      <c r="AC90" t="s">
        <v>4</v>
      </c>
      <c r="AD90">
        <v>7.6284999999999999E-3</v>
      </c>
    </row>
    <row r="91" spans="1:30" x14ac:dyDescent="0.25">
      <c r="A91" t="str">
        <f t="shared" si="1"/>
        <v>feynman_III_8_54_23654</v>
      </c>
      <c r="B91" t="s">
        <v>74</v>
      </c>
      <c r="C91" t="s">
        <v>189</v>
      </c>
      <c r="D91">
        <v>7200</v>
      </c>
      <c r="E91" t="s">
        <v>190</v>
      </c>
      <c r="F91">
        <v>1000000</v>
      </c>
      <c r="G91" t="s">
        <v>191</v>
      </c>
      <c r="H91">
        <v>23654</v>
      </c>
      <c r="I91" t="s">
        <v>192</v>
      </c>
      <c r="J91">
        <v>1E-3</v>
      </c>
      <c r="K91" t="s">
        <v>3</v>
      </c>
      <c r="L91">
        <v>0.45345039999999998</v>
      </c>
      <c r="M91" t="s">
        <v>2</v>
      </c>
      <c r="N91">
        <v>0.26087939999999998</v>
      </c>
      <c r="O91" t="s">
        <v>17</v>
      </c>
      <c r="P91">
        <v>76</v>
      </c>
      <c r="Q91" t="s">
        <v>0</v>
      </c>
      <c r="R91">
        <v>7200.4</v>
      </c>
      <c r="S91" t="s">
        <v>152</v>
      </c>
      <c r="T91">
        <v>13</v>
      </c>
      <c r="U91" t="s">
        <v>153</v>
      </c>
      <c r="V91">
        <v>266</v>
      </c>
      <c r="W91" t="s">
        <v>151</v>
      </c>
      <c r="X91">
        <v>758392</v>
      </c>
      <c r="Y91" t="s">
        <v>1</v>
      </c>
      <c r="Z91" t="s">
        <v>464</v>
      </c>
      <c r="AA91" t="s">
        <v>5</v>
      </c>
      <c r="AB91">
        <v>0.46880559999999999</v>
      </c>
      <c r="AC91" t="s">
        <v>4</v>
      </c>
      <c r="AD91">
        <v>0.25883919999999999</v>
      </c>
    </row>
    <row r="92" spans="1:30" x14ac:dyDescent="0.25">
      <c r="A92" t="str">
        <f t="shared" si="1"/>
        <v>feynman_test_2_23654</v>
      </c>
      <c r="B92" t="s">
        <v>143</v>
      </c>
      <c r="C92" t="s">
        <v>189</v>
      </c>
      <c r="D92">
        <v>7200</v>
      </c>
      <c r="E92" t="s">
        <v>190</v>
      </c>
      <c r="F92">
        <v>1000000</v>
      </c>
      <c r="G92" t="s">
        <v>191</v>
      </c>
      <c r="H92">
        <v>23654</v>
      </c>
      <c r="I92" t="s">
        <v>192</v>
      </c>
      <c r="J92">
        <v>1E-3</v>
      </c>
      <c r="K92" t="s">
        <v>3</v>
      </c>
      <c r="L92">
        <v>0.29662179999999999</v>
      </c>
      <c r="M92" t="s">
        <v>2</v>
      </c>
      <c r="N92">
        <v>1.6977886</v>
      </c>
      <c r="O92" t="s">
        <v>17</v>
      </c>
      <c r="P92">
        <v>11</v>
      </c>
      <c r="Q92" t="s">
        <v>0</v>
      </c>
      <c r="R92">
        <v>7201.7</v>
      </c>
      <c r="S92" t="s">
        <v>152</v>
      </c>
      <c r="T92">
        <v>9</v>
      </c>
      <c r="U92" t="s">
        <v>153</v>
      </c>
      <c r="V92">
        <v>580</v>
      </c>
      <c r="W92" t="s">
        <v>151</v>
      </c>
      <c r="X92">
        <v>368926</v>
      </c>
      <c r="Y92" t="s">
        <v>1</v>
      </c>
      <c r="Z92" t="s">
        <v>465</v>
      </c>
      <c r="AA92" t="s">
        <v>5</v>
      </c>
      <c r="AB92">
        <v>0.29271799999999998</v>
      </c>
      <c r="AC92" t="s">
        <v>4</v>
      </c>
      <c r="AD92">
        <v>1.6950787</v>
      </c>
    </row>
    <row r="93" spans="1:30" x14ac:dyDescent="0.25">
      <c r="A93" t="str">
        <f t="shared" si="1"/>
        <v>strogatz_predprey2_23654</v>
      </c>
      <c r="B93" t="s">
        <v>28</v>
      </c>
      <c r="C93" t="s">
        <v>189</v>
      </c>
      <c r="D93">
        <v>7200</v>
      </c>
      <c r="E93" t="s">
        <v>190</v>
      </c>
      <c r="F93">
        <v>1000000</v>
      </c>
      <c r="G93" t="s">
        <v>191</v>
      </c>
      <c r="H93">
        <v>23654</v>
      </c>
      <c r="I93" t="s">
        <v>192</v>
      </c>
      <c r="J93">
        <v>1E-3</v>
      </c>
      <c r="K93" t="s">
        <v>3</v>
      </c>
      <c r="L93">
        <v>1</v>
      </c>
      <c r="M93" t="s">
        <v>2</v>
      </c>
      <c r="N93">
        <v>0</v>
      </c>
      <c r="O93" t="s">
        <v>17</v>
      </c>
      <c r="P93">
        <v>18</v>
      </c>
      <c r="Q93" t="s">
        <v>0</v>
      </c>
      <c r="R93">
        <v>40.1</v>
      </c>
      <c r="S93" t="s">
        <v>152</v>
      </c>
      <c r="T93">
        <v>2</v>
      </c>
      <c r="U93" t="s">
        <v>153</v>
      </c>
      <c r="V93">
        <v>16</v>
      </c>
      <c r="W93" t="s">
        <v>151</v>
      </c>
      <c r="X93">
        <v>14442</v>
      </c>
      <c r="Y93" t="s">
        <v>1</v>
      </c>
      <c r="Z93" t="s">
        <v>466</v>
      </c>
      <c r="AA93" t="s">
        <v>5</v>
      </c>
      <c r="AB93">
        <v>1</v>
      </c>
      <c r="AC93" t="s">
        <v>4</v>
      </c>
      <c r="AD93">
        <v>0</v>
      </c>
    </row>
    <row r="94" spans="1:30" x14ac:dyDescent="0.25">
      <c r="A94" t="str">
        <f t="shared" si="1"/>
        <v>feynman_I_41_16_23654</v>
      </c>
      <c r="B94" t="s">
        <v>125</v>
      </c>
      <c r="C94" t="s">
        <v>189</v>
      </c>
      <c r="D94">
        <v>7200</v>
      </c>
      <c r="E94" t="s">
        <v>190</v>
      </c>
      <c r="F94">
        <v>1000000</v>
      </c>
      <c r="G94" t="s">
        <v>191</v>
      </c>
      <c r="H94">
        <v>23654</v>
      </c>
      <c r="I94" t="s">
        <v>192</v>
      </c>
      <c r="J94">
        <v>1E-3</v>
      </c>
      <c r="K94" t="s">
        <v>3</v>
      </c>
      <c r="L94">
        <v>0.99982879999999996</v>
      </c>
      <c r="M94" t="s">
        <v>2</v>
      </c>
      <c r="N94">
        <v>3.8788599999999999E-2</v>
      </c>
      <c r="O94" t="s">
        <v>17</v>
      </c>
      <c r="P94">
        <v>40</v>
      </c>
      <c r="Q94" t="s">
        <v>0</v>
      </c>
      <c r="R94">
        <v>7200.5</v>
      </c>
      <c r="S94" t="s">
        <v>152</v>
      </c>
      <c r="T94">
        <v>4</v>
      </c>
      <c r="U94" t="s">
        <v>153</v>
      </c>
      <c r="V94">
        <v>404</v>
      </c>
      <c r="W94" t="s">
        <v>151</v>
      </c>
      <c r="X94">
        <v>972308</v>
      </c>
      <c r="Y94" t="s">
        <v>1</v>
      </c>
      <c r="Z94" t="s">
        <v>467</v>
      </c>
      <c r="AA94" t="s">
        <v>5</v>
      </c>
      <c r="AB94">
        <v>0.99982669999999996</v>
      </c>
      <c r="AC94" t="s">
        <v>4</v>
      </c>
      <c r="AD94">
        <v>4.0226100000000001E-2</v>
      </c>
    </row>
    <row r="95" spans="1:30" x14ac:dyDescent="0.25">
      <c r="A95" t="str">
        <f t="shared" si="1"/>
        <v>feynman_test_11_23654</v>
      </c>
      <c r="B95" t="s">
        <v>91</v>
      </c>
      <c r="C95" t="s">
        <v>189</v>
      </c>
      <c r="D95">
        <v>7200</v>
      </c>
      <c r="E95" t="s">
        <v>190</v>
      </c>
      <c r="F95">
        <v>1000000</v>
      </c>
      <c r="G95" t="s">
        <v>191</v>
      </c>
      <c r="H95">
        <v>23654</v>
      </c>
      <c r="I95" t="s">
        <v>192</v>
      </c>
      <c r="J95">
        <v>1E-3</v>
      </c>
      <c r="K95" t="s">
        <v>3</v>
      </c>
      <c r="L95">
        <v>0.99329489999999998</v>
      </c>
      <c r="M95" t="s">
        <v>2</v>
      </c>
      <c r="N95">
        <v>8.5283800000000007E-2</v>
      </c>
      <c r="O95" t="s">
        <v>17</v>
      </c>
      <c r="P95">
        <v>48</v>
      </c>
      <c r="Q95" t="s">
        <v>0</v>
      </c>
      <c r="R95">
        <v>7201.3</v>
      </c>
      <c r="S95" t="s">
        <v>152</v>
      </c>
      <c r="T95">
        <v>6</v>
      </c>
      <c r="U95" t="s">
        <v>153</v>
      </c>
      <c r="V95">
        <v>476</v>
      </c>
      <c r="W95" t="s">
        <v>151</v>
      </c>
      <c r="X95">
        <v>827684</v>
      </c>
      <c r="Y95" t="s">
        <v>1</v>
      </c>
      <c r="Z95" t="s">
        <v>468</v>
      </c>
      <c r="AA95" t="s">
        <v>5</v>
      </c>
      <c r="AB95">
        <v>0.99311769999999999</v>
      </c>
      <c r="AC95" t="s">
        <v>4</v>
      </c>
      <c r="AD95">
        <v>8.5046200000000002E-2</v>
      </c>
    </row>
    <row r="96" spans="1:30" x14ac:dyDescent="0.25">
      <c r="A96" t="str">
        <f t="shared" si="1"/>
        <v>feynman_I_16_6_23654</v>
      </c>
      <c r="B96" t="s">
        <v>50</v>
      </c>
      <c r="C96" t="s">
        <v>189</v>
      </c>
      <c r="D96">
        <v>7200</v>
      </c>
      <c r="E96" t="s">
        <v>190</v>
      </c>
      <c r="F96">
        <v>1000000</v>
      </c>
      <c r="G96" t="s">
        <v>191</v>
      </c>
      <c r="H96">
        <v>23654</v>
      </c>
      <c r="I96" t="s">
        <v>192</v>
      </c>
      <c r="J96">
        <v>1E-3</v>
      </c>
      <c r="K96" t="s">
        <v>3</v>
      </c>
      <c r="L96">
        <v>0.99963919999999995</v>
      </c>
      <c r="M96" t="s">
        <v>2</v>
      </c>
      <c r="N96">
        <v>2.16305E-2</v>
      </c>
      <c r="O96" t="s">
        <v>17</v>
      </c>
      <c r="P96">
        <v>26</v>
      </c>
      <c r="Q96" t="s">
        <v>0</v>
      </c>
      <c r="R96">
        <v>7200.7</v>
      </c>
      <c r="S96" t="s">
        <v>152</v>
      </c>
      <c r="T96">
        <v>10</v>
      </c>
      <c r="U96" t="s">
        <v>153</v>
      </c>
      <c r="V96">
        <v>829</v>
      </c>
      <c r="W96" t="s">
        <v>151</v>
      </c>
      <c r="X96">
        <v>954145</v>
      </c>
      <c r="Y96" t="s">
        <v>1</v>
      </c>
      <c r="Z96" t="s">
        <v>469</v>
      </c>
      <c r="AA96" t="s">
        <v>5</v>
      </c>
      <c r="AB96">
        <v>0.99966140000000003</v>
      </c>
      <c r="AC96" t="s">
        <v>4</v>
      </c>
      <c r="AD96">
        <v>2.09757E-2</v>
      </c>
    </row>
    <row r="97" spans="1:30" x14ac:dyDescent="0.25">
      <c r="A97" t="str">
        <f t="shared" si="1"/>
        <v>feynman_test_16_23654</v>
      </c>
      <c r="B97" t="s">
        <v>140</v>
      </c>
      <c r="C97" t="s">
        <v>189</v>
      </c>
      <c r="D97">
        <v>7200</v>
      </c>
      <c r="E97" t="s">
        <v>190</v>
      </c>
      <c r="F97">
        <v>1000000</v>
      </c>
      <c r="G97" t="s">
        <v>191</v>
      </c>
      <c r="H97">
        <v>23654</v>
      </c>
      <c r="I97" t="s">
        <v>192</v>
      </c>
      <c r="J97">
        <v>1E-3</v>
      </c>
      <c r="K97" t="s">
        <v>3</v>
      </c>
      <c r="L97">
        <v>0.99960930000000003</v>
      </c>
      <c r="M97" t="s">
        <v>2</v>
      </c>
      <c r="N97">
        <v>0.56497839999999999</v>
      </c>
      <c r="O97" t="s">
        <v>17</v>
      </c>
      <c r="P97">
        <v>148</v>
      </c>
      <c r="Q97" t="s">
        <v>0</v>
      </c>
      <c r="R97">
        <v>7201.6</v>
      </c>
      <c r="S97" t="s">
        <v>152</v>
      </c>
      <c r="T97">
        <v>11</v>
      </c>
      <c r="U97" t="s">
        <v>153</v>
      </c>
      <c r="V97">
        <v>135</v>
      </c>
      <c r="W97" t="s">
        <v>151</v>
      </c>
      <c r="X97">
        <v>590480</v>
      </c>
      <c r="Y97" t="s">
        <v>1</v>
      </c>
      <c r="Z97" t="s">
        <v>470</v>
      </c>
      <c r="AA97" t="s">
        <v>5</v>
      </c>
      <c r="AB97">
        <v>0.99959929999999997</v>
      </c>
      <c r="AC97" t="s">
        <v>4</v>
      </c>
      <c r="AD97">
        <v>0.56971130000000003</v>
      </c>
    </row>
    <row r="98" spans="1:30" x14ac:dyDescent="0.25">
      <c r="A98" t="str">
        <f t="shared" si="1"/>
        <v>feynman_II_13_34_23654</v>
      </c>
      <c r="B98" t="s">
        <v>56</v>
      </c>
      <c r="C98" t="s">
        <v>189</v>
      </c>
      <c r="D98">
        <v>7200</v>
      </c>
      <c r="E98" t="s">
        <v>190</v>
      </c>
      <c r="F98">
        <v>1000000</v>
      </c>
      <c r="G98" t="s">
        <v>191</v>
      </c>
      <c r="H98">
        <v>23654</v>
      </c>
      <c r="I98" t="s">
        <v>192</v>
      </c>
      <c r="J98">
        <v>1E-3</v>
      </c>
      <c r="K98" t="s">
        <v>3</v>
      </c>
      <c r="L98">
        <v>0.99998509999999996</v>
      </c>
      <c r="M98" t="s">
        <v>2</v>
      </c>
      <c r="N98">
        <v>8.1224000000000001E-3</v>
      </c>
      <c r="O98" t="s">
        <v>17</v>
      </c>
      <c r="P98">
        <v>21</v>
      </c>
      <c r="Q98" t="s">
        <v>0</v>
      </c>
      <c r="R98">
        <v>7201.4</v>
      </c>
      <c r="S98" t="s">
        <v>152</v>
      </c>
      <c r="T98">
        <v>9</v>
      </c>
      <c r="U98" t="s">
        <v>153</v>
      </c>
      <c r="V98">
        <v>780</v>
      </c>
      <c r="W98" t="s">
        <v>151</v>
      </c>
      <c r="X98">
        <v>870888</v>
      </c>
      <c r="Y98" t="s">
        <v>1</v>
      </c>
      <c r="Z98" t="s">
        <v>471</v>
      </c>
      <c r="AA98" t="s">
        <v>5</v>
      </c>
      <c r="AB98">
        <v>0.99998500000000001</v>
      </c>
      <c r="AC98" t="s">
        <v>4</v>
      </c>
      <c r="AD98">
        <v>8.1744999999999995E-3</v>
      </c>
    </row>
    <row r="99" spans="1:30" x14ac:dyDescent="0.25">
      <c r="A99" t="str">
        <f t="shared" si="1"/>
        <v>feynman_I_6_2b_23654</v>
      </c>
      <c r="B99" t="s">
        <v>65</v>
      </c>
      <c r="C99" t="s">
        <v>189</v>
      </c>
      <c r="D99">
        <v>7200</v>
      </c>
      <c r="E99" t="s">
        <v>190</v>
      </c>
      <c r="F99">
        <v>1000000</v>
      </c>
      <c r="G99" t="s">
        <v>191</v>
      </c>
      <c r="H99">
        <v>23654</v>
      </c>
      <c r="I99" t="s">
        <v>192</v>
      </c>
      <c r="J99">
        <v>1E-3</v>
      </c>
      <c r="K99" t="s">
        <v>3</v>
      </c>
      <c r="L99">
        <v>0.68324050000000003</v>
      </c>
      <c r="M99" t="s">
        <v>2</v>
      </c>
      <c r="N99">
        <v>3.38105E-2</v>
      </c>
      <c r="O99" t="s">
        <v>17</v>
      </c>
      <c r="P99">
        <v>7</v>
      </c>
      <c r="Q99" t="s">
        <v>0</v>
      </c>
      <c r="R99">
        <v>3422.9</v>
      </c>
      <c r="S99" t="s">
        <v>152</v>
      </c>
      <c r="T99">
        <v>9</v>
      </c>
      <c r="U99" t="s">
        <v>153</v>
      </c>
      <c r="V99">
        <v>188</v>
      </c>
      <c r="W99" t="s">
        <v>151</v>
      </c>
      <c r="X99">
        <v>41773</v>
      </c>
      <c r="Y99" t="s">
        <v>1</v>
      </c>
      <c r="Z99" t="s">
        <v>472</v>
      </c>
      <c r="AA99" t="s">
        <v>5</v>
      </c>
      <c r="AB99">
        <v>0.67663910000000005</v>
      </c>
      <c r="AC99" t="s">
        <v>4</v>
      </c>
      <c r="AD99">
        <v>3.4221700000000001E-2</v>
      </c>
    </row>
    <row r="100" spans="1:30" x14ac:dyDescent="0.25">
      <c r="A100" t="str">
        <f t="shared" si="1"/>
        <v>feynman_I_34_14_23654</v>
      </c>
      <c r="B100" t="s">
        <v>51</v>
      </c>
      <c r="C100" t="s">
        <v>189</v>
      </c>
      <c r="D100">
        <v>7200</v>
      </c>
      <c r="E100" t="s">
        <v>190</v>
      </c>
      <c r="F100">
        <v>1000000</v>
      </c>
      <c r="G100" t="s">
        <v>191</v>
      </c>
      <c r="H100">
        <v>23654</v>
      </c>
      <c r="I100" t="s">
        <v>192</v>
      </c>
      <c r="J100">
        <v>1E-3</v>
      </c>
      <c r="K100" t="s">
        <v>3</v>
      </c>
      <c r="L100">
        <v>0.99999360000000004</v>
      </c>
      <c r="M100" t="s">
        <v>2</v>
      </c>
      <c r="N100">
        <v>4.1070999999999998E-3</v>
      </c>
      <c r="O100" t="s">
        <v>17</v>
      </c>
      <c r="P100">
        <v>18</v>
      </c>
      <c r="Q100" t="s">
        <v>0</v>
      </c>
      <c r="R100">
        <v>7201.6</v>
      </c>
      <c r="S100" t="s">
        <v>152</v>
      </c>
      <c r="T100">
        <v>7</v>
      </c>
      <c r="U100" t="s">
        <v>153</v>
      </c>
      <c r="V100">
        <v>740</v>
      </c>
      <c r="W100" t="s">
        <v>151</v>
      </c>
      <c r="X100">
        <v>614253</v>
      </c>
      <c r="Y100" t="s">
        <v>1</v>
      </c>
      <c r="Z100" t="s">
        <v>473</v>
      </c>
      <c r="AA100" t="s">
        <v>5</v>
      </c>
      <c r="AB100">
        <v>0.99999309999999997</v>
      </c>
      <c r="AC100" t="s">
        <v>4</v>
      </c>
      <c r="AD100">
        <v>4.2544999999999996E-3</v>
      </c>
    </row>
    <row r="101" spans="1:30" x14ac:dyDescent="0.25">
      <c r="A101" t="str">
        <f t="shared" si="1"/>
        <v>feynman_I_32_17_23654</v>
      </c>
      <c r="B101" t="s">
        <v>137</v>
      </c>
      <c r="C101" t="s">
        <v>189</v>
      </c>
      <c r="D101">
        <v>7200</v>
      </c>
      <c r="E101" t="s">
        <v>190</v>
      </c>
      <c r="F101">
        <v>1000000</v>
      </c>
      <c r="G101" t="s">
        <v>191</v>
      </c>
      <c r="H101">
        <v>23654</v>
      </c>
      <c r="I101" t="s">
        <v>192</v>
      </c>
      <c r="J101">
        <v>1E-3</v>
      </c>
      <c r="K101" t="s">
        <v>3</v>
      </c>
      <c r="L101">
        <v>0.99931460000000005</v>
      </c>
      <c r="M101" t="s">
        <v>2</v>
      </c>
      <c r="N101">
        <v>0.1225415</v>
      </c>
      <c r="O101" t="s">
        <v>17</v>
      </c>
      <c r="P101">
        <v>72</v>
      </c>
      <c r="Q101" t="s">
        <v>0</v>
      </c>
      <c r="R101">
        <v>7201</v>
      </c>
      <c r="S101" t="s">
        <v>152</v>
      </c>
      <c r="T101">
        <v>6</v>
      </c>
      <c r="U101" t="s">
        <v>153</v>
      </c>
      <c r="V101">
        <v>169</v>
      </c>
      <c r="W101" t="s">
        <v>151</v>
      </c>
      <c r="X101">
        <v>805579</v>
      </c>
      <c r="Y101" t="s">
        <v>1</v>
      </c>
      <c r="Z101" t="s">
        <v>474</v>
      </c>
      <c r="AA101" t="s">
        <v>5</v>
      </c>
      <c r="AB101">
        <v>0.99930640000000004</v>
      </c>
      <c r="AC101" t="s">
        <v>4</v>
      </c>
      <c r="AD101">
        <v>0.1227758</v>
      </c>
    </row>
    <row r="102" spans="1:30" x14ac:dyDescent="0.25">
      <c r="A102" t="str">
        <f t="shared" si="1"/>
        <v>feynman_test_3_23654</v>
      </c>
      <c r="B102" t="s">
        <v>86</v>
      </c>
      <c r="C102" t="s">
        <v>189</v>
      </c>
      <c r="D102">
        <v>7200</v>
      </c>
      <c r="E102" t="s">
        <v>190</v>
      </c>
      <c r="F102">
        <v>1000000</v>
      </c>
      <c r="G102" t="s">
        <v>191</v>
      </c>
      <c r="H102">
        <v>23654</v>
      </c>
      <c r="I102" t="s">
        <v>192</v>
      </c>
      <c r="J102">
        <v>1E-3</v>
      </c>
      <c r="K102" t="s">
        <v>3</v>
      </c>
      <c r="L102">
        <v>0.94968779999999997</v>
      </c>
      <c r="M102" t="s">
        <v>2</v>
      </c>
      <c r="N102">
        <v>0.41272940000000002</v>
      </c>
      <c r="O102" t="s">
        <v>17</v>
      </c>
      <c r="P102">
        <v>10</v>
      </c>
      <c r="Q102" t="s">
        <v>0</v>
      </c>
      <c r="R102">
        <v>7202.3</v>
      </c>
      <c r="S102" t="s">
        <v>152</v>
      </c>
      <c r="T102">
        <v>8</v>
      </c>
      <c r="U102" t="s">
        <v>153</v>
      </c>
      <c r="V102">
        <v>294</v>
      </c>
      <c r="W102" t="s">
        <v>151</v>
      </c>
      <c r="X102">
        <v>112354</v>
      </c>
      <c r="Y102" t="s">
        <v>1</v>
      </c>
      <c r="Z102" t="s">
        <v>475</v>
      </c>
      <c r="AA102" t="s">
        <v>5</v>
      </c>
      <c r="AB102">
        <v>0.94904949999999999</v>
      </c>
      <c r="AC102" t="s">
        <v>4</v>
      </c>
      <c r="AD102">
        <v>0.41605700000000001</v>
      </c>
    </row>
    <row r="103" spans="1:30" x14ac:dyDescent="0.25">
      <c r="A103" t="str">
        <f t="shared" si="1"/>
        <v>feynman_test_9_23654</v>
      </c>
      <c r="B103" t="s">
        <v>136</v>
      </c>
      <c r="C103" t="s">
        <v>189</v>
      </c>
      <c r="D103">
        <v>7200</v>
      </c>
      <c r="E103" t="s">
        <v>190</v>
      </c>
      <c r="F103">
        <v>1000000</v>
      </c>
      <c r="G103" t="s">
        <v>191</v>
      </c>
      <c r="H103">
        <v>23654</v>
      </c>
      <c r="I103" t="s">
        <v>192</v>
      </c>
      <c r="J103">
        <v>1E-3</v>
      </c>
      <c r="K103" t="s">
        <v>3</v>
      </c>
      <c r="L103">
        <v>0.99359299999999995</v>
      </c>
      <c r="M103" t="s">
        <v>2</v>
      </c>
      <c r="N103">
        <v>545.49261820000004</v>
      </c>
      <c r="O103" t="s">
        <v>17</v>
      </c>
      <c r="P103">
        <v>158</v>
      </c>
      <c r="Q103" t="s">
        <v>0</v>
      </c>
      <c r="R103">
        <v>7202.4</v>
      </c>
      <c r="S103" t="s">
        <v>152</v>
      </c>
      <c r="T103">
        <v>3</v>
      </c>
      <c r="U103" t="s">
        <v>153</v>
      </c>
      <c r="V103">
        <v>76</v>
      </c>
      <c r="W103" t="s">
        <v>151</v>
      </c>
      <c r="X103">
        <v>567221</v>
      </c>
      <c r="Y103" t="s">
        <v>1</v>
      </c>
      <c r="Z103" t="e" cm="1">
        <f t="array" aca="1" ref="Z103" ca="1">-3.1435897294703+(((68.5448874104682*pow(V1,-5))*pow(V4,-4))*pow((v0+((0.2414530070052*v0)*V3)),4))+((((0.0159443399863*pow(V1,-5))*pow(V2,4))*pow(V4,-60))*pow((1+(((-1*V2)*pow(v0,2))*pow(V3,-1))),4))+((((-21.710530482609*pow(V1,-5))*pow(V4,-4))*pow((1+(0.3596375654125*V2)),4))*pow(((v0+((0.3666666666666*v0)*V3))+((-0.3333333333333*v0)*V4)),4))+((((-127.231515141625*pow(v0,4))*pow(V1,-8))*pow(V2,-2))*pow(V4,-1))+(((((0.0280649601349*V3)*pow(V1,-5))*pow((1+(0.4598493014642*V2)),4))*pow((((0.5*v0)+(v0*V3))+((-0.25*v0)*V4)),4))*SIN(pow(V4,-4)))+(((((-8.2101432766119*V2)*V4)*pow(v0,4))*pow(V1,-5))*LOG(V3))</f>
        <v>#NAME?</v>
      </c>
      <c r="AA103" t="s">
        <v>5</v>
      </c>
      <c r="AB103">
        <v>0.98856860000000002</v>
      </c>
      <c r="AC103" t="s">
        <v>4</v>
      </c>
      <c r="AD103">
        <v>732.10583710000003</v>
      </c>
    </row>
    <row r="104" spans="1:30" x14ac:dyDescent="0.25">
      <c r="A104" t="str">
        <f t="shared" si="1"/>
        <v>feynman_I_30_3_23654</v>
      </c>
      <c r="B104" t="s">
        <v>64</v>
      </c>
      <c r="C104" t="s">
        <v>189</v>
      </c>
      <c r="D104">
        <v>7200</v>
      </c>
      <c r="E104" t="s">
        <v>190</v>
      </c>
      <c r="F104">
        <v>1000000</v>
      </c>
      <c r="G104" t="s">
        <v>191</v>
      </c>
      <c r="H104">
        <v>23654</v>
      </c>
      <c r="I104" t="s">
        <v>192</v>
      </c>
      <c r="J104">
        <v>1E-3</v>
      </c>
      <c r="K104" t="s">
        <v>3</v>
      </c>
      <c r="L104">
        <v>0.99685550000000001</v>
      </c>
      <c r="M104" t="s">
        <v>2</v>
      </c>
      <c r="N104">
        <v>0.1443564</v>
      </c>
      <c r="O104" t="s">
        <v>17</v>
      </c>
      <c r="P104">
        <v>60</v>
      </c>
      <c r="Q104" t="s">
        <v>0</v>
      </c>
      <c r="R104">
        <v>7200.1</v>
      </c>
      <c r="S104" t="s">
        <v>152</v>
      </c>
      <c r="T104">
        <v>6</v>
      </c>
      <c r="U104" t="s">
        <v>153</v>
      </c>
      <c r="V104">
        <v>429</v>
      </c>
      <c r="W104" t="s">
        <v>151</v>
      </c>
      <c r="X104">
        <v>822518</v>
      </c>
      <c r="Y104" t="s">
        <v>1</v>
      </c>
      <c r="Z104" t="s">
        <v>476</v>
      </c>
      <c r="AA104" t="s">
        <v>5</v>
      </c>
      <c r="AB104">
        <v>0.99694110000000002</v>
      </c>
      <c r="AC104" t="s">
        <v>4</v>
      </c>
      <c r="AD104">
        <v>0.14271039999999999</v>
      </c>
    </row>
    <row r="105" spans="1:30" x14ac:dyDescent="0.25">
      <c r="A105" t="str">
        <f t="shared" si="1"/>
        <v>feynman_I_29_16_23654</v>
      </c>
      <c r="B105" t="s">
        <v>88</v>
      </c>
      <c r="C105" t="s">
        <v>189</v>
      </c>
      <c r="D105">
        <v>7200</v>
      </c>
      <c r="E105" t="s">
        <v>190</v>
      </c>
      <c r="F105">
        <v>1000000</v>
      </c>
      <c r="G105" t="s">
        <v>191</v>
      </c>
      <c r="H105">
        <v>23654</v>
      </c>
      <c r="I105" t="s">
        <v>192</v>
      </c>
      <c r="J105">
        <v>1E-3</v>
      </c>
      <c r="K105" t="s">
        <v>3</v>
      </c>
      <c r="L105">
        <v>0.97664910000000005</v>
      </c>
      <c r="M105" t="s">
        <v>2</v>
      </c>
      <c r="N105">
        <v>0.29336279999999998</v>
      </c>
      <c r="O105" t="s">
        <v>17</v>
      </c>
      <c r="P105">
        <v>77</v>
      </c>
      <c r="Q105" t="s">
        <v>0</v>
      </c>
      <c r="R105">
        <v>7201.2</v>
      </c>
      <c r="S105" t="s">
        <v>152</v>
      </c>
      <c r="T105">
        <v>4</v>
      </c>
      <c r="U105" t="s">
        <v>153</v>
      </c>
      <c r="V105">
        <v>266</v>
      </c>
      <c r="W105" t="s">
        <v>151</v>
      </c>
      <c r="X105">
        <v>729635</v>
      </c>
      <c r="Y105" t="s">
        <v>1</v>
      </c>
      <c r="Z105" t="e" cm="1">
        <f t="array" aca="1" ref="Z105" ca="1">-15.1126039894292+(8.2472648577372*pow((v0+V1),0.5))+(-0.8243883708621*pow(V2,-1))+(-0.9951513544507*pow(SIN(((1.4680796106233*V3)*pow(V2,-1))),3))+((10.9488853420951*V1)*pow((1+(pow(v0,1)*pow(V1,2))),-1))+((-0.7937935943327*v0)*pow((((pow(V1,-1)*EXP(V2))*EXP((-1*V3)))+((pow(V1,-1)*EXP((1*V3)))*EXP((-1*V2)))),-1))</f>
        <v>#NAME?</v>
      </c>
      <c r="AA105" t="s">
        <v>5</v>
      </c>
      <c r="AB105">
        <v>0.97646549999999999</v>
      </c>
      <c r="AC105" t="s">
        <v>4</v>
      </c>
      <c r="AD105">
        <v>0.29397879999999998</v>
      </c>
    </row>
    <row r="106" spans="1:30" x14ac:dyDescent="0.25">
      <c r="A106" t="str">
        <f t="shared" si="1"/>
        <v>feynman_test_4_23654</v>
      </c>
      <c r="B106" t="s">
        <v>117</v>
      </c>
      <c r="C106" t="s">
        <v>189</v>
      </c>
      <c r="D106">
        <v>7200</v>
      </c>
      <c r="E106" t="s">
        <v>190</v>
      </c>
      <c r="F106">
        <v>1000000</v>
      </c>
      <c r="G106" t="s">
        <v>191</v>
      </c>
      <c r="H106">
        <v>23654</v>
      </c>
      <c r="I106" t="s">
        <v>192</v>
      </c>
      <c r="J106">
        <v>1E-3</v>
      </c>
      <c r="K106" t="s">
        <v>3</v>
      </c>
      <c r="L106">
        <v>0.99924069999999998</v>
      </c>
      <c r="M106" t="s">
        <v>2</v>
      </c>
      <c r="N106">
        <v>1.3712800000000001E-2</v>
      </c>
      <c r="O106" t="s">
        <v>17</v>
      </c>
      <c r="P106">
        <v>35</v>
      </c>
      <c r="Q106" t="s">
        <v>0</v>
      </c>
      <c r="R106">
        <v>6919.9</v>
      </c>
      <c r="S106" t="s">
        <v>152</v>
      </c>
      <c r="T106">
        <v>3</v>
      </c>
      <c r="U106" t="s">
        <v>153</v>
      </c>
      <c r="V106">
        <v>795</v>
      </c>
      <c r="W106" t="s">
        <v>151</v>
      </c>
      <c r="X106">
        <v>1000534</v>
      </c>
      <c r="Y106" t="s">
        <v>1</v>
      </c>
      <c r="Z106" t="e" cm="1">
        <f t="array" aca="1" ref="Z106" ca="1">-1.4476525503397+(1.3777735427764*COS((((0.5*V3)*pow(v0,-1))*pow(V4,-1))))+(1.4485529385868*pow(((V1*pow(v0,-1))+((-1*V2)*pow(v0,-1))),0.5))</f>
        <v>#NAME?</v>
      </c>
      <c r="AA106" t="s">
        <v>5</v>
      </c>
      <c r="AB106">
        <v>0.99922390000000005</v>
      </c>
      <c r="AC106" t="s">
        <v>4</v>
      </c>
      <c r="AD106">
        <v>1.38522E-2</v>
      </c>
    </row>
    <row r="107" spans="1:30" x14ac:dyDescent="0.25">
      <c r="A107" t="str">
        <f t="shared" si="1"/>
        <v>feynman_test_5_23654</v>
      </c>
      <c r="B107" t="s">
        <v>94</v>
      </c>
      <c r="C107" t="s">
        <v>189</v>
      </c>
      <c r="D107">
        <v>7200</v>
      </c>
      <c r="E107" t="s">
        <v>190</v>
      </c>
      <c r="F107">
        <v>1000000</v>
      </c>
      <c r="G107" t="s">
        <v>191</v>
      </c>
      <c r="H107">
        <v>23654</v>
      </c>
      <c r="I107" t="s">
        <v>192</v>
      </c>
      <c r="J107">
        <v>1E-3</v>
      </c>
      <c r="K107" t="s">
        <v>3</v>
      </c>
      <c r="L107">
        <v>1</v>
      </c>
      <c r="M107" t="s">
        <v>2</v>
      </c>
      <c r="N107">
        <v>0</v>
      </c>
      <c r="O107" t="s">
        <v>17</v>
      </c>
      <c r="P107">
        <v>18</v>
      </c>
      <c r="Q107" t="s">
        <v>0</v>
      </c>
      <c r="R107">
        <v>6794.1</v>
      </c>
      <c r="S107" t="s">
        <v>152</v>
      </c>
      <c r="T107">
        <v>10</v>
      </c>
      <c r="U107" t="s">
        <v>153</v>
      </c>
      <c r="V107">
        <v>534</v>
      </c>
      <c r="W107" t="s">
        <v>151</v>
      </c>
      <c r="X107">
        <v>870420</v>
      </c>
      <c r="Y107" t="s">
        <v>1</v>
      </c>
      <c r="Z107" t="s">
        <v>477</v>
      </c>
      <c r="AA107" t="s">
        <v>5</v>
      </c>
      <c r="AB107">
        <v>1</v>
      </c>
      <c r="AC107" t="s">
        <v>4</v>
      </c>
      <c r="AD107">
        <v>0</v>
      </c>
    </row>
    <row r="108" spans="1:30" x14ac:dyDescent="0.25">
      <c r="A108" t="str">
        <f t="shared" si="1"/>
        <v>feynman_II_6_15a_23654</v>
      </c>
      <c r="B108" t="s">
        <v>142</v>
      </c>
      <c r="C108" t="s">
        <v>189</v>
      </c>
      <c r="D108">
        <v>7200</v>
      </c>
      <c r="E108" t="s">
        <v>190</v>
      </c>
      <c r="F108">
        <v>1000000</v>
      </c>
      <c r="G108" t="s">
        <v>191</v>
      </c>
      <c r="H108">
        <v>23654</v>
      </c>
      <c r="I108" t="s">
        <v>192</v>
      </c>
      <c r="J108">
        <v>1E-3</v>
      </c>
      <c r="K108" t="s">
        <v>3</v>
      </c>
      <c r="L108">
        <v>0.99923770000000001</v>
      </c>
      <c r="M108" t="s">
        <v>2</v>
      </c>
      <c r="N108">
        <v>1.04098E-2</v>
      </c>
      <c r="O108" t="s">
        <v>17</v>
      </c>
      <c r="P108">
        <v>22</v>
      </c>
      <c r="Q108" t="s">
        <v>0</v>
      </c>
      <c r="R108">
        <v>6813.6</v>
      </c>
      <c r="S108" t="s">
        <v>152</v>
      </c>
      <c r="T108">
        <v>4</v>
      </c>
      <c r="U108" t="s">
        <v>153</v>
      </c>
      <c r="V108">
        <v>693</v>
      </c>
      <c r="W108" t="s">
        <v>151</v>
      </c>
      <c r="X108">
        <v>1000327</v>
      </c>
      <c r="Y108" t="s">
        <v>1</v>
      </c>
      <c r="Z108" t="s">
        <v>478</v>
      </c>
      <c r="AA108" t="s">
        <v>5</v>
      </c>
      <c r="AB108">
        <v>0.99930839999999999</v>
      </c>
      <c r="AC108" t="s">
        <v>4</v>
      </c>
      <c r="AD108">
        <v>9.6649000000000006E-3</v>
      </c>
    </row>
    <row r="109" spans="1:30" x14ac:dyDescent="0.25">
      <c r="A109" t="str">
        <f t="shared" si="1"/>
        <v>feynman_III_4_32_23654</v>
      </c>
      <c r="B109" t="s">
        <v>98</v>
      </c>
      <c r="C109" t="s">
        <v>189</v>
      </c>
      <c r="D109">
        <v>7200</v>
      </c>
      <c r="E109" t="s">
        <v>190</v>
      </c>
      <c r="F109">
        <v>1000000</v>
      </c>
      <c r="G109" t="s">
        <v>191</v>
      </c>
      <c r="H109">
        <v>23654</v>
      </c>
      <c r="I109" t="s">
        <v>192</v>
      </c>
      <c r="J109">
        <v>1E-3</v>
      </c>
      <c r="K109" t="s">
        <v>3</v>
      </c>
      <c r="L109">
        <v>0.99999700000000002</v>
      </c>
      <c r="M109" t="s">
        <v>2</v>
      </c>
      <c r="N109">
        <v>1.6053899999999999E-2</v>
      </c>
      <c r="O109" t="s">
        <v>17</v>
      </c>
      <c r="P109">
        <v>16</v>
      </c>
      <c r="Q109" t="s">
        <v>0</v>
      </c>
      <c r="R109">
        <v>7202.5</v>
      </c>
      <c r="S109" t="s">
        <v>152</v>
      </c>
      <c r="T109">
        <v>5</v>
      </c>
      <c r="U109" t="s">
        <v>153</v>
      </c>
      <c r="V109">
        <v>678</v>
      </c>
      <c r="W109" t="s">
        <v>151</v>
      </c>
      <c r="X109">
        <v>558246</v>
      </c>
      <c r="Y109" t="s">
        <v>1</v>
      </c>
      <c r="Z109" t="e" cm="1">
        <f t="array" aca="1" ref="Z109" ca="1">-0.4715506744078+((((6.276657967116*V2)*V3)*pow(v0,-1))*pow(V1,-1))</f>
        <v>#NAME?</v>
      </c>
      <c r="AA109" t="s">
        <v>5</v>
      </c>
      <c r="AB109">
        <v>0.99999680000000002</v>
      </c>
      <c r="AC109" t="s">
        <v>4</v>
      </c>
      <c r="AD109">
        <v>1.6480600000000001E-2</v>
      </c>
    </row>
    <row r="110" spans="1:30" x14ac:dyDescent="0.25">
      <c r="A110" t="str">
        <f t="shared" si="1"/>
        <v>feynman_test_15_23654</v>
      </c>
      <c r="B110" t="s">
        <v>97</v>
      </c>
      <c r="C110" t="s">
        <v>189</v>
      </c>
      <c r="D110">
        <v>7200</v>
      </c>
      <c r="E110" t="s">
        <v>190</v>
      </c>
      <c r="F110">
        <v>1000000</v>
      </c>
      <c r="G110" t="s">
        <v>191</v>
      </c>
      <c r="H110">
        <v>23654</v>
      </c>
      <c r="I110" t="s">
        <v>192</v>
      </c>
      <c r="J110">
        <v>1E-3</v>
      </c>
      <c r="K110" t="s">
        <v>3</v>
      </c>
      <c r="L110">
        <v>0.84928950000000003</v>
      </c>
      <c r="M110" t="s">
        <v>2</v>
      </c>
      <c r="N110">
        <v>0.4896374</v>
      </c>
      <c r="O110" t="s">
        <v>17</v>
      </c>
      <c r="P110">
        <v>4</v>
      </c>
      <c r="Q110" t="s">
        <v>0</v>
      </c>
      <c r="R110">
        <v>681.3</v>
      </c>
      <c r="S110" t="s">
        <v>152</v>
      </c>
      <c r="T110">
        <v>12</v>
      </c>
      <c r="U110" t="s">
        <v>153</v>
      </c>
      <c r="V110">
        <v>105</v>
      </c>
      <c r="W110" t="s">
        <v>151</v>
      </c>
      <c r="X110">
        <v>8893</v>
      </c>
      <c r="Y110" t="s">
        <v>1</v>
      </c>
      <c r="Z110" t="s">
        <v>479</v>
      </c>
      <c r="AA110" t="s">
        <v>5</v>
      </c>
      <c r="AB110">
        <v>0.85486720000000005</v>
      </c>
      <c r="AC110" t="s">
        <v>4</v>
      </c>
      <c r="AD110">
        <v>0.48215639999999998</v>
      </c>
    </row>
    <row r="111" spans="1:30" x14ac:dyDescent="0.25">
      <c r="A111" t="str">
        <f t="shared" si="1"/>
        <v>feynman_I_29_4_15795</v>
      </c>
      <c r="B111" t="s">
        <v>38</v>
      </c>
      <c r="C111" t="s">
        <v>189</v>
      </c>
      <c r="D111">
        <v>7200</v>
      </c>
      <c r="E111" t="s">
        <v>190</v>
      </c>
      <c r="F111">
        <v>1000000</v>
      </c>
      <c r="G111" t="s">
        <v>191</v>
      </c>
      <c r="H111">
        <v>15795</v>
      </c>
      <c r="I111" t="s">
        <v>192</v>
      </c>
      <c r="J111">
        <v>1E-3</v>
      </c>
      <c r="K111" t="s">
        <v>3</v>
      </c>
      <c r="L111">
        <v>1</v>
      </c>
      <c r="M111" t="s">
        <v>2</v>
      </c>
      <c r="N111">
        <v>0</v>
      </c>
      <c r="O111" t="s">
        <v>17</v>
      </c>
      <c r="P111">
        <v>8</v>
      </c>
      <c r="Q111" t="s">
        <v>0</v>
      </c>
      <c r="R111">
        <v>1.5</v>
      </c>
      <c r="S111" t="s">
        <v>152</v>
      </c>
      <c r="T111">
        <v>1</v>
      </c>
      <c r="U111" t="s">
        <v>153</v>
      </c>
      <c r="V111">
        <v>2</v>
      </c>
      <c r="W111" t="s">
        <v>151</v>
      </c>
      <c r="X111">
        <v>340</v>
      </c>
      <c r="Y111" t="s">
        <v>1</v>
      </c>
      <c r="Z111" t="s">
        <v>155</v>
      </c>
      <c r="AA111" t="s">
        <v>5</v>
      </c>
      <c r="AB111">
        <v>1</v>
      </c>
      <c r="AC111" t="s">
        <v>4</v>
      </c>
      <c r="AD111">
        <v>0</v>
      </c>
    </row>
    <row r="112" spans="1:30" x14ac:dyDescent="0.25">
      <c r="A112" t="str">
        <f t="shared" si="1"/>
        <v>feynman_II_15_5_15795</v>
      </c>
      <c r="B112" t="s">
        <v>69</v>
      </c>
      <c r="C112" t="s">
        <v>189</v>
      </c>
      <c r="D112">
        <v>7200</v>
      </c>
      <c r="E112" t="s">
        <v>190</v>
      </c>
      <c r="F112">
        <v>1000000</v>
      </c>
      <c r="G112" t="s">
        <v>191</v>
      </c>
      <c r="H112">
        <v>15795</v>
      </c>
      <c r="I112" t="s">
        <v>192</v>
      </c>
      <c r="J112">
        <v>1E-3</v>
      </c>
      <c r="K112" t="s">
        <v>3</v>
      </c>
      <c r="L112">
        <v>1</v>
      </c>
      <c r="M112" t="s">
        <v>2</v>
      </c>
      <c r="N112">
        <v>0</v>
      </c>
      <c r="O112" t="s">
        <v>17</v>
      </c>
      <c r="P112">
        <v>21</v>
      </c>
      <c r="Q112" t="s">
        <v>0</v>
      </c>
      <c r="R112">
        <v>362.8</v>
      </c>
      <c r="S112" t="s">
        <v>152</v>
      </c>
      <c r="T112">
        <v>3</v>
      </c>
      <c r="U112" t="s">
        <v>153</v>
      </c>
      <c r="V112">
        <v>47</v>
      </c>
      <c r="W112" t="s">
        <v>151</v>
      </c>
      <c r="X112">
        <v>48451</v>
      </c>
      <c r="Y112" t="s">
        <v>1</v>
      </c>
      <c r="Z112" t="s">
        <v>480</v>
      </c>
      <c r="AA112" t="s">
        <v>5</v>
      </c>
      <c r="AB112">
        <v>1</v>
      </c>
      <c r="AC112" t="s">
        <v>4</v>
      </c>
      <c r="AD112">
        <v>0</v>
      </c>
    </row>
    <row r="113" spans="1:30" x14ac:dyDescent="0.25">
      <c r="A113" t="str">
        <f t="shared" si="1"/>
        <v>feynman_II_34_11_15795</v>
      </c>
      <c r="B113" t="s">
        <v>95</v>
      </c>
      <c r="C113" t="s">
        <v>189</v>
      </c>
      <c r="D113">
        <v>7200</v>
      </c>
      <c r="E113" t="s">
        <v>190</v>
      </c>
      <c r="F113">
        <v>1000000</v>
      </c>
      <c r="G113" t="s">
        <v>191</v>
      </c>
      <c r="H113">
        <v>15795</v>
      </c>
      <c r="I113" t="s">
        <v>192</v>
      </c>
      <c r="J113">
        <v>1E-3</v>
      </c>
      <c r="K113" t="s">
        <v>3</v>
      </c>
      <c r="L113">
        <v>1</v>
      </c>
      <c r="M113" t="s">
        <v>2</v>
      </c>
      <c r="N113">
        <v>0</v>
      </c>
      <c r="O113" t="s">
        <v>17</v>
      </c>
      <c r="P113">
        <v>12</v>
      </c>
      <c r="Q113" t="s">
        <v>0</v>
      </c>
      <c r="R113">
        <v>7.9</v>
      </c>
      <c r="S113" t="s">
        <v>152</v>
      </c>
      <c r="T113">
        <v>1</v>
      </c>
      <c r="U113" t="s">
        <v>153</v>
      </c>
      <c r="V113">
        <v>4</v>
      </c>
      <c r="W113" t="s">
        <v>151</v>
      </c>
      <c r="X113">
        <v>1532</v>
      </c>
      <c r="Y113" t="s">
        <v>1</v>
      </c>
      <c r="Z113" t="s">
        <v>175</v>
      </c>
      <c r="AA113" t="s">
        <v>5</v>
      </c>
      <c r="AB113">
        <v>1</v>
      </c>
      <c r="AC113" t="s">
        <v>4</v>
      </c>
      <c r="AD113">
        <v>0</v>
      </c>
    </row>
    <row r="114" spans="1:30" x14ac:dyDescent="0.25">
      <c r="A114" t="str">
        <f t="shared" si="1"/>
        <v>feynman_III_15_14_15795</v>
      </c>
      <c r="B114" t="s">
        <v>84</v>
      </c>
      <c r="C114" t="s">
        <v>189</v>
      </c>
      <c r="D114">
        <v>7200</v>
      </c>
      <c r="E114" t="s">
        <v>190</v>
      </c>
      <c r="F114">
        <v>1000000</v>
      </c>
      <c r="G114" t="s">
        <v>191</v>
      </c>
      <c r="H114">
        <v>15795</v>
      </c>
      <c r="I114" t="s">
        <v>192</v>
      </c>
      <c r="J114">
        <v>1E-3</v>
      </c>
      <c r="K114" t="s">
        <v>3</v>
      </c>
      <c r="L114">
        <v>1</v>
      </c>
      <c r="M114" t="s">
        <v>2</v>
      </c>
      <c r="N114">
        <v>0</v>
      </c>
      <c r="O114" t="s">
        <v>17</v>
      </c>
      <c r="P114">
        <v>14</v>
      </c>
      <c r="Q114" t="s">
        <v>0</v>
      </c>
      <c r="R114">
        <v>69.8</v>
      </c>
      <c r="S114" t="s">
        <v>152</v>
      </c>
      <c r="T114">
        <v>2</v>
      </c>
      <c r="U114" t="s">
        <v>153</v>
      </c>
      <c r="V114">
        <v>12</v>
      </c>
      <c r="W114" t="s">
        <v>151</v>
      </c>
      <c r="X114">
        <v>11383</v>
      </c>
      <c r="Y114" t="s">
        <v>1</v>
      </c>
      <c r="Z114" t="s">
        <v>166</v>
      </c>
      <c r="AA114" t="s">
        <v>5</v>
      </c>
      <c r="AB114">
        <v>1</v>
      </c>
      <c r="AC114" t="s">
        <v>4</v>
      </c>
      <c r="AD114">
        <v>0</v>
      </c>
    </row>
    <row r="115" spans="1:30" x14ac:dyDescent="0.25">
      <c r="A115" t="str">
        <f t="shared" si="1"/>
        <v>feynman_test_6_23654</v>
      </c>
      <c r="B115" t="s">
        <v>146</v>
      </c>
      <c r="C115" t="s">
        <v>189</v>
      </c>
      <c r="D115">
        <v>7200</v>
      </c>
      <c r="E115" t="s">
        <v>190</v>
      </c>
      <c r="F115">
        <v>1000000</v>
      </c>
      <c r="G115" t="s">
        <v>191</v>
      </c>
      <c r="H115">
        <v>23654</v>
      </c>
      <c r="I115" t="s">
        <v>192</v>
      </c>
      <c r="J115">
        <v>1E-3</v>
      </c>
      <c r="K115" t="s">
        <v>3</v>
      </c>
      <c r="L115">
        <v>0.99284790000000001</v>
      </c>
      <c r="M115" t="s">
        <v>2</v>
      </c>
      <c r="N115">
        <v>3.8340899999999997E-2</v>
      </c>
      <c r="O115" t="s">
        <v>17</v>
      </c>
      <c r="P115">
        <v>39</v>
      </c>
      <c r="Q115" t="s">
        <v>0</v>
      </c>
      <c r="R115">
        <v>7200.9</v>
      </c>
      <c r="S115" t="s">
        <v>152</v>
      </c>
      <c r="T115">
        <v>9</v>
      </c>
      <c r="U115" t="s">
        <v>153</v>
      </c>
      <c r="V115">
        <v>319</v>
      </c>
      <c r="W115" t="s">
        <v>151</v>
      </c>
      <c r="X115">
        <v>951457</v>
      </c>
      <c r="Y115" t="s">
        <v>1</v>
      </c>
      <c r="Z115" t="s">
        <v>481</v>
      </c>
      <c r="AA115" t="s">
        <v>5</v>
      </c>
      <c r="AB115">
        <v>0.99319100000000005</v>
      </c>
      <c r="AC115" t="s">
        <v>4</v>
      </c>
      <c r="AD115">
        <v>3.8334399999999998E-2</v>
      </c>
    </row>
    <row r="116" spans="1:30" x14ac:dyDescent="0.25">
      <c r="A116" t="str">
        <f t="shared" si="1"/>
        <v>feynman_II_35_21_23654</v>
      </c>
      <c r="B116" t="s">
        <v>121</v>
      </c>
      <c r="C116" t="s">
        <v>189</v>
      </c>
      <c r="D116">
        <v>7200</v>
      </c>
      <c r="E116" t="s">
        <v>190</v>
      </c>
      <c r="F116">
        <v>1000000</v>
      </c>
      <c r="G116" t="s">
        <v>191</v>
      </c>
      <c r="H116">
        <v>23654</v>
      </c>
      <c r="I116" t="s">
        <v>192</v>
      </c>
      <c r="J116">
        <v>1E-3</v>
      </c>
      <c r="K116" t="s">
        <v>3</v>
      </c>
      <c r="L116">
        <v>0.99914820000000004</v>
      </c>
      <c r="M116" t="s">
        <v>2</v>
      </c>
      <c r="N116">
        <v>0.14693010000000001</v>
      </c>
      <c r="O116" t="s">
        <v>17</v>
      </c>
      <c r="P116">
        <v>69</v>
      </c>
      <c r="Q116" t="s">
        <v>0</v>
      </c>
      <c r="R116">
        <v>7200.6</v>
      </c>
      <c r="S116" t="s">
        <v>152</v>
      </c>
      <c r="T116">
        <v>9</v>
      </c>
      <c r="U116" t="s">
        <v>153</v>
      </c>
      <c r="V116">
        <v>261</v>
      </c>
      <c r="W116" t="s">
        <v>151</v>
      </c>
      <c r="X116">
        <v>795025</v>
      </c>
      <c r="Y116" t="s">
        <v>1</v>
      </c>
      <c r="Z116" t="e" cm="1">
        <f t="array" aca="1" ref="Z116" ca="1">-0.0760002316746+((1.0138800161059*v0)*V1)+(((-0.8499391963018*v0)*V3)*pow((((V3*SIN(pow(V1,-1)))+(pow(V2,2)*pow(V4,-2)))+(((pow(V1,2)*pow(V2,2))*pow(V3,-2))*pow((((V4+pow(V3,-1))+(-1*pow((V3+V4),-1)))+((-1*V2)*pow((1+V3),-1))),-2))),-1))</f>
        <v>#NAME?</v>
      </c>
      <c r="AA116" t="s">
        <v>5</v>
      </c>
      <c r="AB116">
        <v>0.99916479999999996</v>
      </c>
      <c r="AC116" t="s">
        <v>4</v>
      </c>
      <c r="AD116">
        <v>0.14594289999999999</v>
      </c>
    </row>
    <row r="117" spans="1:30" x14ac:dyDescent="0.25">
      <c r="A117" t="str">
        <f t="shared" si="1"/>
        <v>feynman_test_13_23654</v>
      </c>
      <c r="B117" t="s">
        <v>132</v>
      </c>
      <c r="C117" t="s">
        <v>189</v>
      </c>
      <c r="D117">
        <v>7200</v>
      </c>
      <c r="E117" t="s">
        <v>190</v>
      </c>
      <c r="F117">
        <v>1000000</v>
      </c>
      <c r="G117" t="s">
        <v>191</v>
      </c>
      <c r="H117">
        <v>23654</v>
      </c>
      <c r="I117" t="s">
        <v>192</v>
      </c>
      <c r="J117">
        <v>1E-3</v>
      </c>
      <c r="K117" t="s">
        <v>3</v>
      </c>
      <c r="L117">
        <v>0.98750159999999998</v>
      </c>
      <c r="M117" t="s">
        <v>2</v>
      </c>
      <c r="N117">
        <v>1.7160999999999999E-3</v>
      </c>
      <c r="O117" t="s">
        <v>17</v>
      </c>
      <c r="P117">
        <v>21</v>
      </c>
      <c r="Q117" t="s">
        <v>0</v>
      </c>
      <c r="R117">
        <v>7200.7</v>
      </c>
      <c r="S117" t="s">
        <v>152</v>
      </c>
      <c r="T117">
        <v>6</v>
      </c>
      <c r="U117" t="s">
        <v>153</v>
      </c>
      <c r="V117">
        <v>746</v>
      </c>
      <c r="W117" t="s">
        <v>151</v>
      </c>
      <c r="X117">
        <v>955154</v>
      </c>
      <c r="Y117" t="s">
        <v>1</v>
      </c>
      <c r="Z117" t="s">
        <v>482</v>
      </c>
      <c r="AA117" t="s">
        <v>5</v>
      </c>
      <c r="AB117">
        <v>0.98799959999999998</v>
      </c>
      <c r="AC117" t="s">
        <v>4</v>
      </c>
      <c r="AD117">
        <v>1.6788E-3</v>
      </c>
    </row>
    <row r="118" spans="1:30" x14ac:dyDescent="0.25">
      <c r="A118" t="str">
        <f t="shared" si="1"/>
        <v>feynman_test_14_23654</v>
      </c>
      <c r="B118" t="s">
        <v>131</v>
      </c>
      <c r="C118" t="s">
        <v>189</v>
      </c>
      <c r="D118">
        <v>7200</v>
      </c>
      <c r="E118" t="s">
        <v>190</v>
      </c>
      <c r="F118">
        <v>1000000</v>
      </c>
      <c r="G118" t="s">
        <v>191</v>
      </c>
      <c r="H118">
        <v>23654</v>
      </c>
      <c r="I118" t="s">
        <v>192</v>
      </c>
      <c r="J118">
        <v>1E-3</v>
      </c>
      <c r="K118" t="s">
        <v>3</v>
      </c>
      <c r="L118">
        <v>0.99978909999999999</v>
      </c>
      <c r="M118" t="s">
        <v>2</v>
      </c>
      <c r="N118">
        <v>0.189444</v>
      </c>
      <c r="O118" t="s">
        <v>17</v>
      </c>
      <c r="P118">
        <v>73</v>
      </c>
      <c r="Q118" t="s">
        <v>0</v>
      </c>
      <c r="R118">
        <v>7200.4</v>
      </c>
      <c r="S118" t="s">
        <v>152</v>
      </c>
      <c r="T118">
        <v>3</v>
      </c>
      <c r="U118" t="s">
        <v>153</v>
      </c>
      <c r="V118">
        <v>166</v>
      </c>
      <c r="W118" t="s">
        <v>151</v>
      </c>
      <c r="X118">
        <v>702518</v>
      </c>
      <c r="Y118" t="s">
        <v>1</v>
      </c>
      <c r="Z118" t="s">
        <v>483</v>
      </c>
      <c r="AA118" t="s">
        <v>5</v>
      </c>
      <c r="AB118">
        <v>0.99978160000000005</v>
      </c>
      <c r="AC118" t="s">
        <v>4</v>
      </c>
      <c r="AD118">
        <v>0.1951195</v>
      </c>
    </row>
    <row r="119" spans="1:30" x14ac:dyDescent="0.25">
      <c r="A119" t="str">
        <f t="shared" si="1"/>
        <v>feynman_II_21_32_23654</v>
      </c>
      <c r="B119" t="s">
        <v>134</v>
      </c>
      <c r="C119" t="s">
        <v>189</v>
      </c>
      <c r="D119">
        <v>7200</v>
      </c>
      <c r="E119" t="s">
        <v>190</v>
      </c>
      <c r="F119">
        <v>1000000</v>
      </c>
      <c r="G119" t="s">
        <v>191</v>
      </c>
      <c r="H119">
        <v>23654</v>
      </c>
      <c r="I119" t="s">
        <v>192</v>
      </c>
      <c r="J119">
        <v>1E-3</v>
      </c>
      <c r="K119" t="s">
        <v>3</v>
      </c>
      <c r="L119">
        <v>1</v>
      </c>
      <c r="M119" t="s">
        <v>2</v>
      </c>
      <c r="N119">
        <v>0</v>
      </c>
      <c r="O119" t="s">
        <v>17</v>
      </c>
      <c r="P119">
        <v>22</v>
      </c>
      <c r="Q119" t="s">
        <v>0</v>
      </c>
      <c r="R119">
        <v>1579.8</v>
      </c>
      <c r="S119" t="s">
        <v>152</v>
      </c>
      <c r="T119">
        <v>8</v>
      </c>
      <c r="U119" t="s">
        <v>153</v>
      </c>
      <c r="V119">
        <v>190</v>
      </c>
      <c r="W119" t="s">
        <v>151</v>
      </c>
      <c r="X119">
        <v>256282</v>
      </c>
      <c r="Y119" t="s">
        <v>1</v>
      </c>
      <c r="Z119" t="s">
        <v>484</v>
      </c>
      <c r="AA119" t="s">
        <v>5</v>
      </c>
      <c r="AB119">
        <v>1</v>
      </c>
      <c r="AC119" t="s">
        <v>4</v>
      </c>
      <c r="AD119">
        <v>0</v>
      </c>
    </row>
    <row r="120" spans="1:30" x14ac:dyDescent="0.25">
      <c r="A120" t="str">
        <f t="shared" si="1"/>
        <v>feynman_test_8_23654</v>
      </c>
      <c r="B120" t="s">
        <v>87</v>
      </c>
      <c r="C120" t="s">
        <v>189</v>
      </c>
      <c r="D120">
        <v>7200</v>
      </c>
      <c r="E120" t="s">
        <v>190</v>
      </c>
      <c r="F120">
        <v>1000000</v>
      </c>
      <c r="G120" t="s">
        <v>191</v>
      </c>
      <c r="H120">
        <v>23654</v>
      </c>
      <c r="I120" t="s">
        <v>192</v>
      </c>
      <c r="J120">
        <v>1E-3</v>
      </c>
      <c r="K120" t="s">
        <v>3</v>
      </c>
      <c r="L120">
        <v>0.99838000000000005</v>
      </c>
      <c r="M120" t="s">
        <v>2</v>
      </c>
      <c r="N120">
        <v>1.8093700000000001E-2</v>
      </c>
      <c r="O120" t="s">
        <v>17</v>
      </c>
      <c r="P120">
        <v>37</v>
      </c>
      <c r="Q120" t="s">
        <v>0</v>
      </c>
      <c r="R120">
        <v>7200.6</v>
      </c>
      <c r="S120" t="s">
        <v>152</v>
      </c>
      <c r="T120">
        <v>9</v>
      </c>
      <c r="U120" t="s">
        <v>153</v>
      </c>
      <c r="V120">
        <v>763</v>
      </c>
      <c r="W120" t="s">
        <v>151</v>
      </c>
      <c r="X120">
        <v>996705</v>
      </c>
      <c r="Y120" t="s">
        <v>1</v>
      </c>
      <c r="Z120" t="e" cm="1">
        <f t="array" aca="1" ref="Z120" ca="1">-0.4478547268116+(0.803589874475*v0)+((-0.2448878766872*COS((2.8284271247462+(1.4142135623731*pow((((V2*pow(v0,-1))*pow(V1,0.5))*pow((1+LOG(V3)),-1)),-0.5)))))*EXP(pow(v0,0.5)))</f>
        <v>#NAME?</v>
      </c>
      <c r="AA120" t="s">
        <v>5</v>
      </c>
      <c r="AB120">
        <v>0.99834049999999996</v>
      </c>
      <c r="AC120" t="s">
        <v>4</v>
      </c>
      <c r="AD120">
        <v>1.8356500000000001E-2</v>
      </c>
    </row>
    <row r="121" spans="1:30" x14ac:dyDescent="0.25">
      <c r="A121" t="str">
        <f t="shared" si="1"/>
        <v>feynman_II_11_28_23654</v>
      </c>
      <c r="B121" t="s">
        <v>45</v>
      </c>
      <c r="C121" t="s">
        <v>189</v>
      </c>
      <c r="D121">
        <v>7200</v>
      </c>
      <c r="E121" t="s">
        <v>190</v>
      </c>
      <c r="F121">
        <v>1000000</v>
      </c>
      <c r="G121" t="s">
        <v>191</v>
      </c>
      <c r="H121">
        <v>23654</v>
      </c>
      <c r="I121" t="s">
        <v>192</v>
      </c>
      <c r="J121">
        <v>1E-3</v>
      </c>
      <c r="K121" t="s">
        <v>3</v>
      </c>
      <c r="L121">
        <v>0.9999827</v>
      </c>
      <c r="M121" t="s">
        <v>2</v>
      </c>
      <c r="N121">
        <v>1.2126999999999999E-3</v>
      </c>
      <c r="O121" t="s">
        <v>17</v>
      </c>
      <c r="P121">
        <v>11</v>
      </c>
      <c r="Q121" t="s">
        <v>0</v>
      </c>
      <c r="R121">
        <v>7207</v>
      </c>
      <c r="S121" t="s">
        <v>152</v>
      </c>
      <c r="T121">
        <v>9</v>
      </c>
      <c r="U121" t="s">
        <v>153</v>
      </c>
      <c r="V121">
        <v>468</v>
      </c>
      <c r="W121" t="s">
        <v>151</v>
      </c>
      <c r="X121">
        <v>156769</v>
      </c>
      <c r="Y121" t="s">
        <v>1</v>
      </c>
      <c r="Z121" t="e" cm="1">
        <f t="array" ref="Z121">-0.2927244200001+(1.2930876939142*EXP(((0.7635602887404*v0)*V1)))</f>
        <v>#NAME?</v>
      </c>
      <c r="AA121" t="s">
        <v>5</v>
      </c>
      <c r="AB121">
        <v>0.99998339999999997</v>
      </c>
      <c r="AC121" t="s">
        <v>4</v>
      </c>
      <c r="AD121">
        <v>1.183E-3</v>
      </c>
    </row>
    <row r="122" spans="1:30" x14ac:dyDescent="0.25">
      <c r="A122" t="str">
        <f t="shared" si="1"/>
        <v>feynman_III_12_43_15795</v>
      </c>
      <c r="B122" t="s">
        <v>33</v>
      </c>
      <c r="C122" t="s">
        <v>189</v>
      </c>
      <c r="D122">
        <v>7200</v>
      </c>
      <c r="E122" t="s">
        <v>190</v>
      </c>
      <c r="F122">
        <v>1000000</v>
      </c>
      <c r="G122" t="s">
        <v>191</v>
      </c>
      <c r="H122">
        <v>15795</v>
      </c>
      <c r="I122" t="s">
        <v>192</v>
      </c>
      <c r="J122">
        <v>1E-3</v>
      </c>
      <c r="K122" t="s">
        <v>3</v>
      </c>
      <c r="L122">
        <v>1</v>
      </c>
      <c r="M122" t="s">
        <v>2</v>
      </c>
      <c r="N122">
        <v>0</v>
      </c>
      <c r="O122" t="s">
        <v>17</v>
      </c>
      <c r="P122">
        <v>6</v>
      </c>
      <c r="Q122" t="s">
        <v>0</v>
      </c>
      <c r="R122">
        <v>1.3</v>
      </c>
      <c r="S122" t="s">
        <v>152</v>
      </c>
      <c r="T122">
        <v>1</v>
      </c>
      <c r="U122" t="s">
        <v>153</v>
      </c>
      <c r="V122">
        <v>2</v>
      </c>
      <c r="W122" t="s">
        <v>151</v>
      </c>
      <c r="X122">
        <v>265</v>
      </c>
      <c r="Y122" t="s">
        <v>1</v>
      </c>
      <c r="Z122" t="s">
        <v>159</v>
      </c>
      <c r="AA122" t="s">
        <v>5</v>
      </c>
      <c r="AB122">
        <v>1</v>
      </c>
      <c r="AC122" t="s">
        <v>4</v>
      </c>
      <c r="AD122">
        <v>0</v>
      </c>
    </row>
    <row r="123" spans="1:30" x14ac:dyDescent="0.25">
      <c r="A123" t="str">
        <f t="shared" si="1"/>
        <v>feynman_II_34_2_15795</v>
      </c>
      <c r="B123" t="s">
        <v>63</v>
      </c>
      <c r="C123" t="s">
        <v>189</v>
      </c>
      <c r="D123">
        <v>7200</v>
      </c>
      <c r="E123" t="s">
        <v>190</v>
      </c>
      <c r="F123">
        <v>1000000</v>
      </c>
      <c r="G123" t="s">
        <v>191</v>
      </c>
      <c r="H123">
        <v>15795</v>
      </c>
      <c r="I123" t="s">
        <v>192</v>
      </c>
      <c r="J123">
        <v>1E-3</v>
      </c>
      <c r="K123" t="s">
        <v>3</v>
      </c>
      <c r="L123">
        <v>1</v>
      </c>
      <c r="M123" t="s">
        <v>2</v>
      </c>
      <c r="N123">
        <v>0</v>
      </c>
      <c r="O123" t="s">
        <v>17</v>
      </c>
      <c r="P123">
        <v>8</v>
      </c>
      <c r="Q123" t="s">
        <v>0</v>
      </c>
      <c r="R123">
        <v>3.1</v>
      </c>
      <c r="S123" t="s">
        <v>152</v>
      </c>
      <c r="T123">
        <v>1</v>
      </c>
      <c r="U123" t="s">
        <v>153</v>
      </c>
      <c r="V123">
        <v>3</v>
      </c>
      <c r="W123" t="s">
        <v>151</v>
      </c>
      <c r="X123">
        <v>640</v>
      </c>
      <c r="Y123" t="s">
        <v>1</v>
      </c>
      <c r="Z123" t="s">
        <v>206</v>
      </c>
      <c r="AA123" t="s">
        <v>5</v>
      </c>
      <c r="AB123">
        <v>1</v>
      </c>
      <c r="AC123" t="s">
        <v>4</v>
      </c>
      <c r="AD123">
        <v>0</v>
      </c>
    </row>
    <row r="124" spans="1:30" x14ac:dyDescent="0.25">
      <c r="A124" t="str">
        <f t="shared" si="1"/>
        <v>feynman_III_15_27_15795</v>
      </c>
      <c r="B124" t="s">
        <v>59</v>
      </c>
      <c r="C124" t="s">
        <v>189</v>
      </c>
      <c r="D124">
        <v>7200</v>
      </c>
      <c r="E124" t="s">
        <v>190</v>
      </c>
      <c r="F124">
        <v>1000000</v>
      </c>
      <c r="G124" t="s">
        <v>191</v>
      </c>
      <c r="H124">
        <v>15795</v>
      </c>
      <c r="I124" t="s">
        <v>192</v>
      </c>
      <c r="J124">
        <v>1E-3</v>
      </c>
      <c r="K124" t="s">
        <v>3</v>
      </c>
      <c r="L124">
        <v>1</v>
      </c>
      <c r="M124" t="s">
        <v>2</v>
      </c>
      <c r="N124">
        <v>0</v>
      </c>
      <c r="O124" t="s">
        <v>17</v>
      </c>
      <c r="P124">
        <v>12</v>
      </c>
      <c r="Q124" t="s">
        <v>0</v>
      </c>
      <c r="R124">
        <v>4.2</v>
      </c>
      <c r="S124" t="s">
        <v>152</v>
      </c>
      <c r="T124">
        <v>1</v>
      </c>
      <c r="U124" t="s">
        <v>153</v>
      </c>
      <c r="V124">
        <v>3</v>
      </c>
      <c r="W124" t="s">
        <v>151</v>
      </c>
      <c r="X124">
        <v>921</v>
      </c>
      <c r="Y124" t="s">
        <v>1</v>
      </c>
      <c r="Z124" t="s">
        <v>421</v>
      </c>
      <c r="AA124" t="s">
        <v>5</v>
      </c>
      <c r="AB124">
        <v>1</v>
      </c>
      <c r="AC124" t="s">
        <v>4</v>
      </c>
      <c r="AD124">
        <v>0</v>
      </c>
    </row>
    <row r="125" spans="1:30" x14ac:dyDescent="0.25">
      <c r="A125" t="str">
        <f t="shared" si="1"/>
        <v>feynman_I_12_4_15795</v>
      </c>
      <c r="B125" t="s">
        <v>83</v>
      </c>
      <c r="C125" t="s">
        <v>189</v>
      </c>
      <c r="D125">
        <v>7200</v>
      </c>
      <c r="E125" t="s">
        <v>190</v>
      </c>
      <c r="F125">
        <v>1000000</v>
      </c>
      <c r="G125" t="s">
        <v>191</v>
      </c>
      <c r="H125">
        <v>15795</v>
      </c>
      <c r="I125" t="s">
        <v>192</v>
      </c>
      <c r="J125">
        <v>1E-3</v>
      </c>
      <c r="K125" t="s">
        <v>3</v>
      </c>
      <c r="L125">
        <v>1</v>
      </c>
      <c r="M125" t="s">
        <v>2</v>
      </c>
      <c r="N125">
        <v>0</v>
      </c>
      <c r="O125" t="s">
        <v>17</v>
      </c>
      <c r="P125">
        <v>12</v>
      </c>
      <c r="Q125" t="s">
        <v>0</v>
      </c>
      <c r="R125">
        <v>8.4</v>
      </c>
      <c r="S125" t="s">
        <v>152</v>
      </c>
      <c r="T125">
        <v>1</v>
      </c>
      <c r="U125" t="s">
        <v>153</v>
      </c>
      <c r="V125">
        <v>4</v>
      </c>
      <c r="W125" t="s">
        <v>151</v>
      </c>
      <c r="X125">
        <v>1632</v>
      </c>
      <c r="Y125" t="s">
        <v>1</v>
      </c>
      <c r="Z125" t="s">
        <v>163</v>
      </c>
      <c r="AA125" t="s">
        <v>5</v>
      </c>
      <c r="AB125">
        <v>1</v>
      </c>
      <c r="AC125" t="s">
        <v>4</v>
      </c>
      <c r="AD125">
        <v>0</v>
      </c>
    </row>
    <row r="126" spans="1:30" x14ac:dyDescent="0.25">
      <c r="A126" t="str">
        <f t="shared" si="1"/>
        <v>feynman_III_13_18_15795</v>
      </c>
      <c r="B126" t="s">
        <v>114</v>
      </c>
      <c r="C126" t="s">
        <v>189</v>
      </c>
      <c r="D126">
        <v>7200</v>
      </c>
      <c r="E126" t="s">
        <v>190</v>
      </c>
      <c r="F126">
        <v>1000000</v>
      </c>
      <c r="G126" t="s">
        <v>191</v>
      </c>
      <c r="H126">
        <v>15795</v>
      </c>
      <c r="I126" t="s">
        <v>192</v>
      </c>
      <c r="J126">
        <v>1E-3</v>
      </c>
      <c r="K126" t="s">
        <v>3</v>
      </c>
      <c r="L126">
        <v>1</v>
      </c>
      <c r="M126" t="s">
        <v>2</v>
      </c>
      <c r="N126">
        <v>0</v>
      </c>
      <c r="O126" t="s">
        <v>17</v>
      </c>
      <c r="P126">
        <v>16</v>
      </c>
      <c r="Q126" t="s">
        <v>0</v>
      </c>
      <c r="R126">
        <v>14.6</v>
      </c>
      <c r="S126" t="s">
        <v>152</v>
      </c>
      <c r="T126">
        <v>1</v>
      </c>
      <c r="U126" t="s">
        <v>153</v>
      </c>
      <c r="V126">
        <v>5</v>
      </c>
      <c r="W126" t="s">
        <v>151</v>
      </c>
      <c r="X126">
        <v>2666</v>
      </c>
      <c r="Y126" t="s">
        <v>1</v>
      </c>
      <c r="Z126" t="e" cm="1">
        <f t="array" aca="1" ref="Z126" ca="1">-0.0000000000004+((((12.5663706143592*v0)*V2)*pow(V1,2))*pow(V3,-1))</f>
        <v>#NAME?</v>
      </c>
      <c r="AA126" t="s">
        <v>5</v>
      </c>
      <c r="AB126">
        <v>1</v>
      </c>
      <c r="AC126" t="s">
        <v>4</v>
      </c>
      <c r="AD126">
        <v>0</v>
      </c>
    </row>
    <row r="127" spans="1:30" x14ac:dyDescent="0.25">
      <c r="A127" t="str">
        <f t="shared" si="1"/>
        <v>feynman_II_11_3_15795</v>
      </c>
      <c r="B127" t="s">
        <v>126</v>
      </c>
      <c r="C127" t="s">
        <v>189</v>
      </c>
      <c r="D127">
        <v>7200</v>
      </c>
      <c r="E127" t="s">
        <v>190</v>
      </c>
      <c r="F127">
        <v>1000000</v>
      </c>
      <c r="G127" t="s">
        <v>191</v>
      </c>
      <c r="H127">
        <v>15795</v>
      </c>
      <c r="I127" t="s">
        <v>192</v>
      </c>
      <c r="J127">
        <v>1E-3</v>
      </c>
      <c r="K127" t="s">
        <v>3</v>
      </c>
      <c r="L127">
        <v>1</v>
      </c>
      <c r="M127" t="s">
        <v>2</v>
      </c>
      <c r="N127">
        <v>0</v>
      </c>
      <c r="O127" t="s">
        <v>17</v>
      </c>
      <c r="P127">
        <v>24</v>
      </c>
      <c r="Q127" t="s">
        <v>0</v>
      </c>
      <c r="R127">
        <v>43.8</v>
      </c>
      <c r="S127" t="s">
        <v>152</v>
      </c>
      <c r="T127">
        <v>1</v>
      </c>
      <c r="U127" t="s">
        <v>153</v>
      </c>
      <c r="V127">
        <v>8</v>
      </c>
      <c r="W127" t="s">
        <v>151</v>
      </c>
      <c r="X127">
        <v>7330</v>
      </c>
      <c r="Y127" t="s">
        <v>1</v>
      </c>
      <c r="Z127" t="s">
        <v>485</v>
      </c>
      <c r="AA127" t="s">
        <v>5</v>
      </c>
      <c r="AB127">
        <v>1</v>
      </c>
      <c r="AC127" t="s">
        <v>4</v>
      </c>
      <c r="AD127">
        <v>0</v>
      </c>
    </row>
    <row r="128" spans="1:30" x14ac:dyDescent="0.25">
      <c r="A128" t="str">
        <f t="shared" si="1"/>
        <v>feynman_test_12_23654</v>
      </c>
      <c r="B128" t="s">
        <v>124</v>
      </c>
      <c r="C128" t="s">
        <v>189</v>
      </c>
      <c r="D128">
        <v>7200</v>
      </c>
      <c r="E128" t="s">
        <v>190</v>
      </c>
      <c r="F128">
        <v>1000000</v>
      </c>
      <c r="G128" t="s">
        <v>191</v>
      </c>
      <c r="H128">
        <v>23654</v>
      </c>
      <c r="I128" t="s">
        <v>192</v>
      </c>
      <c r="J128">
        <v>1E-3</v>
      </c>
      <c r="K128" t="s">
        <v>3</v>
      </c>
      <c r="L128">
        <v>0.99999830000000001</v>
      </c>
      <c r="M128" t="s">
        <v>2</v>
      </c>
      <c r="N128">
        <v>1.8808999999999999E-2</v>
      </c>
      <c r="O128" t="s">
        <v>17</v>
      </c>
      <c r="P128">
        <v>10</v>
      </c>
      <c r="Q128" t="s">
        <v>0</v>
      </c>
      <c r="R128">
        <v>7201.1</v>
      </c>
      <c r="S128" t="s">
        <v>152</v>
      </c>
      <c r="T128">
        <v>6</v>
      </c>
      <c r="U128" t="s">
        <v>153</v>
      </c>
      <c r="V128">
        <v>545</v>
      </c>
      <c r="W128" t="s">
        <v>151</v>
      </c>
      <c r="X128">
        <v>651917</v>
      </c>
      <c r="Y128" t="s">
        <v>1</v>
      </c>
      <c r="Z128" t="s">
        <v>486</v>
      </c>
      <c r="AA128" t="s">
        <v>5</v>
      </c>
      <c r="AB128">
        <v>0.99999839999999995</v>
      </c>
      <c r="AC128" t="s">
        <v>4</v>
      </c>
      <c r="AD128">
        <v>1.8537100000000001E-2</v>
      </c>
    </row>
    <row r="129" spans="1:30" x14ac:dyDescent="0.25">
      <c r="A129" t="str">
        <f t="shared" si="1"/>
        <v>feynman_II_36_38_15795</v>
      </c>
      <c r="B129" t="s">
        <v>149</v>
      </c>
      <c r="C129" t="s">
        <v>189</v>
      </c>
      <c r="D129">
        <v>7200</v>
      </c>
      <c r="E129" t="s">
        <v>190</v>
      </c>
      <c r="F129">
        <v>1000000</v>
      </c>
      <c r="G129" t="s">
        <v>191</v>
      </c>
      <c r="H129">
        <v>15795</v>
      </c>
      <c r="I129" t="s">
        <v>192</v>
      </c>
      <c r="J129">
        <v>1E-3</v>
      </c>
      <c r="K129" t="s">
        <v>3</v>
      </c>
      <c r="L129">
        <v>1</v>
      </c>
      <c r="M129" t="s">
        <v>2</v>
      </c>
      <c r="N129">
        <v>0</v>
      </c>
      <c r="O129" t="s">
        <v>17</v>
      </c>
      <c r="P129">
        <v>38</v>
      </c>
      <c r="Q129" t="s">
        <v>0</v>
      </c>
      <c r="R129">
        <v>167.9</v>
      </c>
      <c r="S129" t="s">
        <v>152</v>
      </c>
      <c r="T129">
        <v>1</v>
      </c>
      <c r="U129" t="s">
        <v>153</v>
      </c>
      <c r="V129">
        <v>10</v>
      </c>
      <c r="W129" t="s">
        <v>151</v>
      </c>
      <c r="X129">
        <v>21883</v>
      </c>
      <c r="Y129" t="s">
        <v>1</v>
      </c>
      <c r="Z129" t="s">
        <v>180</v>
      </c>
      <c r="AA129" t="s">
        <v>5</v>
      </c>
      <c r="AB129">
        <v>1</v>
      </c>
      <c r="AC129" t="s">
        <v>4</v>
      </c>
      <c r="AD129">
        <v>0</v>
      </c>
    </row>
    <row r="130" spans="1:30" x14ac:dyDescent="0.25">
      <c r="A130" t="str">
        <f t="shared" ref="A130:A193" si="2">CONCATENATE(B130, "_", H130)</f>
        <v>feynman_I_15_10_23654</v>
      </c>
      <c r="B130" t="s">
        <v>55</v>
      </c>
      <c r="C130" t="s">
        <v>189</v>
      </c>
      <c r="D130">
        <v>7200</v>
      </c>
      <c r="E130" t="s">
        <v>190</v>
      </c>
      <c r="F130">
        <v>1000000</v>
      </c>
      <c r="G130" t="s">
        <v>191</v>
      </c>
      <c r="H130">
        <v>23654</v>
      </c>
      <c r="I130" t="s">
        <v>192</v>
      </c>
      <c r="J130">
        <v>1E-3</v>
      </c>
      <c r="K130" t="s">
        <v>3</v>
      </c>
      <c r="L130">
        <v>1</v>
      </c>
      <c r="M130" t="s">
        <v>2</v>
      </c>
      <c r="N130">
        <v>0</v>
      </c>
      <c r="O130" t="s">
        <v>17</v>
      </c>
      <c r="P130">
        <v>20</v>
      </c>
      <c r="Q130" t="s">
        <v>0</v>
      </c>
      <c r="R130">
        <v>6477</v>
      </c>
      <c r="S130" t="s">
        <v>152</v>
      </c>
      <c r="T130">
        <v>8</v>
      </c>
      <c r="U130" t="s">
        <v>153</v>
      </c>
      <c r="V130">
        <v>662</v>
      </c>
      <c r="W130" t="s">
        <v>151</v>
      </c>
      <c r="X130">
        <v>757140</v>
      </c>
      <c r="Y130" t="s">
        <v>1</v>
      </c>
      <c r="Z130" t="s">
        <v>487</v>
      </c>
      <c r="AA130" t="s">
        <v>5</v>
      </c>
      <c r="AB130">
        <v>1</v>
      </c>
      <c r="AC130" t="s">
        <v>4</v>
      </c>
      <c r="AD130">
        <v>0</v>
      </c>
    </row>
    <row r="131" spans="1:30" x14ac:dyDescent="0.25">
      <c r="A131" t="str">
        <f t="shared" si="2"/>
        <v>strogatz_shearflow2_15795</v>
      </c>
      <c r="B131" t="s">
        <v>20</v>
      </c>
      <c r="C131" t="s">
        <v>189</v>
      </c>
      <c r="D131">
        <v>7200</v>
      </c>
      <c r="E131" t="s">
        <v>190</v>
      </c>
      <c r="F131">
        <v>1000000</v>
      </c>
      <c r="G131" t="s">
        <v>191</v>
      </c>
      <c r="H131">
        <v>15795</v>
      </c>
      <c r="I131" t="s">
        <v>192</v>
      </c>
      <c r="J131">
        <v>1E-3</v>
      </c>
      <c r="K131" t="s">
        <v>3</v>
      </c>
      <c r="L131">
        <v>1</v>
      </c>
      <c r="M131" t="s">
        <v>2</v>
      </c>
      <c r="N131">
        <v>0</v>
      </c>
      <c r="O131" t="s">
        <v>17</v>
      </c>
      <c r="P131">
        <v>15</v>
      </c>
      <c r="Q131" t="s">
        <v>0</v>
      </c>
      <c r="R131">
        <v>516.79999999999995</v>
      </c>
      <c r="S131" t="s">
        <v>152</v>
      </c>
      <c r="T131">
        <v>6</v>
      </c>
      <c r="U131" t="s">
        <v>153</v>
      </c>
      <c r="V131">
        <v>148</v>
      </c>
      <c r="W131" t="s">
        <v>151</v>
      </c>
      <c r="X131">
        <v>193453</v>
      </c>
      <c r="Y131" t="s">
        <v>1</v>
      </c>
      <c r="Z131" t="s">
        <v>182</v>
      </c>
      <c r="AA131" t="s">
        <v>5</v>
      </c>
      <c r="AB131">
        <v>1</v>
      </c>
      <c r="AC131" t="s">
        <v>4</v>
      </c>
      <c r="AD131">
        <v>0</v>
      </c>
    </row>
    <row r="132" spans="1:30" x14ac:dyDescent="0.25">
      <c r="A132" t="str">
        <f t="shared" si="2"/>
        <v>feynman_II_11_27_23654</v>
      </c>
      <c r="B132" t="s">
        <v>112</v>
      </c>
      <c r="C132" t="s">
        <v>189</v>
      </c>
      <c r="D132">
        <v>7200</v>
      </c>
      <c r="E132" t="s">
        <v>190</v>
      </c>
      <c r="F132">
        <v>1000000</v>
      </c>
      <c r="G132" t="s">
        <v>191</v>
      </c>
      <c r="H132">
        <v>23654</v>
      </c>
      <c r="I132" t="s">
        <v>192</v>
      </c>
      <c r="J132">
        <v>1E-3</v>
      </c>
      <c r="K132" t="s">
        <v>3</v>
      </c>
      <c r="L132">
        <v>0.99990749999999995</v>
      </c>
      <c r="M132" t="s">
        <v>2</v>
      </c>
      <c r="N132">
        <v>6.7324000000000004E-3</v>
      </c>
      <c r="O132" t="s">
        <v>17</v>
      </c>
      <c r="P132">
        <v>24</v>
      </c>
      <c r="Q132" t="s">
        <v>0</v>
      </c>
      <c r="R132">
        <v>7200.9</v>
      </c>
      <c r="S132" t="s">
        <v>152</v>
      </c>
      <c r="T132">
        <v>7</v>
      </c>
      <c r="U132" t="s">
        <v>153</v>
      </c>
      <c r="V132">
        <v>737</v>
      </c>
      <c r="W132" t="s">
        <v>151</v>
      </c>
      <c r="X132">
        <v>913035</v>
      </c>
      <c r="Y132" t="s">
        <v>1</v>
      </c>
      <c r="Z132" t="s">
        <v>488</v>
      </c>
      <c r="AA132" t="s">
        <v>5</v>
      </c>
      <c r="AB132">
        <v>0.99990310000000004</v>
      </c>
      <c r="AC132" t="s">
        <v>4</v>
      </c>
      <c r="AD132">
        <v>6.9090000000000002E-3</v>
      </c>
    </row>
    <row r="133" spans="1:30" x14ac:dyDescent="0.25">
      <c r="A133" t="str">
        <f t="shared" si="2"/>
        <v>strogatz_vdp2_15795</v>
      </c>
      <c r="B133" t="s">
        <v>18</v>
      </c>
      <c r="C133" t="s">
        <v>189</v>
      </c>
      <c r="D133">
        <v>7200</v>
      </c>
      <c r="E133" t="s">
        <v>190</v>
      </c>
      <c r="F133">
        <v>1000000</v>
      </c>
      <c r="G133" t="s">
        <v>191</v>
      </c>
      <c r="H133">
        <v>15795</v>
      </c>
      <c r="I133" t="s">
        <v>192</v>
      </c>
      <c r="J133">
        <v>1E-3</v>
      </c>
      <c r="K133" t="s">
        <v>3</v>
      </c>
      <c r="L133">
        <v>1</v>
      </c>
      <c r="M133" t="s">
        <v>2</v>
      </c>
      <c r="N133">
        <v>0</v>
      </c>
      <c r="O133" t="s">
        <v>17</v>
      </c>
      <c r="P133">
        <v>4</v>
      </c>
      <c r="Q133" t="s">
        <v>0</v>
      </c>
      <c r="R133">
        <v>0.2</v>
      </c>
      <c r="S133" t="s">
        <v>152</v>
      </c>
      <c r="T133">
        <v>1</v>
      </c>
      <c r="U133" t="s">
        <v>153</v>
      </c>
      <c r="V133">
        <v>2</v>
      </c>
      <c r="W133" t="s">
        <v>151</v>
      </c>
      <c r="X133">
        <v>133</v>
      </c>
      <c r="Y133" t="s">
        <v>1</v>
      </c>
      <c r="Z133" t="s">
        <v>154</v>
      </c>
      <c r="AA133" t="s">
        <v>5</v>
      </c>
      <c r="AB133">
        <v>1</v>
      </c>
      <c r="AC133" t="s">
        <v>4</v>
      </c>
      <c r="AD133">
        <v>0</v>
      </c>
    </row>
    <row r="134" spans="1:30" x14ac:dyDescent="0.25">
      <c r="A134" t="str">
        <f t="shared" si="2"/>
        <v>feynman_II_8_31_15795</v>
      </c>
      <c r="B134" t="s">
        <v>42</v>
      </c>
      <c r="C134" t="s">
        <v>189</v>
      </c>
      <c r="D134">
        <v>7200</v>
      </c>
      <c r="E134" t="s">
        <v>190</v>
      </c>
      <c r="F134">
        <v>1000000</v>
      </c>
      <c r="G134" t="s">
        <v>191</v>
      </c>
      <c r="H134">
        <v>15795</v>
      </c>
      <c r="I134" t="s">
        <v>192</v>
      </c>
      <c r="J134">
        <v>1E-3</v>
      </c>
      <c r="K134" t="s">
        <v>3</v>
      </c>
      <c r="L134">
        <v>1</v>
      </c>
      <c r="M134" t="s">
        <v>2</v>
      </c>
      <c r="N134">
        <v>0</v>
      </c>
      <c r="O134" t="s">
        <v>17</v>
      </c>
      <c r="P134">
        <v>8</v>
      </c>
      <c r="Q134" t="s">
        <v>0</v>
      </c>
      <c r="R134">
        <v>2.8</v>
      </c>
      <c r="S134" t="s">
        <v>152</v>
      </c>
      <c r="T134">
        <v>1</v>
      </c>
      <c r="U134" t="s">
        <v>153</v>
      </c>
      <c r="V134">
        <v>3</v>
      </c>
      <c r="W134" t="s">
        <v>151</v>
      </c>
      <c r="X134">
        <v>603</v>
      </c>
      <c r="Y134" t="s">
        <v>1</v>
      </c>
      <c r="Z134" t="s">
        <v>205</v>
      </c>
      <c r="AA134" t="s">
        <v>5</v>
      </c>
      <c r="AB134">
        <v>1</v>
      </c>
      <c r="AC134" t="s">
        <v>4</v>
      </c>
      <c r="AD134">
        <v>0</v>
      </c>
    </row>
    <row r="135" spans="1:30" x14ac:dyDescent="0.25">
      <c r="A135" t="str">
        <f t="shared" si="2"/>
        <v>feynman_II_34_29a_15795</v>
      </c>
      <c r="B135" t="s">
        <v>71</v>
      </c>
      <c r="C135" t="s">
        <v>189</v>
      </c>
      <c r="D135">
        <v>7200</v>
      </c>
      <c r="E135" t="s">
        <v>190</v>
      </c>
      <c r="F135">
        <v>1000000</v>
      </c>
      <c r="G135" t="s">
        <v>191</v>
      </c>
      <c r="H135">
        <v>15795</v>
      </c>
      <c r="I135" t="s">
        <v>192</v>
      </c>
      <c r="J135">
        <v>1E-3</v>
      </c>
      <c r="K135" t="s">
        <v>3</v>
      </c>
      <c r="L135">
        <v>1</v>
      </c>
      <c r="M135" t="s">
        <v>2</v>
      </c>
      <c r="N135">
        <v>0</v>
      </c>
      <c r="O135" t="s">
        <v>17</v>
      </c>
      <c r="P135">
        <v>10</v>
      </c>
      <c r="Q135" t="s">
        <v>0</v>
      </c>
      <c r="R135">
        <v>3.9</v>
      </c>
      <c r="S135" t="s">
        <v>152</v>
      </c>
      <c r="T135">
        <v>1</v>
      </c>
      <c r="U135" t="s">
        <v>153</v>
      </c>
      <c r="V135">
        <v>3</v>
      </c>
      <c r="W135" t="s">
        <v>151</v>
      </c>
      <c r="X135">
        <v>827</v>
      </c>
      <c r="Y135" t="s">
        <v>1</v>
      </c>
      <c r="Z135" t="s">
        <v>211</v>
      </c>
      <c r="AA135" t="s">
        <v>5</v>
      </c>
      <c r="AB135">
        <v>1</v>
      </c>
      <c r="AC135" t="s">
        <v>4</v>
      </c>
      <c r="AD135">
        <v>0</v>
      </c>
    </row>
    <row r="136" spans="1:30" x14ac:dyDescent="0.25">
      <c r="A136" t="str">
        <f t="shared" si="2"/>
        <v>feynman_I_34_8_15795</v>
      </c>
      <c r="B136" t="s">
        <v>102</v>
      </c>
      <c r="C136" t="s">
        <v>189</v>
      </c>
      <c r="D136">
        <v>7200</v>
      </c>
      <c r="E136" t="s">
        <v>190</v>
      </c>
      <c r="F136">
        <v>1000000</v>
      </c>
      <c r="G136" t="s">
        <v>191</v>
      </c>
      <c r="H136">
        <v>15795</v>
      </c>
      <c r="I136" t="s">
        <v>192</v>
      </c>
      <c r="J136">
        <v>1E-3</v>
      </c>
      <c r="K136" t="s">
        <v>3</v>
      </c>
      <c r="L136">
        <v>1</v>
      </c>
      <c r="M136" t="s">
        <v>2</v>
      </c>
      <c r="N136">
        <v>0</v>
      </c>
      <c r="O136" t="s">
        <v>17</v>
      </c>
      <c r="P136">
        <v>12</v>
      </c>
      <c r="Q136" t="s">
        <v>0</v>
      </c>
      <c r="R136">
        <v>7.4</v>
      </c>
      <c r="S136" t="s">
        <v>152</v>
      </c>
      <c r="T136">
        <v>1</v>
      </c>
      <c r="U136" t="s">
        <v>153</v>
      </c>
      <c r="V136">
        <v>4</v>
      </c>
      <c r="W136" t="s">
        <v>151</v>
      </c>
      <c r="X136">
        <v>1559</v>
      </c>
      <c r="Y136" t="s">
        <v>1</v>
      </c>
      <c r="Z136" t="s">
        <v>177</v>
      </c>
      <c r="AA136" t="s">
        <v>5</v>
      </c>
      <c r="AB136">
        <v>1</v>
      </c>
      <c r="AC136" t="s">
        <v>4</v>
      </c>
      <c r="AD136">
        <v>0</v>
      </c>
    </row>
    <row r="137" spans="1:30" x14ac:dyDescent="0.25">
      <c r="A137" t="str">
        <f t="shared" si="2"/>
        <v>feynman_I_12_2_15795</v>
      </c>
      <c r="B137" t="s">
        <v>110</v>
      </c>
      <c r="C137" t="s">
        <v>189</v>
      </c>
      <c r="D137">
        <v>7200</v>
      </c>
      <c r="E137" t="s">
        <v>190</v>
      </c>
      <c r="F137">
        <v>1000000</v>
      </c>
      <c r="G137" t="s">
        <v>191</v>
      </c>
      <c r="H137">
        <v>15795</v>
      </c>
      <c r="I137" t="s">
        <v>192</v>
      </c>
      <c r="J137">
        <v>1E-3</v>
      </c>
      <c r="K137" t="s">
        <v>3</v>
      </c>
      <c r="L137">
        <v>1</v>
      </c>
      <c r="M137" t="s">
        <v>2</v>
      </c>
      <c r="N137">
        <v>0</v>
      </c>
      <c r="O137" t="s">
        <v>17</v>
      </c>
      <c r="P137">
        <v>14</v>
      </c>
      <c r="Q137" t="s">
        <v>0</v>
      </c>
      <c r="R137">
        <v>18.899999999999999</v>
      </c>
      <c r="S137" t="s">
        <v>152</v>
      </c>
      <c r="T137">
        <v>1</v>
      </c>
      <c r="U137" t="s">
        <v>153</v>
      </c>
      <c r="V137">
        <v>5</v>
      </c>
      <c r="W137" t="s">
        <v>151</v>
      </c>
      <c r="X137">
        <v>3378</v>
      </c>
      <c r="Y137" t="s">
        <v>1</v>
      </c>
      <c r="Z137" t="s">
        <v>167</v>
      </c>
      <c r="AA137" t="s">
        <v>5</v>
      </c>
      <c r="AB137">
        <v>1</v>
      </c>
      <c r="AC137" t="s">
        <v>4</v>
      </c>
      <c r="AD137">
        <v>0</v>
      </c>
    </row>
    <row r="138" spans="1:30" x14ac:dyDescent="0.25">
      <c r="A138" t="str">
        <f t="shared" si="2"/>
        <v>feynman_II_6_11_15795</v>
      </c>
      <c r="B138" t="s">
        <v>116</v>
      </c>
      <c r="C138" t="s">
        <v>189</v>
      </c>
      <c r="D138">
        <v>7200</v>
      </c>
      <c r="E138" t="s">
        <v>190</v>
      </c>
      <c r="F138">
        <v>1000000</v>
      </c>
      <c r="G138" t="s">
        <v>191</v>
      </c>
      <c r="H138">
        <v>15795</v>
      </c>
      <c r="I138" t="s">
        <v>192</v>
      </c>
      <c r="J138">
        <v>1E-3</v>
      </c>
      <c r="K138" t="s">
        <v>3</v>
      </c>
      <c r="L138">
        <v>1</v>
      </c>
      <c r="M138" t="s">
        <v>2</v>
      </c>
      <c r="N138">
        <v>0</v>
      </c>
      <c r="O138" t="s">
        <v>17</v>
      </c>
      <c r="P138">
        <v>15</v>
      </c>
      <c r="Q138" t="s">
        <v>0</v>
      </c>
      <c r="R138">
        <v>3722.2</v>
      </c>
      <c r="S138" t="s">
        <v>152</v>
      </c>
      <c r="T138">
        <v>15</v>
      </c>
      <c r="U138" t="s">
        <v>153</v>
      </c>
      <c r="V138">
        <v>333</v>
      </c>
      <c r="W138" t="s">
        <v>151</v>
      </c>
      <c r="X138">
        <v>559474</v>
      </c>
      <c r="Y138" t="s">
        <v>1</v>
      </c>
      <c r="Z138" t="s">
        <v>170</v>
      </c>
      <c r="AA138" t="s">
        <v>5</v>
      </c>
      <c r="AB138">
        <v>1</v>
      </c>
      <c r="AC138" t="s">
        <v>4</v>
      </c>
      <c r="AD138">
        <v>0</v>
      </c>
    </row>
    <row r="139" spans="1:30" x14ac:dyDescent="0.25">
      <c r="A139" t="str">
        <f t="shared" si="2"/>
        <v>feynman_I_37_4_15795</v>
      </c>
      <c r="B139" t="s">
        <v>61</v>
      </c>
      <c r="C139" t="s">
        <v>189</v>
      </c>
      <c r="D139">
        <v>7200</v>
      </c>
      <c r="E139" t="s">
        <v>190</v>
      </c>
      <c r="F139">
        <v>1000000</v>
      </c>
      <c r="G139" t="s">
        <v>191</v>
      </c>
      <c r="H139">
        <v>15795</v>
      </c>
      <c r="I139" t="s">
        <v>192</v>
      </c>
      <c r="J139">
        <v>1E-3</v>
      </c>
      <c r="K139" t="s">
        <v>3</v>
      </c>
      <c r="L139">
        <v>1</v>
      </c>
      <c r="M139" t="s">
        <v>2</v>
      </c>
      <c r="N139">
        <v>0</v>
      </c>
      <c r="O139" t="s">
        <v>17</v>
      </c>
      <c r="P139">
        <v>19</v>
      </c>
      <c r="Q139" t="s">
        <v>0</v>
      </c>
      <c r="R139">
        <v>63.1</v>
      </c>
      <c r="S139" t="s">
        <v>152</v>
      </c>
      <c r="T139">
        <v>4</v>
      </c>
      <c r="U139" t="s">
        <v>153</v>
      </c>
      <c r="V139">
        <v>18</v>
      </c>
      <c r="W139" t="s">
        <v>151</v>
      </c>
      <c r="X139">
        <v>9667</v>
      </c>
      <c r="Y139" t="s">
        <v>1</v>
      </c>
      <c r="Z139" t="s">
        <v>173</v>
      </c>
      <c r="AA139" t="s">
        <v>5</v>
      </c>
      <c r="AB139">
        <v>1</v>
      </c>
      <c r="AC139" t="s">
        <v>4</v>
      </c>
      <c r="AD139">
        <v>0</v>
      </c>
    </row>
    <row r="140" spans="1:30" x14ac:dyDescent="0.25">
      <c r="A140" t="str">
        <f t="shared" si="2"/>
        <v>feynman_I_38_12_15795</v>
      </c>
      <c r="B140" t="s">
        <v>104</v>
      </c>
      <c r="C140" t="s">
        <v>189</v>
      </c>
      <c r="D140">
        <v>7200</v>
      </c>
      <c r="E140" t="s">
        <v>190</v>
      </c>
      <c r="F140">
        <v>1000000</v>
      </c>
      <c r="G140" t="s">
        <v>191</v>
      </c>
      <c r="H140">
        <v>15795</v>
      </c>
      <c r="I140" t="s">
        <v>192</v>
      </c>
      <c r="J140">
        <v>1E-3</v>
      </c>
      <c r="K140" t="s">
        <v>3</v>
      </c>
      <c r="L140">
        <v>1</v>
      </c>
      <c r="M140" t="s">
        <v>2</v>
      </c>
      <c r="N140">
        <v>0</v>
      </c>
      <c r="O140" t="s">
        <v>17</v>
      </c>
      <c r="P140">
        <v>16</v>
      </c>
      <c r="Q140" t="s">
        <v>0</v>
      </c>
      <c r="R140">
        <v>30</v>
      </c>
      <c r="S140" t="s">
        <v>152</v>
      </c>
      <c r="T140">
        <v>1</v>
      </c>
      <c r="U140" t="s">
        <v>153</v>
      </c>
      <c r="V140">
        <v>6</v>
      </c>
      <c r="W140" t="s">
        <v>151</v>
      </c>
      <c r="X140">
        <v>4942</v>
      </c>
      <c r="Y140" t="s">
        <v>1</v>
      </c>
      <c r="Z140" t="s">
        <v>443</v>
      </c>
      <c r="AA140" t="s">
        <v>5</v>
      </c>
      <c r="AB140">
        <v>1</v>
      </c>
      <c r="AC140" t="s">
        <v>4</v>
      </c>
      <c r="AD140">
        <v>0</v>
      </c>
    </row>
    <row r="141" spans="1:30" x14ac:dyDescent="0.25">
      <c r="A141" t="str">
        <f t="shared" si="2"/>
        <v>feynman_I_18_4_23654</v>
      </c>
      <c r="B141" t="s">
        <v>85</v>
      </c>
      <c r="C141" t="s">
        <v>189</v>
      </c>
      <c r="D141">
        <v>7200</v>
      </c>
      <c r="E141" t="s">
        <v>190</v>
      </c>
      <c r="F141">
        <v>1000000</v>
      </c>
      <c r="G141" t="s">
        <v>191</v>
      </c>
      <c r="H141">
        <v>23654</v>
      </c>
      <c r="I141" t="s">
        <v>192</v>
      </c>
      <c r="J141">
        <v>1E-3</v>
      </c>
      <c r="K141" t="s">
        <v>3</v>
      </c>
      <c r="L141">
        <v>0.92411049999999995</v>
      </c>
      <c r="M141" t="s">
        <v>2</v>
      </c>
      <c r="N141">
        <v>0.234073</v>
      </c>
      <c r="O141" t="s">
        <v>17</v>
      </c>
      <c r="P141">
        <v>8</v>
      </c>
      <c r="Q141" t="s">
        <v>0</v>
      </c>
      <c r="R141">
        <v>2016</v>
      </c>
      <c r="S141" t="s">
        <v>152</v>
      </c>
      <c r="T141">
        <v>9</v>
      </c>
      <c r="U141" t="s">
        <v>153</v>
      </c>
      <c r="V141">
        <v>107</v>
      </c>
      <c r="W141" t="s">
        <v>151</v>
      </c>
      <c r="X141">
        <v>21868</v>
      </c>
      <c r="Y141" t="s">
        <v>1</v>
      </c>
      <c r="Z141" t="s">
        <v>489</v>
      </c>
      <c r="AA141" t="s">
        <v>5</v>
      </c>
      <c r="AB141">
        <v>0.92467529999999998</v>
      </c>
      <c r="AC141" t="s">
        <v>4</v>
      </c>
      <c r="AD141">
        <v>0.23338590000000001</v>
      </c>
    </row>
    <row r="142" spans="1:30" x14ac:dyDescent="0.25">
      <c r="A142" t="str">
        <f t="shared" si="2"/>
        <v>feynman_I_14_4_15795</v>
      </c>
      <c r="B142" t="s">
        <v>41</v>
      </c>
      <c r="C142" t="s">
        <v>189</v>
      </c>
      <c r="D142">
        <v>7200</v>
      </c>
      <c r="E142" t="s">
        <v>190</v>
      </c>
      <c r="F142">
        <v>1000000</v>
      </c>
      <c r="G142" t="s">
        <v>191</v>
      </c>
      <c r="H142">
        <v>15795</v>
      </c>
      <c r="I142" t="s">
        <v>192</v>
      </c>
      <c r="J142">
        <v>1E-3</v>
      </c>
      <c r="K142" t="s">
        <v>3</v>
      </c>
      <c r="L142">
        <v>1</v>
      </c>
      <c r="M142" t="s">
        <v>2</v>
      </c>
      <c r="N142">
        <v>0</v>
      </c>
      <c r="O142" t="s">
        <v>17</v>
      </c>
      <c r="P142">
        <v>8</v>
      </c>
      <c r="Q142" t="s">
        <v>0</v>
      </c>
      <c r="R142">
        <v>2.8</v>
      </c>
      <c r="S142" t="s">
        <v>152</v>
      </c>
      <c r="T142">
        <v>1</v>
      </c>
      <c r="U142" t="s">
        <v>153</v>
      </c>
      <c r="V142">
        <v>3</v>
      </c>
      <c r="W142" t="s">
        <v>151</v>
      </c>
      <c r="X142">
        <v>603</v>
      </c>
      <c r="Y142" t="s">
        <v>1</v>
      </c>
      <c r="Z142" t="s">
        <v>205</v>
      </c>
      <c r="AA142" t="s">
        <v>5</v>
      </c>
      <c r="AB142">
        <v>1</v>
      </c>
      <c r="AC142" t="s">
        <v>4</v>
      </c>
      <c r="AD142">
        <v>0</v>
      </c>
    </row>
    <row r="143" spans="1:30" x14ac:dyDescent="0.25">
      <c r="A143" t="str">
        <f t="shared" si="2"/>
        <v>feynman_II_34_2a_15795</v>
      </c>
      <c r="B143" t="s">
        <v>66</v>
      </c>
      <c r="C143" t="s">
        <v>189</v>
      </c>
      <c r="D143">
        <v>7200</v>
      </c>
      <c r="E143" t="s">
        <v>190</v>
      </c>
      <c r="F143">
        <v>1000000</v>
      </c>
      <c r="G143" t="s">
        <v>191</v>
      </c>
      <c r="H143">
        <v>15795</v>
      </c>
      <c r="I143" t="s">
        <v>192</v>
      </c>
      <c r="J143">
        <v>1E-3</v>
      </c>
      <c r="K143" t="s">
        <v>3</v>
      </c>
      <c r="L143">
        <v>1</v>
      </c>
      <c r="M143" t="s">
        <v>2</v>
      </c>
      <c r="N143">
        <v>0</v>
      </c>
      <c r="O143" t="s">
        <v>17</v>
      </c>
      <c r="P143">
        <v>10</v>
      </c>
      <c r="Q143" t="s">
        <v>0</v>
      </c>
      <c r="R143">
        <v>3.9</v>
      </c>
      <c r="S143" t="s">
        <v>152</v>
      </c>
      <c r="T143">
        <v>1</v>
      </c>
      <c r="U143" t="s">
        <v>153</v>
      </c>
      <c r="V143">
        <v>3</v>
      </c>
      <c r="W143" t="s">
        <v>151</v>
      </c>
      <c r="X143">
        <v>827</v>
      </c>
      <c r="Y143" t="s">
        <v>1</v>
      </c>
      <c r="Z143" t="s">
        <v>161</v>
      </c>
      <c r="AA143" t="s">
        <v>5</v>
      </c>
      <c r="AB143">
        <v>1</v>
      </c>
      <c r="AC143" t="s">
        <v>4</v>
      </c>
      <c r="AD143">
        <v>0</v>
      </c>
    </row>
    <row r="144" spans="1:30" x14ac:dyDescent="0.25">
      <c r="A144" t="str">
        <f t="shared" si="2"/>
        <v>feynman_III_21_20_15795</v>
      </c>
      <c r="B144" t="s">
        <v>109</v>
      </c>
      <c r="C144" t="s">
        <v>189</v>
      </c>
      <c r="D144">
        <v>7200</v>
      </c>
      <c r="E144" t="s">
        <v>190</v>
      </c>
      <c r="F144">
        <v>1000000</v>
      </c>
      <c r="G144" t="s">
        <v>191</v>
      </c>
      <c r="H144">
        <v>15795</v>
      </c>
      <c r="I144" t="s">
        <v>192</v>
      </c>
      <c r="J144">
        <v>1E-3</v>
      </c>
      <c r="K144" t="s">
        <v>3</v>
      </c>
      <c r="L144">
        <v>1</v>
      </c>
      <c r="M144" t="s">
        <v>2</v>
      </c>
      <c r="N144">
        <v>0</v>
      </c>
      <c r="O144" t="s">
        <v>17</v>
      </c>
      <c r="P144">
        <v>12</v>
      </c>
      <c r="Q144" t="s">
        <v>0</v>
      </c>
      <c r="R144">
        <v>7.8</v>
      </c>
      <c r="S144" t="s">
        <v>152</v>
      </c>
      <c r="T144">
        <v>1</v>
      </c>
      <c r="U144" t="s">
        <v>153</v>
      </c>
      <c r="V144">
        <v>4</v>
      </c>
      <c r="W144" t="s">
        <v>151</v>
      </c>
      <c r="X144">
        <v>1547</v>
      </c>
      <c r="Y144" t="s">
        <v>1</v>
      </c>
      <c r="Z144" t="s">
        <v>209</v>
      </c>
      <c r="AA144" t="s">
        <v>5</v>
      </c>
      <c r="AB144">
        <v>1</v>
      </c>
      <c r="AC144" t="s">
        <v>4</v>
      </c>
      <c r="AD144">
        <v>0</v>
      </c>
    </row>
    <row r="145" spans="1:30" x14ac:dyDescent="0.25">
      <c r="A145" t="str">
        <f t="shared" si="2"/>
        <v>feynman_II_34_29b_15795</v>
      </c>
      <c r="B145" t="s">
        <v>133</v>
      </c>
      <c r="C145" t="s">
        <v>189</v>
      </c>
      <c r="D145">
        <v>7200</v>
      </c>
      <c r="E145" t="s">
        <v>190</v>
      </c>
      <c r="F145">
        <v>1000000</v>
      </c>
      <c r="G145" t="s">
        <v>191</v>
      </c>
      <c r="H145">
        <v>15795</v>
      </c>
      <c r="I145" t="s">
        <v>192</v>
      </c>
      <c r="J145">
        <v>1E-3</v>
      </c>
      <c r="K145" t="s">
        <v>3</v>
      </c>
      <c r="L145">
        <v>1</v>
      </c>
      <c r="M145" t="s">
        <v>2</v>
      </c>
      <c r="N145">
        <v>0</v>
      </c>
      <c r="O145" t="s">
        <v>17</v>
      </c>
      <c r="P145">
        <v>14</v>
      </c>
      <c r="Q145" t="s">
        <v>0</v>
      </c>
      <c r="R145">
        <v>15</v>
      </c>
      <c r="S145" t="s">
        <v>152</v>
      </c>
      <c r="T145">
        <v>1</v>
      </c>
      <c r="U145" t="s">
        <v>153</v>
      </c>
      <c r="V145">
        <v>5</v>
      </c>
      <c r="W145" t="s">
        <v>151</v>
      </c>
      <c r="X145">
        <v>2867</v>
      </c>
      <c r="Y145" t="s">
        <v>1</v>
      </c>
      <c r="Z145" t="s">
        <v>214</v>
      </c>
      <c r="AA145" t="s">
        <v>5</v>
      </c>
      <c r="AB145">
        <v>1</v>
      </c>
      <c r="AC145" t="s">
        <v>4</v>
      </c>
      <c r="AD145">
        <v>0</v>
      </c>
    </row>
    <row r="146" spans="1:30" x14ac:dyDescent="0.25">
      <c r="A146" t="str">
        <f t="shared" si="2"/>
        <v>feynman_I_11_19_15795</v>
      </c>
      <c r="B146" t="s">
        <v>138</v>
      </c>
      <c r="C146" t="s">
        <v>189</v>
      </c>
      <c r="D146">
        <v>7200</v>
      </c>
      <c r="E146" t="s">
        <v>190</v>
      </c>
      <c r="F146">
        <v>1000000</v>
      </c>
      <c r="G146" t="s">
        <v>191</v>
      </c>
      <c r="H146">
        <v>15795</v>
      </c>
      <c r="I146" t="s">
        <v>192</v>
      </c>
      <c r="J146">
        <v>1E-3</v>
      </c>
      <c r="K146" t="s">
        <v>3</v>
      </c>
      <c r="L146">
        <v>1</v>
      </c>
      <c r="M146" t="s">
        <v>2</v>
      </c>
      <c r="N146">
        <v>0</v>
      </c>
      <c r="O146" t="s">
        <v>17</v>
      </c>
      <c r="P146">
        <v>18</v>
      </c>
      <c r="Q146" t="s">
        <v>0</v>
      </c>
      <c r="R146">
        <v>17.8</v>
      </c>
      <c r="S146" t="s">
        <v>152</v>
      </c>
      <c r="T146">
        <v>1</v>
      </c>
      <c r="U146" t="s">
        <v>153</v>
      </c>
      <c r="V146">
        <v>6</v>
      </c>
      <c r="W146" t="s">
        <v>151</v>
      </c>
      <c r="X146">
        <v>3177</v>
      </c>
      <c r="Y146" t="s">
        <v>1</v>
      </c>
      <c r="Z146" t="s">
        <v>490</v>
      </c>
      <c r="AA146" t="s">
        <v>5</v>
      </c>
      <c r="AB146">
        <v>1</v>
      </c>
      <c r="AC146" t="s">
        <v>4</v>
      </c>
      <c r="AD146">
        <v>0</v>
      </c>
    </row>
    <row r="147" spans="1:30" x14ac:dyDescent="0.25">
      <c r="A147" t="str">
        <f t="shared" si="2"/>
        <v>strogatz_barmag1_15795</v>
      </c>
      <c r="B147" t="s">
        <v>21</v>
      </c>
      <c r="C147" t="s">
        <v>189</v>
      </c>
      <c r="D147">
        <v>7200</v>
      </c>
      <c r="E147" t="s">
        <v>190</v>
      </c>
      <c r="F147">
        <v>1000000</v>
      </c>
      <c r="G147" t="s">
        <v>191</v>
      </c>
      <c r="H147">
        <v>15795</v>
      </c>
      <c r="I147" t="s">
        <v>192</v>
      </c>
      <c r="J147">
        <v>1E-3</v>
      </c>
      <c r="K147" t="s">
        <v>3</v>
      </c>
      <c r="L147">
        <v>1</v>
      </c>
      <c r="M147" t="s">
        <v>2</v>
      </c>
      <c r="N147">
        <v>0</v>
      </c>
      <c r="O147" t="s">
        <v>17</v>
      </c>
      <c r="P147">
        <v>14</v>
      </c>
      <c r="Q147" t="s">
        <v>0</v>
      </c>
      <c r="R147">
        <v>674.9</v>
      </c>
      <c r="S147" t="s">
        <v>152</v>
      </c>
      <c r="T147">
        <v>8</v>
      </c>
      <c r="U147" t="s">
        <v>153</v>
      </c>
      <c r="V147">
        <v>398</v>
      </c>
      <c r="W147" t="s">
        <v>151</v>
      </c>
      <c r="X147">
        <v>309350</v>
      </c>
      <c r="Y147" t="s">
        <v>1</v>
      </c>
      <c r="Z147" t="s">
        <v>183</v>
      </c>
      <c r="AA147" t="s">
        <v>5</v>
      </c>
      <c r="AB147">
        <v>1</v>
      </c>
      <c r="AC147" t="s">
        <v>4</v>
      </c>
      <c r="AD147">
        <v>0</v>
      </c>
    </row>
    <row r="148" spans="1:30" x14ac:dyDescent="0.25">
      <c r="A148" t="str">
        <f t="shared" si="2"/>
        <v>feynman_I_13_4_15795</v>
      </c>
      <c r="B148" t="s">
        <v>107</v>
      </c>
      <c r="C148" t="s">
        <v>189</v>
      </c>
      <c r="D148">
        <v>7200</v>
      </c>
      <c r="E148" t="s">
        <v>190</v>
      </c>
      <c r="F148">
        <v>1000000</v>
      </c>
      <c r="G148" t="s">
        <v>191</v>
      </c>
      <c r="H148">
        <v>15795</v>
      </c>
      <c r="I148" t="s">
        <v>192</v>
      </c>
      <c r="J148">
        <v>1E-3</v>
      </c>
      <c r="K148" t="s">
        <v>3</v>
      </c>
      <c r="L148">
        <v>1</v>
      </c>
      <c r="M148" t="s">
        <v>2</v>
      </c>
      <c r="N148">
        <v>0</v>
      </c>
      <c r="O148" t="s">
        <v>17</v>
      </c>
      <c r="P148">
        <v>24</v>
      </c>
      <c r="Q148" t="s">
        <v>0</v>
      </c>
      <c r="R148">
        <v>219.5</v>
      </c>
      <c r="S148" t="s">
        <v>152</v>
      </c>
      <c r="T148">
        <v>1</v>
      </c>
      <c r="U148" t="s">
        <v>153</v>
      </c>
      <c r="V148">
        <v>16</v>
      </c>
      <c r="W148" t="s">
        <v>151</v>
      </c>
      <c r="X148">
        <v>23850</v>
      </c>
      <c r="Y148" t="s">
        <v>1</v>
      </c>
      <c r="Z148" t="s">
        <v>204</v>
      </c>
      <c r="AA148" t="s">
        <v>5</v>
      </c>
      <c r="AB148">
        <v>1</v>
      </c>
      <c r="AC148" t="s">
        <v>4</v>
      </c>
      <c r="AD148">
        <v>0</v>
      </c>
    </row>
    <row r="149" spans="1:30" x14ac:dyDescent="0.25">
      <c r="A149" t="str">
        <f t="shared" si="2"/>
        <v>strogatz_bacres1_15795</v>
      </c>
      <c r="B149" t="s">
        <v>26</v>
      </c>
      <c r="C149" t="s">
        <v>189</v>
      </c>
      <c r="D149">
        <v>7200</v>
      </c>
      <c r="E149" t="s">
        <v>190</v>
      </c>
      <c r="F149">
        <v>1000000</v>
      </c>
      <c r="G149" t="s">
        <v>191</v>
      </c>
      <c r="H149">
        <v>15795</v>
      </c>
      <c r="I149" t="s">
        <v>192</v>
      </c>
      <c r="J149">
        <v>1E-3</v>
      </c>
      <c r="K149" t="s">
        <v>3</v>
      </c>
      <c r="L149">
        <v>0.99999629999999995</v>
      </c>
      <c r="M149" t="s">
        <v>2</v>
      </c>
      <c r="N149">
        <v>4.6090000000000002E-3</v>
      </c>
      <c r="O149" t="s">
        <v>17</v>
      </c>
      <c r="P149">
        <v>20</v>
      </c>
      <c r="Q149" t="s">
        <v>0</v>
      </c>
      <c r="R149">
        <v>942.4</v>
      </c>
      <c r="S149" t="s">
        <v>152</v>
      </c>
      <c r="T149">
        <v>9</v>
      </c>
      <c r="U149" t="s">
        <v>153</v>
      </c>
      <c r="V149">
        <v>651</v>
      </c>
      <c r="W149" t="s">
        <v>151</v>
      </c>
      <c r="X149">
        <v>364011</v>
      </c>
      <c r="Y149" t="s">
        <v>1</v>
      </c>
      <c r="Z149" t="s">
        <v>491</v>
      </c>
      <c r="AA149" t="s">
        <v>5</v>
      </c>
      <c r="AB149">
        <v>0.99999649999999995</v>
      </c>
      <c r="AC149" t="s">
        <v>4</v>
      </c>
      <c r="AD149">
        <v>5.4672999999999996E-3</v>
      </c>
    </row>
    <row r="150" spans="1:30" x14ac:dyDescent="0.25">
      <c r="A150" t="str">
        <f t="shared" si="2"/>
        <v>feynman_II_13_17_15795</v>
      </c>
      <c r="B150" t="s">
        <v>113</v>
      </c>
      <c r="C150" t="s">
        <v>189</v>
      </c>
      <c r="D150">
        <v>7200</v>
      </c>
      <c r="E150" t="s">
        <v>190</v>
      </c>
      <c r="F150">
        <v>1000000</v>
      </c>
      <c r="G150" t="s">
        <v>191</v>
      </c>
      <c r="H150">
        <v>15795</v>
      </c>
      <c r="I150" t="s">
        <v>192</v>
      </c>
      <c r="J150">
        <v>1E-3</v>
      </c>
      <c r="K150" t="s">
        <v>3</v>
      </c>
      <c r="L150">
        <v>1</v>
      </c>
      <c r="M150" t="s">
        <v>2</v>
      </c>
      <c r="N150">
        <v>0</v>
      </c>
      <c r="O150" t="s">
        <v>17</v>
      </c>
      <c r="P150">
        <v>16</v>
      </c>
      <c r="Q150" t="s">
        <v>0</v>
      </c>
      <c r="R150">
        <v>239.9</v>
      </c>
      <c r="S150" t="s">
        <v>152</v>
      </c>
      <c r="T150">
        <v>6</v>
      </c>
      <c r="U150" t="s">
        <v>153</v>
      </c>
      <c r="V150">
        <v>47</v>
      </c>
      <c r="W150" t="s">
        <v>151</v>
      </c>
      <c r="X150">
        <v>41803</v>
      </c>
      <c r="Y150" t="s">
        <v>1</v>
      </c>
      <c r="Z150" t="s">
        <v>168</v>
      </c>
      <c r="AA150" t="s">
        <v>5</v>
      </c>
      <c r="AB150">
        <v>1</v>
      </c>
      <c r="AC150" t="s">
        <v>4</v>
      </c>
      <c r="AD150">
        <v>0</v>
      </c>
    </row>
    <row r="151" spans="1:30" x14ac:dyDescent="0.25">
      <c r="A151" t="str">
        <f t="shared" si="2"/>
        <v>feynman_III_19_51_15795</v>
      </c>
      <c r="B151" t="s">
        <v>135</v>
      </c>
      <c r="C151" t="s">
        <v>189</v>
      </c>
      <c r="D151">
        <v>7200</v>
      </c>
      <c r="E151" t="s">
        <v>190</v>
      </c>
      <c r="F151">
        <v>1000000</v>
      </c>
      <c r="G151" t="s">
        <v>191</v>
      </c>
      <c r="H151">
        <v>15795</v>
      </c>
      <c r="I151" t="s">
        <v>192</v>
      </c>
      <c r="J151">
        <v>1E-3</v>
      </c>
      <c r="K151" t="s">
        <v>3</v>
      </c>
      <c r="L151">
        <v>1</v>
      </c>
      <c r="M151" t="s">
        <v>2</v>
      </c>
      <c r="N151">
        <v>0</v>
      </c>
      <c r="O151" t="s">
        <v>17</v>
      </c>
      <c r="P151">
        <v>20</v>
      </c>
      <c r="Q151" t="s">
        <v>0</v>
      </c>
      <c r="R151">
        <v>937.5</v>
      </c>
      <c r="S151" t="s">
        <v>152</v>
      </c>
      <c r="T151">
        <v>3</v>
      </c>
      <c r="U151" t="s">
        <v>153</v>
      </c>
      <c r="V151">
        <v>52</v>
      </c>
      <c r="W151" t="s">
        <v>151</v>
      </c>
      <c r="X151">
        <v>131951</v>
      </c>
      <c r="Y151" t="s">
        <v>1</v>
      </c>
      <c r="Z151" t="s">
        <v>181</v>
      </c>
      <c r="AA151" t="s">
        <v>5</v>
      </c>
      <c r="AB151">
        <v>1</v>
      </c>
      <c r="AC151" t="s">
        <v>4</v>
      </c>
      <c r="AD151">
        <v>0</v>
      </c>
    </row>
    <row r="152" spans="1:30" x14ac:dyDescent="0.25">
      <c r="A152" t="str">
        <f t="shared" si="2"/>
        <v>feynman_III_15_12_15795</v>
      </c>
      <c r="B152" t="s">
        <v>67</v>
      </c>
      <c r="C152" t="s">
        <v>189</v>
      </c>
      <c r="D152">
        <v>7200</v>
      </c>
      <c r="E152" t="s">
        <v>190</v>
      </c>
      <c r="F152">
        <v>1000000</v>
      </c>
      <c r="G152" t="s">
        <v>191</v>
      </c>
      <c r="H152">
        <v>15795</v>
      </c>
      <c r="I152" t="s">
        <v>192</v>
      </c>
      <c r="J152">
        <v>1E-3</v>
      </c>
      <c r="K152" t="s">
        <v>3</v>
      </c>
      <c r="L152">
        <v>1</v>
      </c>
      <c r="M152" t="s">
        <v>2</v>
      </c>
      <c r="N152">
        <v>0</v>
      </c>
      <c r="O152" t="s">
        <v>17</v>
      </c>
      <c r="P152">
        <v>15</v>
      </c>
      <c r="Q152" t="s">
        <v>0</v>
      </c>
      <c r="R152">
        <v>817.2</v>
      </c>
      <c r="S152" t="s">
        <v>152</v>
      </c>
      <c r="T152">
        <v>10</v>
      </c>
      <c r="U152" t="s">
        <v>153</v>
      </c>
      <c r="V152">
        <v>197</v>
      </c>
      <c r="W152" t="s">
        <v>151</v>
      </c>
      <c r="X152">
        <v>129880</v>
      </c>
      <c r="Y152" t="s">
        <v>1</v>
      </c>
      <c r="Z152" t="s">
        <v>434</v>
      </c>
      <c r="AA152" t="s">
        <v>5</v>
      </c>
      <c r="AB152">
        <v>1</v>
      </c>
      <c r="AC152" t="s">
        <v>4</v>
      </c>
      <c r="AD152">
        <v>0</v>
      </c>
    </row>
    <row r="153" spans="1:30" x14ac:dyDescent="0.25">
      <c r="A153" t="str">
        <f t="shared" si="2"/>
        <v>strogatz_shearflow1_15795</v>
      </c>
      <c r="B153" t="s">
        <v>23</v>
      </c>
      <c r="C153" t="s">
        <v>189</v>
      </c>
      <c r="D153">
        <v>7200</v>
      </c>
      <c r="E153" t="s">
        <v>190</v>
      </c>
      <c r="F153">
        <v>1000000</v>
      </c>
      <c r="G153" t="s">
        <v>191</v>
      </c>
      <c r="H153">
        <v>15795</v>
      </c>
      <c r="I153" t="s">
        <v>192</v>
      </c>
      <c r="J153">
        <v>1E-3</v>
      </c>
      <c r="K153" t="s">
        <v>3</v>
      </c>
      <c r="L153">
        <v>0.36658089999999999</v>
      </c>
      <c r="M153" t="s">
        <v>2</v>
      </c>
      <c r="N153">
        <v>0.36004770000000003</v>
      </c>
      <c r="O153" t="s">
        <v>17</v>
      </c>
      <c r="P153">
        <v>42</v>
      </c>
      <c r="Q153" t="s">
        <v>0</v>
      </c>
      <c r="R153">
        <v>2594.8000000000002</v>
      </c>
      <c r="S153" t="s">
        <v>152</v>
      </c>
      <c r="T153">
        <v>7</v>
      </c>
      <c r="U153" t="s">
        <v>153</v>
      </c>
      <c r="V153">
        <v>1063</v>
      </c>
      <c r="W153" t="s">
        <v>151</v>
      </c>
      <c r="X153">
        <v>1000205</v>
      </c>
      <c r="Y153" t="s">
        <v>1</v>
      </c>
      <c r="Z153" t="s">
        <v>492</v>
      </c>
      <c r="AA153" t="s">
        <v>5</v>
      </c>
      <c r="AB153">
        <v>-1.7188650999999999</v>
      </c>
      <c r="AC153" t="s">
        <v>4</v>
      </c>
      <c r="AD153">
        <v>1.4832951000000001</v>
      </c>
    </row>
    <row r="154" spans="1:30" x14ac:dyDescent="0.25">
      <c r="A154" t="str">
        <f t="shared" si="2"/>
        <v>feynman_I_8_14_23654</v>
      </c>
      <c r="B154" t="s">
        <v>89</v>
      </c>
      <c r="C154" t="s">
        <v>189</v>
      </c>
      <c r="D154">
        <v>7200</v>
      </c>
      <c r="E154" t="s">
        <v>190</v>
      </c>
      <c r="F154">
        <v>1000000</v>
      </c>
      <c r="G154" t="s">
        <v>191</v>
      </c>
      <c r="H154">
        <v>23654</v>
      </c>
      <c r="I154" t="s">
        <v>192</v>
      </c>
      <c r="J154">
        <v>1E-3</v>
      </c>
      <c r="K154" t="s">
        <v>3</v>
      </c>
      <c r="L154">
        <v>0.96633979999999997</v>
      </c>
      <c r="M154" t="s">
        <v>2</v>
      </c>
      <c r="N154">
        <v>0.1827192</v>
      </c>
      <c r="O154" t="s">
        <v>17</v>
      </c>
      <c r="P154">
        <v>34</v>
      </c>
      <c r="Q154" t="s">
        <v>0</v>
      </c>
      <c r="R154">
        <v>7200.4</v>
      </c>
      <c r="S154" t="s">
        <v>152</v>
      </c>
      <c r="T154">
        <v>8</v>
      </c>
      <c r="U154" t="s">
        <v>153</v>
      </c>
      <c r="V154">
        <v>544</v>
      </c>
      <c r="W154" t="s">
        <v>151</v>
      </c>
      <c r="X154">
        <v>924574</v>
      </c>
      <c r="Y154" t="s">
        <v>1</v>
      </c>
      <c r="Z154" t="s">
        <v>493</v>
      </c>
      <c r="AA154" t="s">
        <v>5</v>
      </c>
      <c r="AB154">
        <v>0.96637510000000004</v>
      </c>
      <c r="AC154" t="s">
        <v>4</v>
      </c>
      <c r="AD154">
        <v>0.18170040000000001</v>
      </c>
    </row>
    <row r="155" spans="1:30" x14ac:dyDescent="0.25">
      <c r="A155" t="str">
        <f t="shared" si="2"/>
        <v>feynman_I_12_1_15795</v>
      </c>
      <c r="B155" t="s">
        <v>37</v>
      </c>
      <c r="C155" t="s">
        <v>189</v>
      </c>
      <c r="D155">
        <v>7200</v>
      </c>
      <c r="E155" t="s">
        <v>190</v>
      </c>
      <c r="F155">
        <v>1000000</v>
      </c>
      <c r="G155" t="s">
        <v>191</v>
      </c>
      <c r="H155">
        <v>15795</v>
      </c>
      <c r="I155" t="s">
        <v>192</v>
      </c>
      <c r="J155">
        <v>1E-3</v>
      </c>
      <c r="K155" t="s">
        <v>3</v>
      </c>
      <c r="L155">
        <v>1</v>
      </c>
      <c r="M155" t="s">
        <v>2</v>
      </c>
      <c r="N155">
        <v>0</v>
      </c>
      <c r="O155" t="s">
        <v>17</v>
      </c>
      <c r="P155">
        <v>6</v>
      </c>
      <c r="Q155" t="s">
        <v>0</v>
      </c>
      <c r="R155">
        <v>1.1000000000000001</v>
      </c>
      <c r="S155" t="s">
        <v>152</v>
      </c>
      <c r="T155">
        <v>1</v>
      </c>
      <c r="U155" t="s">
        <v>153</v>
      </c>
      <c r="V155">
        <v>2</v>
      </c>
      <c r="W155" t="s">
        <v>151</v>
      </c>
      <c r="X155">
        <v>264</v>
      </c>
      <c r="Y155" t="s">
        <v>1</v>
      </c>
      <c r="Z155" t="s">
        <v>157</v>
      </c>
      <c r="AA155" t="s">
        <v>5</v>
      </c>
      <c r="AB155">
        <v>1</v>
      </c>
      <c r="AC155" t="s">
        <v>4</v>
      </c>
      <c r="AD155">
        <v>0</v>
      </c>
    </row>
    <row r="156" spans="1:30" x14ac:dyDescent="0.25">
      <c r="A156" t="str">
        <f t="shared" si="2"/>
        <v>feynman_I_14_3_15795</v>
      </c>
      <c r="B156" t="s">
        <v>73</v>
      </c>
      <c r="C156" t="s">
        <v>189</v>
      </c>
      <c r="D156">
        <v>7200</v>
      </c>
      <c r="E156" t="s">
        <v>190</v>
      </c>
      <c r="F156">
        <v>1000000</v>
      </c>
      <c r="G156" t="s">
        <v>191</v>
      </c>
      <c r="H156">
        <v>15795</v>
      </c>
      <c r="I156" t="s">
        <v>192</v>
      </c>
      <c r="J156">
        <v>1E-3</v>
      </c>
      <c r="K156" t="s">
        <v>3</v>
      </c>
      <c r="L156">
        <v>1</v>
      </c>
      <c r="M156" t="s">
        <v>2</v>
      </c>
      <c r="N156">
        <v>0</v>
      </c>
      <c r="O156" t="s">
        <v>17</v>
      </c>
      <c r="P156">
        <v>8</v>
      </c>
      <c r="Q156" t="s">
        <v>0</v>
      </c>
      <c r="R156">
        <v>3.1</v>
      </c>
      <c r="S156" t="s">
        <v>152</v>
      </c>
      <c r="T156">
        <v>1</v>
      </c>
      <c r="U156" t="s">
        <v>153</v>
      </c>
      <c r="V156">
        <v>3</v>
      </c>
      <c r="W156" t="s">
        <v>151</v>
      </c>
      <c r="X156">
        <v>660</v>
      </c>
      <c r="Y156" t="s">
        <v>1</v>
      </c>
      <c r="Z156" t="s">
        <v>207</v>
      </c>
      <c r="AA156" t="s">
        <v>5</v>
      </c>
      <c r="AB156">
        <v>1</v>
      </c>
      <c r="AC156" t="s">
        <v>4</v>
      </c>
      <c r="AD156">
        <v>0</v>
      </c>
    </row>
    <row r="157" spans="1:30" x14ac:dyDescent="0.25">
      <c r="A157" t="str">
        <f t="shared" si="2"/>
        <v>feynman_II_37_1_15795</v>
      </c>
      <c r="B157" t="s">
        <v>75</v>
      </c>
      <c r="C157" t="s">
        <v>189</v>
      </c>
      <c r="D157">
        <v>7200</v>
      </c>
      <c r="E157" t="s">
        <v>190</v>
      </c>
      <c r="F157">
        <v>1000000</v>
      </c>
      <c r="G157" t="s">
        <v>191</v>
      </c>
      <c r="H157">
        <v>15795</v>
      </c>
      <c r="I157" t="s">
        <v>192</v>
      </c>
      <c r="J157">
        <v>1E-3</v>
      </c>
      <c r="K157" t="s">
        <v>3</v>
      </c>
      <c r="L157">
        <v>1</v>
      </c>
      <c r="M157" t="s">
        <v>2</v>
      </c>
      <c r="N157">
        <v>0</v>
      </c>
      <c r="O157" t="s">
        <v>17</v>
      </c>
      <c r="P157">
        <v>14</v>
      </c>
      <c r="Q157" t="s">
        <v>0</v>
      </c>
      <c r="R157">
        <v>6.6</v>
      </c>
      <c r="S157" t="s">
        <v>152</v>
      </c>
      <c r="T157">
        <v>1</v>
      </c>
      <c r="U157" t="s">
        <v>153</v>
      </c>
      <c r="V157">
        <v>4</v>
      </c>
      <c r="W157" t="s">
        <v>151</v>
      </c>
      <c r="X157">
        <v>1330</v>
      </c>
      <c r="Y157" t="s">
        <v>1</v>
      </c>
      <c r="Z157" t="s">
        <v>164</v>
      </c>
      <c r="AA157" t="s">
        <v>5</v>
      </c>
      <c r="AB157">
        <v>1</v>
      </c>
      <c r="AC157" t="s">
        <v>4</v>
      </c>
      <c r="AD157">
        <v>0</v>
      </c>
    </row>
    <row r="158" spans="1:30" x14ac:dyDescent="0.25">
      <c r="A158" t="str">
        <f t="shared" si="2"/>
        <v>feynman_II_38_3_15795</v>
      </c>
      <c r="B158" t="s">
        <v>101</v>
      </c>
      <c r="C158" t="s">
        <v>189</v>
      </c>
      <c r="D158">
        <v>7200</v>
      </c>
      <c r="E158" t="s">
        <v>190</v>
      </c>
      <c r="F158">
        <v>1000000</v>
      </c>
      <c r="G158" t="s">
        <v>191</v>
      </c>
      <c r="H158">
        <v>15795</v>
      </c>
      <c r="I158" t="s">
        <v>192</v>
      </c>
      <c r="J158">
        <v>1E-3</v>
      </c>
      <c r="K158" t="s">
        <v>3</v>
      </c>
      <c r="L158">
        <v>1</v>
      </c>
      <c r="M158" t="s">
        <v>2</v>
      </c>
      <c r="N158">
        <v>0</v>
      </c>
      <c r="O158" t="s">
        <v>17</v>
      </c>
      <c r="P158">
        <v>12</v>
      </c>
      <c r="Q158" t="s">
        <v>0</v>
      </c>
      <c r="R158">
        <v>7.7</v>
      </c>
      <c r="S158" t="s">
        <v>152</v>
      </c>
      <c r="T158">
        <v>1</v>
      </c>
      <c r="U158" t="s">
        <v>153</v>
      </c>
      <c r="V158">
        <v>4</v>
      </c>
      <c r="W158" t="s">
        <v>151</v>
      </c>
      <c r="X158">
        <v>1559</v>
      </c>
      <c r="Y158" t="s">
        <v>1</v>
      </c>
      <c r="Z158" t="s">
        <v>203</v>
      </c>
      <c r="AA158" t="s">
        <v>5</v>
      </c>
      <c r="AB158">
        <v>1</v>
      </c>
      <c r="AC158" t="s">
        <v>4</v>
      </c>
      <c r="AD158">
        <v>0</v>
      </c>
    </row>
    <row r="159" spans="1:30" x14ac:dyDescent="0.25">
      <c r="A159" t="str">
        <f t="shared" si="2"/>
        <v>strogatz_lv2_15795</v>
      </c>
      <c r="B159" t="s">
        <v>27</v>
      </c>
      <c r="C159" t="s">
        <v>189</v>
      </c>
      <c r="D159">
        <v>7200</v>
      </c>
      <c r="E159" t="s">
        <v>190</v>
      </c>
      <c r="F159">
        <v>1000000</v>
      </c>
      <c r="G159" t="s">
        <v>191</v>
      </c>
      <c r="H159">
        <v>15795</v>
      </c>
      <c r="I159" t="s">
        <v>192</v>
      </c>
      <c r="J159">
        <v>1E-3</v>
      </c>
      <c r="K159" t="s">
        <v>3</v>
      </c>
      <c r="L159">
        <v>1</v>
      </c>
      <c r="M159" t="s">
        <v>2</v>
      </c>
      <c r="N159">
        <v>0</v>
      </c>
      <c r="O159" t="s">
        <v>17</v>
      </c>
      <c r="P159">
        <v>16</v>
      </c>
      <c r="Q159" t="s">
        <v>0</v>
      </c>
      <c r="R159">
        <v>88.1</v>
      </c>
      <c r="S159" t="s">
        <v>152</v>
      </c>
      <c r="T159">
        <v>4</v>
      </c>
      <c r="U159" t="s">
        <v>153</v>
      </c>
      <c r="V159">
        <v>61</v>
      </c>
      <c r="W159" t="s">
        <v>151</v>
      </c>
      <c r="X159">
        <v>41356</v>
      </c>
      <c r="Y159" t="s">
        <v>1</v>
      </c>
      <c r="Z159" t="s">
        <v>429</v>
      </c>
      <c r="AA159" t="s">
        <v>5</v>
      </c>
      <c r="AB159">
        <v>1</v>
      </c>
      <c r="AC159" t="s">
        <v>4</v>
      </c>
      <c r="AD159">
        <v>0</v>
      </c>
    </row>
    <row r="160" spans="1:30" x14ac:dyDescent="0.25">
      <c r="A160" t="str">
        <f t="shared" si="2"/>
        <v>feynman_I_24_6_15795</v>
      </c>
      <c r="B160" t="s">
        <v>106</v>
      </c>
      <c r="C160" t="s">
        <v>189</v>
      </c>
      <c r="D160">
        <v>7200</v>
      </c>
      <c r="E160" t="s">
        <v>190</v>
      </c>
      <c r="F160">
        <v>1000000</v>
      </c>
      <c r="G160" t="s">
        <v>191</v>
      </c>
      <c r="H160">
        <v>15795</v>
      </c>
      <c r="I160" t="s">
        <v>192</v>
      </c>
      <c r="J160">
        <v>1E-3</v>
      </c>
      <c r="K160" t="s">
        <v>3</v>
      </c>
      <c r="L160">
        <v>1</v>
      </c>
      <c r="M160" t="s">
        <v>2</v>
      </c>
      <c r="N160">
        <v>0</v>
      </c>
      <c r="O160" t="s">
        <v>17</v>
      </c>
      <c r="P160">
        <v>26</v>
      </c>
      <c r="Q160" t="s">
        <v>0</v>
      </c>
      <c r="R160">
        <v>89.5</v>
      </c>
      <c r="S160" t="s">
        <v>152</v>
      </c>
      <c r="T160">
        <v>1</v>
      </c>
      <c r="U160" t="s">
        <v>153</v>
      </c>
      <c r="V160">
        <v>10</v>
      </c>
      <c r="W160" t="s">
        <v>151</v>
      </c>
      <c r="X160">
        <v>11952</v>
      </c>
      <c r="Y160" t="s">
        <v>1</v>
      </c>
      <c r="Z160" t="s">
        <v>494</v>
      </c>
      <c r="AA160" t="s">
        <v>5</v>
      </c>
      <c r="AB160">
        <v>1</v>
      </c>
      <c r="AC160" t="s">
        <v>4</v>
      </c>
      <c r="AD160">
        <v>0</v>
      </c>
    </row>
    <row r="161" spans="1:30" x14ac:dyDescent="0.25">
      <c r="A161" t="str">
        <f t="shared" si="2"/>
        <v>feynman_II_24_17_23654</v>
      </c>
      <c r="B161" t="s">
        <v>49</v>
      </c>
      <c r="C161" t="s">
        <v>189</v>
      </c>
      <c r="D161">
        <v>7200</v>
      </c>
      <c r="E161" t="s">
        <v>190</v>
      </c>
      <c r="F161">
        <v>1000000</v>
      </c>
      <c r="G161" t="s">
        <v>191</v>
      </c>
      <c r="H161">
        <v>23654</v>
      </c>
      <c r="I161" t="s">
        <v>192</v>
      </c>
      <c r="J161">
        <v>1E-3</v>
      </c>
      <c r="K161" t="s">
        <v>3</v>
      </c>
      <c r="L161">
        <v>0.99997119999999995</v>
      </c>
      <c r="M161" t="s">
        <v>2</v>
      </c>
      <c r="N161">
        <v>4.6220999999999996E-3</v>
      </c>
      <c r="O161" t="s">
        <v>17</v>
      </c>
      <c r="P161">
        <v>22</v>
      </c>
      <c r="Q161" t="s">
        <v>0</v>
      </c>
      <c r="R161">
        <v>7202.3</v>
      </c>
      <c r="S161" t="s">
        <v>152</v>
      </c>
      <c r="T161">
        <v>8</v>
      </c>
      <c r="U161" t="s">
        <v>153</v>
      </c>
      <c r="V161">
        <v>723</v>
      </c>
      <c r="W161" t="s">
        <v>151</v>
      </c>
      <c r="X161">
        <v>509959</v>
      </c>
      <c r="Y161" t="s">
        <v>1</v>
      </c>
      <c r="Z161" t="s">
        <v>495</v>
      </c>
      <c r="AA161" t="s">
        <v>5</v>
      </c>
      <c r="AB161">
        <v>0.9999709</v>
      </c>
      <c r="AC161" t="s">
        <v>4</v>
      </c>
      <c r="AD161">
        <v>4.6495E-3</v>
      </c>
    </row>
    <row r="162" spans="1:30" x14ac:dyDescent="0.25">
      <c r="A162" t="str">
        <f t="shared" si="2"/>
        <v>feynman_I_32_5_15795</v>
      </c>
      <c r="B162" t="s">
        <v>108</v>
      </c>
      <c r="C162" t="s">
        <v>189</v>
      </c>
      <c r="D162">
        <v>7200</v>
      </c>
      <c r="E162" t="s">
        <v>190</v>
      </c>
      <c r="F162">
        <v>1000000</v>
      </c>
      <c r="G162" t="s">
        <v>191</v>
      </c>
      <c r="H162">
        <v>15795</v>
      </c>
      <c r="I162" t="s">
        <v>192</v>
      </c>
      <c r="J162">
        <v>1E-3</v>
      </c>
      <c r="K162" t="s">
        <v>3</v>
      </c>
      <c r="L162">
        <v>1</v>
      </c>
      <c r="M162" t="s">
        <v>2</v>
      </c>
      <c r="N162">
        <v>0</v>
      </c>
      <c r="O162" t="s">
        <v>17</v>
      </c>
      <c r="P162">
        <v>18</v>
      </c>
      <c r="Q162" t="s">
        <v>0</v>
      </c>
      <c r="R162">
        <v>21.4</v>
      </c>
      <c r="S162" t="s">
        <v>152</v>
      </c>
      <c r="T162">
        <v>1</v>
      </c>
      <c r="U162" t="s">
        <v>153</v>
      </c>
      <c r="V162">
        <v>6</v>
      </c>
      <c r="W162" t="s">
        <v>151</v>
      </c>
      <c r="X162">
        <v>3980</v>
      </c>
      <c r="Y162" t="s">
        <v>1</v>
      </c>
      <c r="Z162" t="s">
        <v>432</v>
      </c>
      <c r="AA162" t="s">
        <v>5</v>
      </c>
      <c r="AB162">
        <v>1</v>
      </c>
      <c r="AC162" t="s">
        <v>4</v>
      </c>
      <c r="AD162">
        <v>0</v>
      </c>
    </row>
    <row r="163" spans="1:30" x14ac:dyDescent="0.25">
      <c r="A163" t="str">
        <f t="shared" si="2"/>
        <v>feynman_I_18_14_15795</v>
      </c>
      <c r="B163" t="s">
        <v>111</v>
      </c>
      <c r="C163" t="s">
        <v>189</v>
      </c>
      <c r="D163">
        <v>7200</v>
      </c>
      <c r="E163" t="s">
        <v>190</v>
      </c>
      <c r="F163">
        <v>1000000</v>
      </c>
      <c r="G163" t="s">
        <v>191</v>
      </c>
      <c r="H163">
        <v>15795</v>
      </c>
      <c r="I163" t="s">
        <v>192</v>
      </c>
      <c r="J163">
        <v>1E-3</v>
      </c>
      <c r="K163" t="s">
        <v>3</v>
      </c>
      <c r="L163">
        <v>1</v>
      </c>
      <c r="M163" t="s">
        <v>2</v>
      </c>
      <c r="N163">
        <v>0</v>
      </c>
      <c r="O163" t="s">
        <v>17</v>
      </c>
      <c r="P163">
        <v>11</v>
      </c>
      <c r="Q163" t="s">
        <v>0</v>
      </c>
      <c r="R163">
        <v>8.3000000000000007</v>
      </c>
      <c r="S163" t="s">
        <v>152</v>
      </c>
      <c r="T163">
        <v>1</v>
      </c>
      <c r="U163" t="s">
        <v>153</v>
      </c>
      <c r="V163">
        <v>5</v>
      </c>
      <c r="W163" t="s">
        <v>151</v>
      </c>
      <c r="X163">
        <v>1651</v>
      </c>
      <c r="Y163" t="s">
        <v>1</v>
      </c>
      <c r="Z163" t="s">
        <v>212</v>
      </c>
      <c r="AA163" t="s">
        <v>5</v>
      </c>
      <c r="AB163">
        <v>1</v>
      </c>
      <c r="AC163" t="s">
        <v>4</v>
      </c>
      <c r="AD163">
        <v>0</v>
      </c>
    </row>
    <row r="164" spans="1:30" x14ac:dyDescent="0.25">
      <c r="A164" t="str">
        <f t="shared" si="2"/>
        <v>feynman_I_15_3t_23654</v>
      </c>
      <c r="B164" t="s">
        <v>92</v>
      </c>
      <c r="C164" t="s">
        <v>189</v>
      </c>
      <c r="D164">
        <v>7200</v>
      </c>
      <c r="E164" t="s">
        <v>190</v>
      </c>
      <c r="F164">
        <v>1000000</v>
      </c>
      <c r="G164" t="s">
        <v>191</v>
      </c>
      <c r="H164">
        <v>23654</v>
      </c>
      <c r="I164" t="s">
        <v>192</v>
      </c>
      <c r="J164">
        <v>1E-3</v>
      </c>
      <c r="K164" t="s">
        <v>3</v>
      </c>
      <c r="L164">
        <v>0.9999458</v>
      </c>
      <c r="M164" t="s">
        <v>2</v>
      </c>
      <c r="N164">
        <v>8.9178999999999994E-3</v>
      </c>
      <c r="O164" t="s">
        <v>17</v>
      </c>
      <c r="P164">
        <v>28</v>
      </c>
      <c r="Q164" t="s">
        <v>0</v>
      </c>
      <c r="R164">
        <v>7201.4</v>
      </c>
      <c r="S164" t="s">
        <v>152</v>
      </c>
      <c r="T164">
        <v>12</v>
      </c>
      <c r="U164" t="s">
        <v>153</v>
      </c>
      <c r="V164">
        <v>224</v>
      </c>
      <c r="W164" t="s">
        <v>151</v>
      </c>
      <c r="X164">
        <v>178432</v>
      </c>
      <c r="Y164" t="s">
        <v>1</v>
      </c>
      <c r="Z164" t="s">
        <v>496</v>
      </c>
      <c r="AA164" t="s">
        <v>5</v>
      </c>
      <c r="AB164">
        <v>0.99994329999999998</v>
      </c>
      <c r="AC164" t="s">
        <v>4</v>
      </c>
      <c r="AD164">
        <v>9.0699000000000005E-3</v>
      </c>
    </row>
    <row r="165" spans="1:30" x14ac:dyDescent="0.25">
      <c r="A165" t="str">
        <f t="shared" si="2"/>
        <v>feynman_I_39_1_15795</v>
      </c>
      <c r="B165" t="s">
        <v>39</v>
      </c>
      <c r="C165" t="s">
        <v>189</v>
      </c>
      <c r="D165">
        <v>7200</v>
      </c>
      <c r="E165" t="s">
        <v>190</v>
      </c>
      <c r="F165">
        <v>1000000</v>
      </c>
      <c r="G165" t="s">
        <v>191</v>
      </c>
      <c r="H165">
        <v>15795</v>
      </c>
      <c r="I165" t="s">
        <v>192</v>
      </c>
      <c r="J165">
        <v>1E-3</v>
      </c>
      <c r="K165" t="s">
        <v>3</v>
      </c>
      <c r="L165">
        <v>1</v>
      </c>
      <c r="M165" t="s">
        <v>2</v>
      </c>
      <c r="N165">
        <v>0</v>
      </c>
      <c r="O165" t="s">
        <v>17</v>
      </c>
      <c r="P165">
        <v>6</v>
      </c>
      <c r="Q165" t="s">
        <v>0</v>
      </c>
      <c r="R165">
        <v>1.1000000000000001</v>
      </c>
      <c r="S165" t="s">
        <v>152</v>
      </c>
      <c r="T165">
        <v>1</v>
      </c>
      <c r="U165" t="s">
        <v>153</v>
      </c>
      <c r="V165">
        <v>2</v>
      </c>
      <c r="W165" t="s">
        <v>151</v>
      </c>
      <c r="X165">
        <v>265</v>
      </c>
      <c r="Y165" t="s">
        <v>1</v>
      </c>
      <c r="Z165" t="s">
        <v>158</v>
      </c>
      <c r="AA165" t="s">
        <v>5</v>
      </c>
      <c r="AB165">
        <v>1</v>
      </c>
      <c r="AC165" t="s">
        <v>4</v>
      </c>
      <c r="AD165">
        <v>0</v>
      </c>
    </row>
    <row r="166" spans="1:30" x14ac:dyDescent="0.25">
      <c r="A166" t="str">
        <f t="shared" si="2"/>
        <v>feynman_I_43_31_15795</v>
      </c>
      <c r="B166" t="s">
        <v>72</v>
      </c>
      <c r="C166" t="s">
        <v>189</v>
      </c>
      <c r="D166">
        <v>7200</v>
      </c>
      <c r="E166" t="s">
        <v>190</v>
      </c>
      <c r="F166">
        <v>1000000</v>
      </c>
      <c r="G166" t="s">
        <v>191</v>
      </c>
      <c r="H166">
        <v>15795</v>
      </c>
      <c r="I166" t="s">
        <v>192</v>
      </c>
      <c r="J166">
        <v>1E-3</v>
      </c>
      <c r="K166" t="s">
        <v>3</v>
      </c>
      <c r="L166">
        <v>1</v>
      </c>
      <c r="M166" t="s">
        <v>2</v>
      </c>
      <c r="N166">
        <v>0</v>
      </c>
      <c r="O166" t="s">
        <v>17</v>
      </c>
      <c r="P166">
        <v>8</v>
      </c>
      <c r="Q166" t="s">
        <v>0</v>
      </c>
      <c r="R166">
        <v>3.1</v>
      </c>
      <c r="S166" t="s">
        <v>152</v>
      </c>
      <c r="T166">
        <v>1</v>
      </c>
      <c r="U166" t="s">
        <v>153</v>
      </c>
      <c r="V166">
        <v>3</v>
      </c>
      <c r="W166" t="s">
        <v>151</v>
      </c>
      <c r="X166">
        <v>660</v>
      </c>
      <c r="Y166" t="s">
        <v>1</v>
      </c>
      <c r="Z166" t="s">
        <v>207</v>
      </c>
      <c r="AA166" t="s">
        <v>5</v>
      </c>
      <c r="AB166">
        <v>1</v>
      </c>
      <c r="AC166" t="s">
        <v>4</v>
      </c>
      <c r="AD166">
        <v>0</v>
      </c>
    </row>
    <row r="167" spans="1:30" x14ac:dyDescent="0.25">
      <c r="A167" t="str">
        <f t="shared" si="2"/>
        <v>strogatz_glider1_15795</v>
      </c>
      <c r="B167" t="s">
        <v>25</v>
      </c>
      <c r="C167" t="s">
        <v>189</v>
      </c>
      <c r="D167">
        <v>7200</v>
      </c>
      <c r="E167" t="s">
        <v>190</v>
      </c>
      <c r="F167">
        <v>1000000</v>
      </c>
      <c r="G167" t="s">
        <v>191</v>
      </c>
      <c r="H167">
        <v>15795</v>
      </c>
      <c r="I167" t="s">
        <v>192</v>
      </c>
      <c r="J167">
        <v>1E-3</v>
      </c>
      <c r="K167" t="s">
        <v>3</v>
      </c>
      <c r="L167">
        <v>1</v>
      </c>
      <c r="M167" t="s">
        <v>2</v>
      </c>
      <c r="N167">
        <v>0</v>
      </c>
      <c r="O167" t="s">
        <v>17</v>
      </c>
      <c r="P167">
        <v>11</v>
      </c>
      <c r="Q167" t="s">
        <v>0</v>
      </c>
      <c r="R167">
        <v>1.5</v>
      </c>
      <c r="S167" t="s">
        <v>152</v>
      </c>
      <c r="T167">
        <v>1</v>
      </c>
      <c r="U167" t="s">
        <v>153</v>
      </c>
      <c r="V167">
        <v>5</v>
      </c>
      <c r="W167" t="s">
        <v>151</v>
      </c>
      <c r="X167">
        <v>1003</v>
      </c>
      <c r="Y167" t="s">
        <v>1</v>
      </c>
      <c r="Z167" t="s">
        <v>419</v>
      </c>
      <c r="AA167" t="s">
        <v>5</v>
      </c>
      <c r="AB167">
        <v>1</v>
      </c>
      <c r="AC167" t="s">
        <v>4</v>
      </c>
      <c r="AD167">
        <v>0</v>
      </c>
    </row>
    <row r="168" spans="1:30" x14ac:dyDescent="0.25">
      <c r="A168" t="str">
        <f t="shared" si="2"/>
        <v>feynman_I_47_23_15795</v>
      </c>
      <c r="B168" t="s">
        <v>54</v>
      </c>
      <c r="C168" t="s">
        <v>189</v>
      </c>
      <c r="D168">
        <v>7200</v>
      </c>
      <c r="E168" t="s">
        <v>190</v>
      </c>
      <c r="F168">
        <v>1000000</v>
      </c>
      <c r="G168" t="s">
        <v>191</v>
      </c>
      <c r="H168">
        <v>15795</v>
      </c>
      <c r="I168" t="s">
        <v>192</v>
      </c>
      <c r="J168">
        <v>1E-3</v>
      </c>
      <c r="K168" t="s">
        <v>3</v>
      </c>
      <c r="L168">
        <v>1</v>
      </c>
      <c r="M168" t="s">
        <v>2</v>
      </c>
      <c r="N168">
        <v>0</v>
      </c>
      <c r="O168" t="s">
        <v>17</v>
      </c>
      <c r="P168">
        <v>12</v>
      </c>
      <c r="Q168" t="s">
        <v>0</v>
      </c>
      <c r="R168">
        <v>6.9</v>
      </c>
      <c r="S168" t="s">
        <v>152</v>
      </c>
      <c r="T168">
        <v>1</v>
      </c>
      <c r="U168" t="s">
        <v>153</v>
      </c>
      <c r="V168">
        <v>4</v>
      </c>
      <c r="W168" t="s">
        <v>151</v>
      </c>
      <c r="X168">
        <v>1455</v>
      </c>
      <c r="Y168" t="s">
        <v>1</v>
      </c>
      <c r="Z168" t="s">
        <v>422</v>
      </c>
      <c r="AA168" t="s">
        <v>5</v>
      </c>
      <c r="AB168">
        <v>1</v>
      </c>
      <c r="AC168" t="s">
        <v>4</v>
      </c>
      <c r="AD168">
        <v>0</v>
      </c>
    </row>
    <row r="169" spans="1:30" x14ac:dyDescent="0.25">
      <c r="A169" t="str">
        <f t="shared" si="2"/>
        <v>feynman_I_43_43_15795</v>
      </c>
      <c r="B169" t="s">
        <v>90</v>
      </c>
      <c r="C169" t="s">
        <v>189</v>
      </c>
      <c r="D169">
        <v>7200</v>
      </c>
      <c r="E169" t="s">
        <v>190</v>
      </c>
      <c r="F169">
        <v>1000000</v>
      </c>
      <c r="G169" t="s">
        <v>191</v>
      </c>
      <c r="H169">
        <v>15795</v>
      </c>
      <c r="I169" t="s">
        <v>192</v>
      </c>
      <c r="J169">
        <v>1E-3</v>
      </c>
      <c r="K169" t="s">
        <v>3</v>
      </c>
      <c r="L169">
        <v>1</v>
      </c>
      <c r="M169" t="s">
        <v>2</v>
      </c>
      <c r="N169">
        <v>0</v>
      </c>
      <c r="O169" t="s">
        <v>17</v>
      </c>
      <c r="P169">
        <v>16</v>
      </c>
      <c r="Q169" t="s">
        <v>0</v>
      </c>
      <c r="R169">
        <v>13.9</v>
      </c>
      <c r="S169" t="s">
        <v>152</v>
      </c>
      <c r="T169">
        <v>1</v>
      </c>
      <c r="U169" t="s">
        <v>153</v>
      </c>
      <c r="V169">
        <v>5</v>
      </c>
      <c r="W169" t="s">
        <v>151</v>
      </c>
      <c r="X169">
        <v>2679</v>
      </c>
      <c r="Y169" t="s">
        <v>1</v>
      </c>
      <c r="Z169" t="s">
        <v>240</v>
      </c>
      <c r="AA169" t="s">
        <v>5</v>
      </c>
      <c r="AB169">
        <v>1</v>
      </c>
      <c r="AC169" t="s">
        <v>4</v>
      </c>
      <c r="AD169">
        <v>0</v>
      </c>
    </row>
    <row r="170" spans="1:30" x14ac:dyDescent="0.25">
      <c r="A170" t="str">
        <f t="shared" si="2"/>
        <v>strogatz_glider2_15795</v>
      </c>
      <c r="B170" t="s">
        <v>19</v>
      </c>
      <c r="C170" t="s">
        <v>189</v>
      </c>
      <c r="D170">
        <v>7200</v>
      </c>
      <c r="E170" t="s">
        <v>190</v>
      </c>
      <c r="F170">
        <v>1000000</v>
      </c>
      <c r="G170" t="s">
        <v>191</v>
      </c>
      <c r="H170">
        <v>15795</v>
      </c>
      <c r="I170" t="s">
        <v>192</v>
      </c>
      <c r="J170">
        <v>1E-3</v>
      </c>
      <c r="K170" t="s">
        <v>3</v>
      </c>
      <c r="L170">
        <v>1</v>
      </c>
      <c r="M170" t="s">
        <v>2</v>
      </c>
      <c r="N170">
        <v>0</v>
      </c>
      <c r="O170" t="s">
        <v>17</v>
      </c>
      <c r="P170">
        <v>15</v>
      </c>
      <c r="Q170" t="s">
        <v>0</v>
      </c>
      <c r="R170">
        <v>24.9</v>
      </c>
      <c r="S170" t="s">
        <v>152</v>
      </c>
      <c r="T170">
        <v>4</v>
      </c>
      <c r="U170" t="s">
        <v>153</v>
      </c>
      <c r="V170">
        <v>49</v>
      </c>
      <c r="W170" t="s">
        <v>151</v>
      </c>
      <c r="X170">
        <v>16594</v>
      </c>
      <c r="Y170" t="s">
        <v>1</v>
      </c>
      <c r="Z170" t="s">
        <v>497</v>
      </c>
      <c r="AA170" t="s">
        <v>5</v>
      </c>
      <c r="AB170">
        <v>1</v>
      </c>
      <c r="AC170" t="s">
        <v>4</v>
      </c>
      <c r="AD170">
        <v>0</v>
      </c>
    </row>
    <row r="171" spans="1:30" x14ac:dyDescent="0.25">
      <c r="A171" t="str">
        <f t="shared" si="2"/>
        <v>feynman_III_14_14_23654</v>
      </c>
      <c r="B171" t="s">
        <v>119</v>
      </c>
      <c r="C171" t="s">
        <v>189</v>
      </c>
      <c r="D171">
        <v>7200</v>
      </c>
      <c r="E171" t="s">
        <v>190</v>
      </c>
      <c r="F171">
        <v>1000000</v>
      </c>
      <c r="G171" t="s">
        <v>191</v>
      </c>
      <c r="H171">
        <v>23654</v>
      </c>
      <c r="I171" t="s">
        <v>192</v>
      </c>
      <c r="J171">
        <v>1E-3</v>
      </c>
      <c r="K171" t="s">
        <v>3</v>
      </c>
      <c r="L171">
        <v>0.99762059999999997</v>
      </c>
      <c r="M171" t="s">
        <v>2</v>
      </c>
      <c r="N171">
        <v>0.33447969999999999</v>
      </c>
      <c r="O171" t="s">
        <v>17</v>
      </c>
      <c r="P171">
        <v>49</v>
      </c>
      <c r="Q171" t="s">
        <v>0</v>
      </c>
      <c r="R171">
        <v>7200.3</v>
      </c>
      <c r="S171" t="s">
        <v>152</v>
      </c>
      <c r="T171">
        <v>8</v>
      </c>
      <c r="U171" t="s">
        <v>153</v>
      </c>
      <c r="V171">
        <v>328</v>
      </c>
      <c r="W171" t="s">
        <v>151</v>
      </c>
      <c r="X171">
        <v>862548</v>
      </c>
      <c r="Y171" t="s">
        <v>1</v>
      </c>
      <c r="Z171" t="s">
        <v>498</v>
      </c>
      <c r="AA171" t="s">
        <v>5</v>
      </c>
      <c r="AB171">
        <v>0.99697729999999996</v>
      </c>
      <c r="AC171" t="s">
        <v>4</v>
      </c>
      <c r="AD171">
        <v>0.38488519999999998</v>
      </c>
    </row>
    <row r="172" spans="1:30" x14ac:dyDescent="0.25">
      <c r="A172" t="str">
        <f t="shared" si="2"/>
        <v>feynman_I_10_7_23654</v>
      </c>
      <c r="B172" t="s">
        <v>57</v>
      </c>
      <c r="C172" t="s">
        <v>189</v>
      </c>
      <c r="D172">
        <v>7200</v>
      </c>
      <c r="E172" t="s">
        <v>190</v>
      </c>
      <c r="F172">
        <v>1000000</v>
      </c>
      <c r="G172" t="s">
        <v>191</v>
      </c>
      <c r="H172">
        <v>23654</v>
      </c>
      <c r="I172" t="s">
        <v>192</v>
      </c>
      <c r="J172">
        <v>1E-3</v>
      </c>
      <c r="K172" t="s">
        <v>3</v>
      </c>
      <c r="L172">
        <v>0.99997590000000003</v>
      </c>
      <c r="M172" t="s">
        <v>2</v>
      </c>
      <c r="N172">
        <v>5.9610000000000002E-3</v>
      </c>
      <c r="O172" t="s">
        <v>17</v>
      </c>
      <c r="P172">
        <v>18</v>
      </c>
      <c r="Q172" t="s">
        <v>0</v>
      </c>
      <c r="R172">
        <v>7203.1</v>
      </c>
      <c r="S172" t="s">
        <v>152</v>
      </c>
      <c r="T172">
        <v>9</v>
      </c>
      <c r="U172" t="s">
        <v>153</v>
      </c>
      <c r="V172">
        <v>934</v>
      </c>
      <c r="W172" t="s">
        <v>151</v>
      </c>
      <c r="X172">
        <v>675069</v>
      </c>
      <c r="Y172" t="s">
        <v>1</v>
      </c>
      <c r="Z172" t="s">
        <v>499</v>
      </c>
      <c r="AA172" t="s">
        <v>5</v>
      </c>
      <c r="AB172">
        <v>0.99997610000000003</v>
      </c>
      <c r="AC172" t="s">
        <v>4</v>
      </c>
      <c r="AD172">
        <v>5.9379000000000003E-3</v>
      </c>
    </row>
    <row r="173" spans="1:30" x14ac:dyDescent="0.25">
      <c r="A173" t="str">
        <f t="shared" si="2"/>
        <v>feynman_I_12_5_15795</v>
      </c>
      <c r="B173" t="s">
        <v>36</v>
      </c>
      <c r="C173" t="s">
        <v>189</v>
      </c>
      <c r="D173">
        <v>7200</v>
      </c>
      <c r="E173" t="s">
        <v>190</v>
      </c>
      <c r="F173">
        <v>1000000</v>
      </c>
      <c r="G173" t="s">
        <v>191</v>
      </c>
      <c r="H173">
        <v>15795</v>
      </c>
      <c r="I173" t="s">
        <v>192</v>
      </c>
      <c r="J173">
        <v>1E-3</v>
      </c>
      <c r="K173" t="s">
        <v>3</v>
      </c>
      <c r="L173">
        <v>1</v>
      </c>
      <c r="M173" t="s">
        <v>2</v>
      </c>
      <c r="N173">
        <v>0</v>
      </c>
      <c r="O173" t="s">
        <v>17</v>
      </c>
      <c r="P173">
        <v>6</v>
      </c>
      <c r="Q173" t="s">
        <v>0</v>
      </c>
      <c r="R173">
        <v>1.2</v>
      </c>
      <c r="S173" t="s">
        <v>152</v>
      </c>
      <c r="T173">
        <v>1</v>
      </c>
      <c r="U173" t="s">
        <v>153</v>
      </c>
      <c r="V173">
        <v>2</v>
      </c>
      <c r="W173" t="s">
        <v>151</v>
      </c>
      <c r="X173">
        <v>264</v>
      </c>
      <c r="Y173" t="s">
        <v>1</v>
      </c>
      <c r="Z173" t="s">
        <v>157</v>
      </c>
      <c r="AA173" t="s">
        <v>5</v>
      </c>
      <c r="AB173">
        <v>1</v>
      </c>
      <c r="AC173" t="s">
        <v>4</v>
      </c>
      <c r="AD173">
        <v>0</v>
      </c>
    </row>
    <row r="174" spans="1:30" x14ac:dyDescent="0.25">
      <c r="A174" t="str">
        <f t="shared" si="2"/>
        <v>feynman_II_3_24_15795</v>
      </c>
      <c r="B174" t="s">
        <v>46</v>
      </c>
      <c r="C174" t="s">
        <v>189</v>
      </c>
      <c r="D174">
        <v>7200</v>
      </c>
      <c r="E174" t="s">
        <v>190</v>
      </c>
      <c r="F174">
        <v>1000000</v>
      </c>
      <c r="G174" t="s">
        <v>191</v>
      </c>
      <c r="H174">
        <v>15795</v>
      </c>
      <c r="I174" t="s">
        <v>192</v>
      </c>
      <c r="J174">
        <v>1E-3</v>
      </c>
      <c r="K174" t="s">
        <v>3</v>
      </c>
      <c r="L174">
        <v>1</v>
      </c>
      <c r="M174" t="s">
        <v>2</v>
      </c>
      <c r="N174">
        <v>0</v>
      </c>
      <c r="O174" t="s">
        <v>17</v>
      </c>
      <c r="P174">
        <v>8</v>
      </c>
      <c r="Q174" t="s">
        <v>0</v>
      </c>
      <c r="R174">
        <v>3.1</v>
      </c>
      <c r="S174" t="s">
        <v>152</v>
      </c>
      <c r="T174">
        <v>1</v>
      </c>
      <c r="U174" t="s">
        <v>153</v>
      </c>
      <c r="V174">
        <v>3</v>
      </c>
      <c r="W174" t="s">
        <v>151</v>
      </c>
      <c r="X174">
        <v>693</v>
      </c>
      <c r="Y174" t="s">
        <v>1</v>
      </c>
      <c r="Z174" t="s">
        <v>418</v>
      </c>
      <c r="AA174" t="s">
        <v>5</v>
      </c>
      <c r="AB174">
        <v>1</v>
      </c>
      <c r="AC174" t="s">
        <v>4</v>
      </c>
      <c r="AD174">
        <v>0</v>
      </c>
    </row>
    <row r="175" spans="1:30" x14ac:dyDescent="0.25">
      <c r="A175" t="str">
        <f t="shared" si="2"/>
        <v>feynman_I_18_12_15795</v>
      </c>
      <c r="B175" t="s">
        <v>78</v>
      </c>
      <c r="C175" t="s">
        <v>189</v>
      </c>
      <c r="D175">
        <v>7200</v>
      </c>
      <c r="E175" t="s">
        <v>190</v>
      </c>
      <c r="F175">
        <v>1000000</v>
      </c>
      <c r="G175" t="s">
        <v>191</v>
      </c>
      <c r="H175">
        <v>15795</v>
      </c>
      <c r="I175" t="s">
        <v>192</v>
      </c>
      <c r="J175">
        <v>1E-3</v>
      </c>
      <c r="K175" t="s">
        <v>3</v>
      </c>
      <c r="L175">
        <v>1</v>
      </c>
      <c r="M175" t="s">
        <v>2</v>
      </c>
      <c r="N175">
        <v>0</v>
      </c>
      <c r="O175" t="s">
        <v>17</v>
      </c>
      <c r="P175">
        <v>9</v>
      </c>
      <c r="Q175" t="s">
        <v>0</v>
      </c>
      <c r="R175">
        <v>4.5</v>
      </c>
      <c r="S175" t="s">
        <v>152</v>
      </c>
      <c r="T175">
        <v>1</v>
      </c>
      <c r="U175" t="s">
        <v>153</v>
      </c>
      <c r="V175">
        <v>4</v>
      </c>
      <c r="W175" t="s">
        <v>151</v>
      </c>
      <c r="X175">
        <v>925</v>
      </c>
      <c r="Y175" t="s">
        <v>1</v>
      </c>
      <c r="Z175" t="s">
        <v>186</v>
      </c>
      <c r="AA175" t="s">
        <v>5</v>
      </c>
      <c r="AB175">
        <v>1</v>
      </c>
      <c r="AC175" t="s">
        <v>4</v>
      </c>
      <c r="AD175">
        <v>0</v>
      </c>
    </row>
    <row r="176" spans="1:30" x14ac:dyDescent="0.25">
      <c r="A176" t="str">
        <f t="shared" si="2"/>
        <v>feynman_I_43_16_15795</v>
      </c>
      <c r="B176" t="s">
        <v>100</v>
      </c>
      <c r="C176" t="s">
        <v>189</v>
      </c>
      <c r="D176">
        <v>7200</v>
      </c>
      <c r="E176" t="s">
        <v>190</v>
      </c>
      <c r="F176">
        <v>1000000</v>
      </c>
      <c r="G176" t="s">
        <v>191</v>
      </c>
      <c r="H176">
        <v>15795</v>
      </c>
      <c r="I176" t="s">
        <v>192</v>
      </c>
      <c r="J176">
        <v>1E-3</v>
      </c>
      <c r="K176" t="s">
        <v>3</v>
      </c>
      <c r="L176">
        <v>1</v>
      </c>
      <c r="M176" t="s">
        <v>2</v>
      </c>
      <c r="N176">
        <v>0</v>
      </c>
      <c r="O176" t="s">
        <v>17</v>
      </c>
      <c r="P176">
        <v>12</v>
      </c>
      <c r="Q176" t="s">
        <v>0</v>
      </c>
      <c r="R176">
        <v>7.4</v>
      </c>
      <c r="S176" t="s">
        <v>152</v>
      </c>
      <c r="T176">
        <v>1</v>
      </c>
      <c r="U176" t="s">
        <v>153</v>
      </c>
      <c r="V176">
        <v>4</v>
      </c>
      <c r="W176" t="s">
        <v>151</v>
      </c>
      <c r="X176">
        <v>1559</v>
      </c>
      <c r="Y176" t="s">
        <v>1</v>
      </c>
      <c r="Z176" t="s">
        <v>177</v>
      </c>
      <c r="AA176" t="s">
        <v>5</v>
      </c>
      <c r="AB176">
        <v>1</v>
      </c>
      <c r="AC176" t="s">
        <v>4</v>
      </c>
      <c r="AD176">
        <v>0</v>
      </c>
    </row>
    <row r="177" spans="1:30" x14ac:dyDescent="0.25">
      <c r="A177" t="str">
        <f t="shared" si="2"/>
        <v>feynman_I_34_1_15795</v>
      </c>
      <c r="B177" t="s">
        <v>52</v>
      </c>
      <c r="C177" t="s">
        <v>189</v>
      </c>
      <c r="D177">
        <v>7200</v>
      </c>
      <c r="E177" t="s">
        <v>190</v>
      </c>
      <c r="F177">
        <v>1000000</v>
      </c>
      <c r="G177" t="s">
        <v>191</v>
      </c>
      <c r="H177">
        <v>15795</v>
      </c>
      <c r="I177" t="s">
        <v>192</v>
      </c>
      <c r="J177">
        <v>1E-3</v>
      </c>
      <c r="K177" t="s">
        <v>3</v>
      </c>
      <c r="L177">
        <v>1</v>
      </c>
      <c r="M177" t="s">
        <v>2</v>
      </c>
      <c r="N177">
        <v>0</v>
      </c>
      <c r="O177" t="s">
        <v>17</v>
      </c>
      <c r="P177">
        <v>18</v>
      </c>
      <c r="Q177" t="s">
        <v>0</v>
      </c>
      <c r="R177">
        <v>11.8</v>
      </c>
      <c r="S177" t="s">
        <v>152</v>
      </c>
      <c r="T177">
        <v>1</v>
      </c>
      <c r="U177" t="s">
        <v>153</v>
      </c>
      <c r="V177">
        <v>5</v>
      </c>
      <c r="W177" t="s">
        <v>151</v>
      </c>
      <c r="X177">
        <v>2132</v>
      </c>
      <c r="Y177" t="s">
        <v>1</v>
      </c>
      <c r="Z177" t="s">
        <v>424</v>
      </c>
      <c r="AA177" t="s">
        <v>5</v>
      </c>
      <c r="AB177">
        <v>1</v>
      </c>
      <c r="AC177" t="s">
        <v>4</v>
      </c>
      <c r="AD177">
        <v>0</v>
      </c>
    </row>
    <row r="178" spans="1:30" x14ac:dyDescent="0.25">
      <c r="A178" t="str">
        <f t="shared" si="2"/>
        <v>feynman_I_6_2a_23654</v>
      </c>
      <c r="B178" t="s">
        <v>32</v>
      </c>
      <c r="C178" t="s">
        <v>189</v>
      </c>
      <c r="D178">
        <v>7200</v>
      </c>
      <c r="E178" t="s">
        <v>190</v>
      </c>
      <c r="F178">
        <v>1000000</v>
      </c>
      <c r="G178" t="s">
        <v>191</v>
      </c>
      <c r="H178">
        <v>23654</v>
      </c>
      <c r="I178" t="s">
        <v>192</v>
      </c>
      <c r="J178">
        <v>1E-3</v>
      </c>
      <c r="K178" t="s">
        <v>3</v>
      </c>
      <c r="L178">
        <v>0.99994280000000002</v>
      </c>
      <c r="M178" t="s">
        <v>2</v>
      </c>
      <c r="N178">
        <v>5.2930000000000002E-4</v>
      </c>
      <c r="O178" t="s">
        <v>17</v>
      </c>
      <c r="P178">
        <v>11</v>
      </c>
      <c r="Q178" t="s">
        <v>0</v>
      </c>
      <c r="R178">
        <v>7221.5</v>
      </c>
      <c r="S178" t="s">
        <v>152</v>
      </c>
      <c r="T178">
        <v>10</v>
      </c>
      <c r="U178" t="s">
        <v>153</v>
      </c>
      <c r="V178">
        <v>319</v>
      </c>
      <c r="W178" t="s">
        <v>151</v>
      </c>
      <c r="X178">
        <v>79561</v>
      </c>
      <c r="Y178" t="s">
        <v>1</v>
      </c>
      <c r="Z178" t="s">
        <v>500</v>
      </c>
      <c r="AA178" t="s">
        <v>5</v>
      </c>
      <c r="AB178">
        <v>0.99994229999999995</v>
      </c>
      <c r="AC178" t="s">
        <v>4</v>
      </c>
      <c r="AD178">
        <v>5.3350000000000001E-4</v>
      </c>
    </row>
    <row r="179" spans="1:30" x14ac:dyDescent="0.25">
      <c r="A179" t="str">
        <f t="shared" si="2"/>
        <v>feynman_II_27_18_15795</v>
      </c>
      <c r="B179" t="s">
        <v>43</v>
      </c>
      <c r="C179" t="s">
        <v>189</v>
      </c>
      <c r="D179">
        <v>7200</v>
      </c>
      <c r="E179" t="s">
        <v>190</v>
      </c>
      <c r="F179">
        <v>1000000</v>
      </c>
      <c r="G179" t="s">
        <v>191</v>
      </c>
      <c r="H179">
        <v>15795</v>
      </c>
      <c r="I179" t="s">
        <v>192</v>
      </c>
      <c r="J179">
        <v>1E-3</v>
      </c>
      <c r="K179" t="s">
        <v>3</v>
      </c>
      <c r="L179">
        <v>1</v>
      </c>
      <c r="M179" t="s">
        <v>2</v>
      </c>
      <c r="N179">
        <v>0</v>
      </c>
      <c r="O179" t="s">
        <v>17</v>
      </c>
      <c r="P179">
        <v>8</v>
      </c>
      <c r="Q179" t="s">
        <v>0</v>
      </c>
      <c r="R179">
        <v>2.6</v>
      </c>
      <c r="S179" t="s">
        <v>152</v>
      </c>
      <c r="T179">
        <v>1</v>
      </c>
      <c r="U179" t="s">
        <v>153</v>
      </c>
      <c r="V179">
        <v>3</v>
      </c>
      <c r="W179" t="s">
        <v>151</v>
      </c>
      <c r="X179">
        <v>616</v>
      </c>
      <c r="Y179" t="s">
        <v>1</v>
      </c>
      <c r="Z179" t="s">
        <v>172</v>
      </c>
      <c r="AA179" t="s">
        <v>5</v>
      </c>
      <c r="AB179">
        <v>1</v>
      </c>
      <c r="AC179" t="s">
        <v>4</v>
      </c>
      <c r="AD179">
        <v>0</v>
      </c>
    </row>
    <row r="180" spans="1:30" x14ac:dyDescent="0.25">
      <c r="A180" t="str">
        <f t="shared" si="2"/>
        <v>feynman_III_7_38_15795</v>
      </c>
      <c r="B180" t="s">
        <v>76</v>
      </c>
      <c r="C180" t="s">
        <v>189</v>
      </c>
      <c r="D180">
        <v>7200</v>
      </c>
      <c r="E180" t="s">
        <v>190</v>
      </c>
      <c r="F180">
        <v>1000000</v>
      </c>
      <c r="G180" t="s">
        <v>191</v>
      </c>
      <c r="H180">
        <v>15795</v>
      </c>
      <c r="I180" t="s">
        <v>192</v>
      </c>
      <c r="J180">
        <v>1E-3</v>
      </c>
      <c r="K180" t="s">
        <v>3</v>
      </c>
      <c r="L180">
        <v>1</v>
      </c>
      <c r="M180" t="s">
        <v>2</v>
      </c>
      <c r="N180">
        <v>0</v>
      </c>
      <c r="O180" t="s">
        <v>17</v>
      </c>
      <c r="P180">
        <v>10</v>
      </c>
      <c r="Q180" t="s">
        <v>0</v>
      </c>
      <c r="R180">
        <v>4</v>
      </c>
      <c r="S180" t="s">
        <v>152</v>
      </c>
      <c r="T180">
        <v>1</v>
      </c>
      <c r="U180" t="s">
        <v>153</v>
      </c>
      <c r="V180">
        <v>3</v>
      </c>
      <c r="W180" t="s">
        <v>151</v>
      </c>
      <c r="X180">
        <v>827</v>
      </c>
      <c r="Y180" t="s">
        <v>1</v>
      </c>
      <c r="Z180" t="s">
        <v>208</v>
      </c>
      <c r="AA180" t="s">
        <v>5</v>
      </c>
      <c r="AB180">
        <v>1</v>
      </c>
      <c r="AC180" t="s">
        <v>4</v>
      </c>
      <c r="AD180">
        <v>0</v>
      </c>
    </row>
    <row r="181" spans="1:30" x14ac:dyDescent="0.25">
      <c r="A181" t="str">
        <f t="shared" si="2"/>
        <v>feynman_I_39_11_15795</v>
      </c>
      <c r="B181" t="s">
        <v>53</v>
      </c>
      <c r="C181" t="s">
        <v>189</v>
      </c>
      <c r="D181">
        <v>7200</v>
      </c>
      <c r="E181" t="s">
        <v>190</v>
      </c>
      <c r="F181">
        <v>1000000</v>
      </c>
      <c r="G181" t="s">
        <v>191</v>
      </c>
      <c r="H181">
        <v>15795</v>
      </c>
      <c r="I181" t="s">
        <v>192</v>
      </c>
      <c r="J181">
        <v>1E-3</v>
      </c>
      <c r="K181" t="s">
        <v>3</v>
      </c>
      <c r="L181">
        <v>1</v>
      </c>
      <c r="M181" t="s">
        <v>2</v>
      </c>
      <c r="N181">
        <v>0</v>
      </c>
      <c r="O181" t="s">
        <v>17</v>
      </c>
      <c r="P181">
        <v>12</v>
      </c>
      <c r="Q181" t="s">
        <v>0</v>
      </c>
      <c r="R181">
        <v>6.9</v>
      </c>
      <c r="S181" t="s">
        <v>152</v>
      </c>
      <c r="T181">
        <v>1</v>
      </c>
      <c r="U181" t="s">
        <v>153</v>
      </c>
      <c r="V181">
        <v>4</v>
      </c>
      <c r="W181" t="s">
        <v>151</v>
      </c>
      <c r="X181">
        <v>1433</v>
      </c>
      <c r="Y181" t="s">
        <v>1</v>
      </c>
      <c r="Z181" t="s">
        <v>501</v>
      </c>
      <c r="AA181" t="s">
        <v>5</v>
      </c>
      <c r="AB181">
        <v>1</v>
      </c>
      <c r="AC181" t="s">
        <v>4</v>
      </c>
      <c r="AD181">
        <v>0</v>
      </c>
    </row>
    <row r="182" spans="1:30" x14ac:dyDescent="0.25">
      <c r="A182" t="str">
        <f t="shared" si="2"/>
        <v>feynman_II_10_9_15795</v>
      </c>
      <c r="B182" t="s">
        <v>68</v>
      </c>
      <c r="C182" t="s">
        <v>189</v>
      </c>
      <c r="D182">
        <v>7200</v>
      </c>
      <c r="E182" t="s">
        <v>190</v>
      </c>
      <c r="F182">
        <v>1000000</v>
      </c>
      <c r="G182" t="s">
        <v>191</v>
      </c>
      <c r="H182">
        <v>15795</v>
      </c>
      <c r="I182" t="s">
        <v>192</v>
      </c>
      <c r="J182">
        <v>1E-3</v>
      </c>
      <c r="K182" t="s">
        <v>3</v>
      </c>
      <c r="L182">
        <v>1</v>
      </c>
      <c r="M182" t="s">
        <v>2</v>
      </c>
      <c r="N182">
        <v>0</v>
      </c>
      <c r="O182" t="s">
        <v>17</v>
      </c>
      <c r="P182">
        <v>14</v>
      </c>
      <c r="Q182" t="s">
        <v>0</v>
      </c>
      <c r="R182">
        <v>8.5</v>
      </c>
      <c r="S182" t="s">
        <v>152</v>
      </c>
      <c r="T182">
        <v>1</v>
      </c>
      <c r="U182" t="s">
        <v>153</v>
      </c>
      <c r="V182">
        <v>4</v>
      </c>
      <c r="W182" t="s">
        <v>151</v>
      </c>
      <c r="X182">
        <v>1709</v>
      </c>
      <c r="Y182" t="s">
        <v>1</v>
      </c>
      <c r="Z182" t="s">
        <v>244</v>
      </c>
      <c r="AA182" t="s">
        <v>5</v>
      </c>
      <c r="AB182">
        <v>1</v>
      </c>
      <c r="AC182" t="s">
        <v>4</v>
      </c>
      <c r="AD182">
        <v>0</v>
      </c>
    </row>
    <row r="183" spans="1:30" x14ac:dyDescent="0.25">
      <c r="A183" t="str">
        <f t="shared" si="2"/>
        <v>feynman_II_27_16_15795</v>
      </c>
      <c r="B183" t="s">
        <v>79</v>
      </c>
      <c r="C183" t="s">
        <v>189</v>
      </c>
      <c r="D183">
        <v>7200</v>
      </c>
      <c r="E183" t="s">
        <v>190</v>
      </c>
      <c r="F183">
        <v>1000000</v>
      </c>
      <c r="G183" t="s">
        <v>191</v>
      </c>
      <c r="H183">
        <v>15795</v>
      </c>
      <c r="I183" t="s">
        <v>192</v>
      </c>
      <c r="J183">
        <v>1E-3</v>
      </c>
      <c r="K183" t="s">
        <v>3</v>
      </c>
      <c r="L183">
        <v>1</v>
      </c>
      <c r="M183" t="s">
        <v>2</v>
      </c>
      <c r="N183">
        <v>0</v>
      </c>
      <c r="O183" t="s">
        <v>17</v>
      </c>
      <c r="P183">
        <v>10</v>
      </c>
      <c r="Q183" t="s">
        <v>0</v>
      </c>
      <c r="R183">
        <v>6.1</v>
      </c>
      <c r="S183" t="s">
        <v>152</v>
      </c>
      <c r="T183">
        <v>1</v>
      </c>
      <c r="U183" t="s">
        <v>153</v>
      </c>
      <c r="V183">
        <v>4</v>
      </c>
      <c r="W183" t="s">
        <v>151</v>
      </c>
      <c r="X183">
        <v>1268</v>
      </c>
      <c r="Y183" t="s">
        <v>1</v>
      </c>
      <c r="Z183" t="s">
        <v>229</v>
      </c>
      <c r="AA183" t="s">
        <v>5</v>
      </c>
      <c r="AB183">
        <v>1</v>
      </c>
      <c r="AC183" t="s">
        <v>4</v>
      </c>
      <c r="AD183">
        <v>0</v>
      </c>
    </row>
    <row r="184" spans="1:30" x14ac:dyDescent="0.25">
      <c r="A184" t="str">
        <f t="shared" si="2"/>
        <v>feynman_II_6_15b_15795</v>
      </c>
      <c r="B184" t="s">
        <v>115</v>
      </c>
      <c r="C184" t="s">
        <v>189</v>
      </c>
      <c r="D184">
        <v>7200</v>
      </c>
      <c r="E184" t="s">
        <v>190</v>
      </c>
      <c r="F184">
        <v>1000000</v>
      </c>
      <c r="G184" t="s">
        <v>191</v>
      </c>
      <c r="H184">
        <v>15795</v>
      </c>
      <c r="I184" t="s">
        <v>192</v>
      </c>
      <c r="J184">
        <v>1E-3</v>
      </c>
      <c r="K184" t="s">
        <v>3</v>
      </c>
      <c r="L184">
        <v>0.99769549999999996</v>
      </c>
      <c r="M184" t="s">
        <v>2</v>
      </c>
      <c r="N184">
        <v>1.4257E-3</v>
      </c>
      <c r="O184" t="s">
        <v>17</v>
      </c>
      <c r="P184">
        <v>35</v>
      </c>
      <c r="Q184" t="s">
        <v>0</v>
      </c>
      <c r="R184">
        <v>7200.8</v>
      </c>
      <c r="S184" t="s">
        <v>152</v>
      </c>
      <c r="T184">
        <v>9</v>
      </c>
      <c r="U184" t="s">
        <v>153</v>
      </c>
      <c r="V184">
        <v>477</v>
      </c>
      <c r="W184" t="s">
        <v>151</v>
      </c>
      <c r="X184">
        <v>991795</v>
      </c>
      <c r="Y184" t="s">
        <v>1</v>
      </c>
      <c r="Z184" t="s">
        <v>502</v>
      </c>
      <c r="AA184" t="s">
        <v>5</v>
      </c>
      <c r="AB184">
        <v>0.99773690000000004</v>
      </c>
      <c r="AC184" t="s">
        <v>4</v>
      </c>
      <c r="AD184">
        <v>1.4368E-3</v>
      </c>
    </row>
    <row r="185" spans="1:30" x14ac:dyDescent="0.25">
      <c r="A185" t="str">
        <f t="shared" si="2"/>
        <v>feynman_test_18_15795</v>
      </c>
      <c r="B185" t="s">
        <v>123</v>
      </c>
      <c r="C185" t="s">
        <v>189</v>
      </c>
      <c r="D185">
        <v>7200</v>
      </c>
      <c r="E185" t="s">
        <v>190</v>
      </c>
      <c r="F185">
        <v>1000000</v>
      </c>
      <c r="G185" t="s">
        <v>191</v>
      </c>
      <c r="H185">
        <v>15795</v>
      </c>
      <c r="I185" t="s">
        <v>192</v>
      </c>
      <c r="J185">
        <v>1E-3</v>
      </c>
      <c r="K185" t="s">
        <v>3</v>
      </c>
      <c r="L185">
        <v>1</v>
      </c>
      <c r="M185" t="s">
        <v>2</v>
      </c>
      <c r="N185">
        <v>0</v>
      </c>
      <c r="O185" t="s">
        <v>17</v>
      </c>
      <c r="P185">
        <v>26</v>
      </c>
      <c r="Q185" t="s">
        <v>0</v>
      </c>
      <c r="R185">
        <v>2709.1</v>
      </c>
      <c r="S185" t="s">
        <v>152</v>
      </c>
      <c r="T185">
        <v>7</v>
      </c>
      <c r="U185" t="s">
        <v>153</v>
      </c>
      <c r="V185">
        <v>160</v>
      </c>
      <c r="W185" t="s">
        <v>151</v>
      </c>
      <c r="X185">
        <v>332324</v>
      </c>
      <c r="Y185" t="s">
        <v>1</v>
      </c>
      <c r="Z185" t="s">
        <v>179</v>
      </c>
      <c r="AA185" t="s">
        <v>5</v>
      </c>
      <c r="AB185">
        <v>1</v>
      </c>
      <c r="AC185" t="s">
        <v>4</v>
      </c>
      <c r="AD185">
        <v>0</v>
      </c>
    </row>
    <row r="186" spans="1:30" x14ac:dyDescent="0.25">
      <c r="A186" t="str">
        <f t="shared" si="2"/>
        <v>feynman_I_12_11_15795</v>
      </c>
      <c r="B186" t="s">
        <v>130</v>
      </c>
      <c r="C186" t="s">
        <v>189</v>
      </c>
      <c r="D186">
        <v>7200</v>
      </c>
      <c r="E186" t="s">
        <v>190</v>
      </c>
      <c r="F186">
        <v>1000000</v>
      </c>
      <c r="G186" t="s">
        <v>191</v>
      </c>
      <c r="H186">
        <v>15795</v>
      </c>
      <c r="I186" t="s">
        <v>192</v>
      </c>
      <c r="J186">
        <v>1E-3</v>
      </c>
      <c r="K186" t="s">
        <v>3</v>
      </c>
      <c r="L186">
        <v>1</v>
      </c>
      <c r="M186" t="s">
        <v>2</v>
      </c>
      <c r="N186">
        <v>0</v>
      </c>
      <c r="O186" t="s">
        <v>17</v>
      </c>
      <c r="P186">
        <v>17</v>
      </c>
      <c r="Q186" t="s">
        <v>0</v>
      </c>
      <c r="R186">
        <v>21.8</v>
      </c>
      <c r="S186" t="s">
        <v>152</v>
      </c>
      <c r="T186">
        <v>1</v>
      </c>
      <c r="U186" t="s">
        <v>153</v>
      </c>
      <c r="V186">
        <v>7</v>
      </c>
      <c r="W186" t="s">
        <v>151</v>
      </c>
      <c r="X186">
        <v>4008</v>
      </c>
      <c r="Y186" t="s">
        <v>1</v>
      </c>
      <c r="Z186" t="s">
        <v>283</v>
      </c>
      <c r="AA186" t="s">
        <v>5</v>
      </c>
      <c r="AB186">
        <v>1</v>
      </c>
      <c r="AC186" t="s">
        <v>4</v>
      </c>
      <c r="AD186">
        <v>0</v>
      </c>
    </row>
    <row r="187" spans="1:30" x14ac:dyDescent="0.25">
      <c r="A187" t="str">
        <f t="shared" si="2"/>
        <v>feynman_II_11_20_15795</v>
      </c>
      <c r="B187" t="s">
        <v>122</v>
      </c>
      <c r="C187" t="s">
        <v>189</v>
      </c>
      <c r="D187">
        <v>7200</v>
      </c>
      <c r="E187" t="s">
        <v>190</v>
      </c>
      <c r="F187">
        <v>1000000</v>
      </c>
      <c r="G187" t="s">
        <v>191</v>
      </c>
      <c r="H187">
        <v>15795</v>
      </c>
      <c r="I187" t="s">
        <v>192</v>
      </c>
      <c r="J187">
        <v>1E-3</v>
      </c>
      <c r="K187" t="s">
        <v>3</v>
      </c>
      <c r="L187">
        <v>1</v>
      </c>
      <c r="M187" t="s">
        <v>2</v>
      </c>
      <c r="N187">
        <v>0</v>
      </c>
      <c r="O187" t="s">
        <v>17</v>
      </c>
      <c r="P187">
        <v>22</v>
      </c>
      <c r="Q187" t="s">
        <v>0</v>
      </c>
      <c r="R187">
        <v>1061.5999999999999</v>
      </c>
      <c r="S187" t="s">
        <v>152</v>
      </c>
      <c r="T187">
        <v>4</v>
      </c>
      <c r="U187" t="s">
        <v>153</v>
      </c>
      <c r="V187">
        <v>36</v>
      </c>
      <c r="W187" t="s">
        <v>151</v>
      </c>
      <c r="X187">
        <v>114955</v>
      </c>
      <c r="Y187" t="s">
        <v>1</v>
      </c>
      <c r="Z187" t="s">
        <v>503</v>
      </c>
      <c r="AA187" t="s">
        <v>5</v>
      </c>
      <c r="AB187">
        <v>1</v>
      </c>
      <c r="AC187" t="s">
        <v>4</v>
      </c>
      <c r="AD187">
        <v>0</v>
      </c>
    </row>
    <row r="188" spans="1:30" x14ac:dyDescent="0.25">
      <c r="A188" t="str">
        <f t="shared" si="2"/>
        <v>strogatz_lv1_15795</v>
      </c>
      <c r="B188" t="s">
        <v>29</v>
      </c>
      <c r="C188" t="s">
        <v>189</v>
      </c>
      <c r="D188">
        <v>7200</v>
      </c>
      <c r="E188" t="s">
        <v>190</v>
      </c>
      <c r="F188">
        <v>1000000</v>
      </c>
      <c r="G188" t="s">
        <v>191</v>
      </c>
      <c r="H188">
        <v>15795</v>
      </c>
      <c r="I188" t="s">
        <v>192</v>
      </c>
      <c r="J188">
        <v>1E-3</v>
      </c>
      <c r="K188" t="s">
        <v>3</v>
      </c>
      <c r="L188">
        <v>1</v>
      </c>
      <c r="M188" t="s">
        <v>2</v>
      </c>
      <c r="N188">
        <v>0</v>
      </c>
      <c r="O188" t="s">
        <v>17</v>
      </c>
      <c r="P188">
        <v>21</v>
      </c>
      <c r="Q188" t="s">
        <v>0</v>
      </c>
      <c r="R188">
        <v>416.1</v>
      </c>
      <c r="S188" t="s">
        <v>152</v>
      </c>
      <c r="T188">
        <v>11</v>
      </c>
      <c r="U188" t="s">
        <v>153</v>
      </c>
      <c r="V188">
        <v>251</v>
      </c>
      <c r="W188" t="s">
        <v>151</v>
      </c>
      <c r="X188">
        <v>189590</v>
      </c>
      <c r="Y188" t="s">
        <v>1</v>
      </c>
      <c r="Z188" t="s">
        <v>504</v>
      </c>
      <c r="AA188" t="s">
        <v>5</v>
      </c>
      <c r="AB188">
        <v>1</v>
      </c>
      <c r="AC188" t="s">
        <v>4</v>
      </c>
      <c r="AD188">
        <v>0</v>
      </c>
    </row>
    <row r="189" spans="1:30" x14ac:dyDescent="0.25">
      <c r="A189" t="str">
        <f t="shared" si="2"/>
        <v>strogatz_vdp1_15795</v>
      </c>
      <c r="B189" t="s">
        <v>30</v>
      </c>
      <c r="C189" t="s">
        <v>189</v>
      </c>
      <c r="D189">
        <v>7200</v>
      </c>
      <c r="E189" t="s">
        <v>190</v>
      </c>
      <c r="F189">
        <v>1000000</v>
      </c>
      <c r="G189" t="s">
        <v>191</v>
      </c>
      <c r="H189">
        <v>15795</v>
      </c>
      <c r="I189" t="s">
        <v>192</v>
      </c>
      <c r="J189">
        <v>1E-3</v>
      </c>
      <c r="K189" t="s">
        <v>3</v>
      </c>
      <c r="L189">
        <v>1</v>
      </c>
      <c r="M189" t="s">
        <v>2</v>
      </c>
      <c r="N189">
        <v>0</v>
      </c>
      <c r="O189" t="s">
        <v>17</v>
      </c>
      <c r="P189">
        <v>14</v>
      </c>
      <c r="Q189" t="s">
        <v>0</v>
      </c>
      <c r="R189">
        <v>260.7</v>
      </c>
      <c r="S189" t="s">
        <v>152</v>
      </c>
      <c r="T189">
        <v>3</v>
      </c>
      <c r="U189" t="s">
        <v>153</v>
      </c>
      <c r="V189">
        <v>98</v>
      </c>
      <c r="W189" t="s">
        <v>151</v>
      </c>
      <c r="X189">
        <v>95624</v>
      </c>
      <c r="Y189" t="s">
        <v>1</v>
      </c>
      <c r="Z189" t="s">
        <v>505</v>
      </c>
      <c r="AA189" t="s">
        <v>5</v>
      </c>
      <c r="AB189">
        <v>1</v>
      </c>
      <c r="AC189" t="s">
        <v>4</v>
      </c>
      <c r="AD189">
        <v>0</v>
      </c>
    </row>
    <row r="190" spans="1:30" x14ac:dyDescent="0.25">
      <c r="A190" t="str">
        <f t="shared" si="2"/>
        <v>feynman_I_40_1_15795</v>
      </c>
      <c r="B190" t="s">
        <v>144</v>
      </c>
      <c r="C190" t="s">
        <v>189</v>
      </c>
      <c r="D190">
        <v>7200</v>
      </c>
      <c r="E190" t="s">
        <v>190</v>
      </c>
      <c r="F190">
        <v>1000000</v>
      </c>
      <c r="G190" t="s">
        <v>191</v>
      </c>
      <c r="H190">
        <v>15795</v>
      </c>
      <c r="I190" t="s">
        <v>192</v>
      </c>
      <c r="J190">
        <v>1E-3</v>
      </c>
      <c r="K190" t="s">
        <v>3</v>
      </c>
      <c r="L190">
        <v>0.97962899999999997</v>
      </c>
      <c r="M190" t="s">
        <v>2</v>
      </c>
      <c r="N190">
        <v>9.3028799999999995E-2</v>
      </c>
      <c r="O190" t="s">
        <v>17</v>
      </c>
      <c r="P190">
        <v>56</v>
      </c>
      <c r="Q190" t="s">
        <v>0</v>
      </c>
      <c r="R190">
        <v>7200.8</v>
      </c>
      <c r="S190" t="s">
        <v>152</v>
      </c>
      <c r="T190">
        <v>4</v>
      </c>
      <c r="U190" t="s">
        <v>153</v>
      </c>
      <c r="V190">
        <v>332</v>
      </c>
      <c r="W190" t="s">
        <v>151</v>
      </c>
      <c r="X190">
        <v>890506</v>
      </c>
      <c r="Y190" t="s">
        <v>1</v>
      </c>
      <c r="Z190" t="s">
        <v>506</v>
      </c>
      <c r="AA190" t="s">
        <v>5</v>
      </c>
      <c r="AB190">
        <v>0.97851140000000003</v>
      </c>
      <c r="AC190" t="s">
        <v>4</v>
      </c>
      <c r="AD190">
        <v>9.5756400000000005E-2</v>
      </c>
    </row>
    <row r="191" spans="1:30" x14ac:dyDescent="0.25">
      <c r="A191" t="str">
        <f t="shared" si="2"/>
        <v>feynman_test_7_15795</v>
      </c>
      <c r="B191" t="s">
        <v>118</v>
      </c>
      <c r="C191" t="s">
        <v>189</v>
      </c>
      <c r="D191">
        <v>7200</v>
      </c>
      <c r="E191" t="s">
        <v>190</v>
      </c>
      <c r="F191">
        <v>1000000</v>
      </c>
      <c r="G191" t="s">
        <v>191</v>
      </c>
      <c r="H191">
        <v>15795</v>
      </c>
      <c r="I191" t="s">
        <v>192</v>
      </c>
      <c r="J191">
        <v>1E-3</v>
      </c>
      <c r="K191" t="s">
        <v>3</v>
      </c>
      <c r="L191">
        <v>0.99958659999999999</v>
      </c>
      <c r="M191" t="s">
        <v>2</v>
      </c>
      <c r="N191">
        <v>2.51036E-2</v>
      </c>
      <c r="O191" t="s">
        <v>17</v>
      </c>
      <c r="P191">
        <v>22</v>
      </c>
      <c r="Q191" t="s">
        <v>0</v>
      </c>
      <c r="R191">
        <v>7201.1</v>
      </c>
      <c r="S191" t="s">
        <v>152</v>
      </c>
      <c r="T191">
        <v>6</v>
      </c>
      <c r="U191" t="s">
        <v>153</v>
      </c>
      <c r="V191">
        <v>1044</v>
      </c>
      <c r="W191" t="s">
        <v>151</v>
      </c>
      <c r="X191">
        <v>826050</v>
      </c>
      <c r="Y191" t="s">
        <v>1</v>
      </c>
      <c r="Z191" t="e" cm="1">
        <f t="array" aca="1" ref="Z191" ca="1">-0.1135623919799+(2.9531032342264*pow((v0*V1),0.5))+(((-0.0258058856785*V2)*pow(4,V3))*pow(V4,-2))</f>
        <v>#NAME?</v>
      </c>
      <c r="AA191" t="s">
        <v>5</v>
      </c>
      <c r="AB191">
        <v>0.9995541</v>
      </c>
      <c r="AC191" t="s">
        <v>4</v>
      </c>
      <c r="AD191">
        <v>2.59969E-2</v>
      </c>
    </row>
    <row r="192" spans="1:30" x14ac:dyDescent="0.25">
      <c r="A192" t="str">
        <f t="shared" si="2"/>
        <v>feynman_test_1_15795</v>
      </c>
      <c r="B192" t="s">
        <v>147</v>
      </c>
      <c r="C192" t="s">
        <v>189</v>
      </c>
      <c r="D192">
        <v>7200</v>
      </c>
      <c r="E192" t="s">
        <v>190</v>
      </c>
      <c r="F192">
        <v>1000000</v>
      </c>
      <c r="G192" t="s">
        <v>191</v>
      </c>
      <c r="H192">
        <v>15795</v>
      </c>
      <c r="I192" t="s">
        <v>192</v>
      </c>
      <c r="J192">
        <v>1E-3</v>
      </c>
      <c r="K192" t="s">
        <v>3</v>
      </c>
      <c r="L192">
        <v>0.99999870000000002</v>
      </c>
      <c r="M192" t="s">
        <v>2</v>
      </c>
      <c r="N192">
        <v>1.35967E-2</v>
      </c>
      <c r="O192" t="s">
        <v>17</v>
      </c>
      <c r="P192">
        <v>82</v>
      </c>
      <c r="Q192" t="s">
        <v>0</v>
      </c>
      <c r="R192">
        <v>7200.8</v>
      </c>
      <c r="S192" t="s">
        <v>152</v>
      </c>
      <c r="T192">
        <v>6</v>
      </c>
      <c r="U192" t="s">
        <v>153</v>
      </c>
      <c r="V192">
        <v>152</v>
      </c>
      <c r="W192" t="s">
        <v>151</v>
      </c>
      <c r="X192">
        <v>763561</v>
      </c>
      <c r="Y192" t="s">
        <v>1</v>
      </c>
      <c r="Z192" t="s">
        <v>507</v>
      </c>
      <c r="AA192" t="s">
        <v>5</v>
      </c>
      <c r="AB192">
        <v>0.99999870000000002</v>
      </c>
      <c r="AC192" t="s">
        <v>4</v>
      </c>
      <c r="AD192">
        <v>1.31176E-2</v>
      </c>
    </row>
    <row r="193" spans="1:30" x14ac:dyDescent="0.25">
      <c r="A193" t="str">
        <f t="shared" si="2"/>
        <v>feynman_II_35_18_23654</v>
      </c>
      <c r="B193" t="s">
        <v>120</v>
      </c>
      <c r="C193" t="s">
        <v>189</v>
      </c>
      <c r="D193">
        <v>7200</v>
      </c>
      <c r="E193" t="s">
        <v>190</v>
      </c>
      <c r="F193">
        <v>1000000</v>
      </c>
      <c r="G193" t="s">
        <v>191</v>
      </c>
      <c r="H193">
        <v>23654</v>
      </c>
      <c r="I193" t="s">
        <v>192</v>
      </c>
      <c r="J193">
        <v>1E-3</v>
      </c>
      <c r="K193" t="s">
        <v>3</v>
      </c>
      <c r="L193">
        <v>0.99966390000000005</v>
      </c>
      <c r="M193" t="s">
        <v>2</v>
      </c>
      <c r="N193">
        <v>5.8046E-3</v>
      </c>
      <c r="O193" t="s">
        <v>17</v>
      </c>
      <c r="P193">
        <v>24</v>
      </c>
      <c r="Q193" t="s">
        <v>0</v>
      </c>
      <c r="R193">
        <v>7200.7</v>
      </c>
      <c r="S193" t="s">
        <v>152</v>
      </c>
      <c r="T193">
        <v>11</v>
      </c>
      <c r="U193" t="s">
        <v>153</v>
      </c>
      <c r="V193">
        <v>575</v>
      </c>
      <c r="W193" t="s">
        <v>151</v>
      </c>
      <c r="X193">
        <v>980899</v>
      </c>
      <c r="Y193" t="s">
        <v>1</v>
      </c>
      <c r="Z193" t="s">
        <v>508</v>
      </c>
      <c r="AA193" t="s">
        <v>5</v>
      </c>
      <c r="AB193">
        <v>0.99967320000000004</v>
      </c>
      <c r="AC193" t="s">
        <v>4</v>
      </c>
      <c r="AD193">
        <v>5.7428999999999996E-3</v>
      </c>
    </row>
    <row r="194" spans="1:30" x14ac:dyDescent="0.25">
      <c r="A194" t="str">
        <f t="shared" ref="A194:A257" si="3">CONCATENATE(B194, "_", H194)</f>
        <v>feynman_I_6_2_15795</v>
      </c>
      <c r="B194" t="s">
        <v>44</v>
      </c>
      <c r="C194" t="s">
        <v>189</v>
      </c>
      <c r="D194">
        <v>7200</v>
      </c>
      <c r="E194" t="s">
        <v>190</v>
      </c>
      <c r="F194">
        <v>1000000</v>
      </c>
      <c r="G194" t="s">
        <v>191</v>
      </c>
      <c r="H194">
        <v>15795</v>
      </c>
      <c r="I194" t="s">
        <v>192</v>
      </c>
      <c r="J194">
        <v>1E-3</v>
      </c>
      <c r="K194" t="s">
        <v>3</v>
      </c>
      <c r="L194">
        <v>0.99837100000000001</v>
      </c>
      <c r="M194" t="s">
        <v>2</v>
      </c>
      <c r="N194">
        <v>1.7189E-3</v>
      </c>
      <c r="O194" t="s">
        <v>17</v>
      </c>
      <c r="P194">
        <v>21</v>
      </c>
      <c r="Q194" t="s">
        <v>0</v>
      </c>
      <c r="R194">
        <v>7200.5</v>
      </c>
      <c r="S194" t="s">
        <v>152</v>
      </c>
      <c r="T194">
        <v>14</v>
      </c>
      <c r="U194" t="s">
        <v>153</v>
      </c>
      <c r="V194">
        <v>1054</v>
      </c>
      <c r="W194" t="s">
        <v>151</v>
      </c>
      <c r="X194">
        <v>815351</v>
      </c>
      <c r="Y194" t="s">
        <v>1</v>
      </c>
      <c r="Z194" t="e" cm="1">
        <f t="array" aca="1" ref="Z194" ca="1">-0.0873796008297+(0.7451561772076*pow(((1.2+(pow(v0,-2)*pow(V1,2)))+LOG(pow(v0,2))),-1))</f>
        <v>#NAME?</v>
      </c>
      <c r="AA194" t="s">
        <v>5</v>
      </c>
      <c r="AB194">
        <v>0.99832109999999996</v>
      </c>
      <c r="AC194" t="s">
        <v>4</v>
      </c>
      <c r="AD194">
        <v>1.7484E-3</v>
      </c>
    </row>
    <row r="195" spans="1:30" x14ac:dyDescent="0.25">
      <c r="A195" t="str">
        <f t="shared" si="3"/>
        <v>feynman_III_4_33_23654</v>
      </c>
      <c r="B195" t="s">
        <v>96</v>
      </c>
      <c r="C195" t="s">
        <v>189</v>
      </c>
      <c r="D195">
        <v>7200</v>
      </c>
      <c r="E195" t="s">
        <v>190</v>
      </c>
      <c r="F195">
        <v>1000000</v>
      </c>
      <c r="G195" t="s">
        <v>191</v>
      </c>
      <c r="H195">
        <v>23654</v>
      </c>
      <c r="I195" t="s">
        <v>192</v>
      </c>
      <c r="J195">
        <v>1E-3</v>
      </c>
      <c r="K195" t="s">
        <v>3</v>
      </c>
      <c r="L195">
        <v>0.99995750000000005</v>
      </c>
      <c r="M195" t="s">
        <v>2</v>
      </c>
      <c r="N195">
        <v>3.3115499999999999E-2</v>
      </c>
      <c r="O195" t="s">
        <v>17</v>
      </c>
      <c r="P195">
        <v>12</v>
      </c>
      <c r="Q195" t="s">
        <v>0</v>
      </c>
      <c r="R195">
        <v>7202.3</v>
      </c>
      <c r="S195" t="s">
        <v>152</v>
      </c>
      <c r="T195">
        <v>8</v>
      </c>
      <c r="U195" t="s">
        <v>153</v>
      </c>
      <c r="V195">
        <v>715</v>
      </c>
      <c r="W195" t="s">
        <v>151</v>
      </c>
      <c r="X195">
        <v>374957</v>
      </c>
      <c r="Y195" t="s">
        <v>1</v>
      </c>
      <c r="Z195" t="s">
        <v>509</v>
      </c>
      <c r="AA195" t="s">
        <v>5</v>
      </c>
      <c r="AB195">
        <v>0.99995400000000001</v>
      </c>
      <c r="AC195" t="s">
        <v>4</v>
      </c>
      <c r="AD195">
        <v>3.4567199999999999E-2</v>
      </c>
    </row>
    <row r="196" spans="1:30" x14ac:dyDescent="0.25">
      <c r="A196" t="str">
        <f t="shared" si="3"/>
        <v>feynman_I_25_13_15795</v>
      </c>
      <c r="B196" t="s">
        <v>35</v>
      </c>
      <c r="C196" t="s">
        <v>189</v>
      </c>
      <c r="D196">
        <v>7200</v>
      </c>
      <c r="E196" t="s">
        <v>190</v>
      </c>
      <c r="F196">
        <v>1000000</v>
      </c>
      <c r="G196" t="s">
        <v>191</v>
      </c>
      <c r="H196">
        <v>15795</v>
      </c>
      <c r="I196" t="s">
        <v>192</v>
      </c>
      <c r="J196">
        <v>1E-3</v>
      </c>
      <c r="K196" t="s">
        <v>3</v>
      </c>
      <c r="L196">
        <v>1</v>
      </c>
      <c r="M196" t="s">
        <v>2</v>
      </c>
      <c r="N196">
        <v>0</v>
      </c>
      <c r="O196" t="s">
        <v>17</v>
      </c>
      <c r="P196">
        <v>8</v>
      </c>
      <c r="Q196" t="s">
        <v>0</v>
      </c>
      <c r="R196">
        <v>1.5</v>
      </c>
      <c r="S196" t="s">
        <v>152</v>
      </c>
      <c r="T196">
        <v>1</v>
      </c>
      <c r="U196" t="s">
        <v>153</v>
      </c>
      <c r="V196">
        <v>2</v>
      </c>
      <c r="W196" t="s">
        <v>151</v>
      </c>
      <c r="X196">
        <v>340</v>
      </c>
      <c r="Y196" t="s">
        <v>1</v>
      </c>
      <c r="Z196" t="s">
        <v>155</v>
      </c>
      <c r="AA196" t="s">
        <v>5</v>
      </c>
      <c r="AB196">
        <v>1</v>
      </c>
      <c r="AC196" t="s">
        <v>4</v>
      </c>
      <c r="AD196">
        <v>0</v>
      </c>
    </row>
    <row r="197" spans="1:30" x14ac:dyDescent="0.25">
      <c r="A197" t="str">
        <f t="shared" si="3"/>
        <v>feynman_II_38_14_15795</v>
      </c>
      <c r="B197" t="s">
        <v>40</v>
      </c>
      <c r="C197" t="s">
        <v>189</v>
      </c>
      <c r="D197">
        <v>7200</v>
      </c>
      <c r="E197" t="s">
        <v>190</v>
      </c>
      <c r="F197">
        <v>1000000</v>
      </c>
      <c r="G197" t="s">
        <v>191</v>
      </c>
      <c r="H197">
        <v>15795</v>
      </c>
      <c r="I197" t="s">
        <v>192</v>
      </c>
      <c r="J197">
        <v>1E-3</v>
      </c>
      <c r="K197" t="s">
        <v>3</v>
      </c>
      <c r="L197">
        <v>1</v>
      </c>
      <c r="M197" t="s">
        <v>2</v>
      </c>
      <c r="N197">
        <v>0</v>
      </c>
      <c r="O197" t="s">
        <v>17</v>
      </c>
      <c r="P197">
        <v>12</v>
      </c>
      <c r="Q197" t="s">
        <v>0</v>
      </c>
      <c r="R197">
        <v>4.9000000000000004</v>
      </c>
      <c r="S197" t="s">
        <v>152</v>
      </c>
      <c r="T197">
        <v>1</v>
      </c>
      <c r="U197" t="s">
        <v>153</v>
      </c>
      <c r="V197">
        <v>3</v>
      </c>
      <c r="W197" t="s">
        <v>151</v>
      </c>
      <c r="X197">
        <v>994</v>
      </c>
      <c r="Y197" t="s">
        <v>1</v>
      </c>
      <c r="Z197" t="s">
        <v>420</v>
      </c>
      <c r="AA197" t="s">
        <v>5</v>
      </c>
      <c r="AB197">
        <v>1</v>
      </c>
      <c r="AC197" t="s">
        <v>4</v>
      </c>
      <c r="AD197">
        <v>0</v>
      </c>
    </row>
    <row r="198" spans="1:30" x14ac:dyDescent="0.25">
      <c r="A198" t="str">
        <f t="shared" si="3"/>
        <v>feynman_I_39_22_15795</v>
      </c>
      <c r="B198" t="s">
        <v>99</v>
      </c>
      <c r="C198" t="s">
        <v>189</v>
      </c>
      <c r="D198">
        <v>7200</v>
      </c>
      <c r="E198" t="s">
        <v>190</v>
      </c>
      <c r="F198">
        <v>1000000</v>
      </c>
      <c r="G198" t="s">
        <v>191</v>
      </c>
      <c r="H198">
        <v>15795</v>
      </c>
      <c r="I198" t="s">
        <v>192</v>
      </c>
      <c r="J198">
        <v>1E-3</v>
      </c>
      <c r="K198" t="s">
        <v>3</v>
      </c>
      <c r="L198">
        <v>1</v>
      </c>
      <c r="M198" t="s">
        <v>2</v>
      </c>
      <c r="N198">
        <v>0</v>
      </c>
      <c r="O198" t="s">
        <v>17</v>
      </c>
      <c r="P198">
        <v>12</v>
      </c>
      <c r="Q198" t="s">
        <v>0</v>
      </c>
      <c r="R198">
        <v>7.7</v>
      </c>
      <c r="S198" t="s">
        <v>152</v>
      </c>
      <c r="T198">
        <v>1</v>
      </c>
      <c r="U198" t="s">
        <v>153</v>
      </c>
      <c r="V198">
        <v>4</v>
      </c>
      <c r="W198" t="s">
        <v>151</v>
      </c>
      <c r="X198">
        <v>1645</v>
      </c>
      <c r="Y198" t="s">
        <v>1</v>
      </c>
      <c r="Z198" t="s">
        <v>203</v>
      </c>
      <c r="AA198" t="s">
        <v>5</v>
      </c>
      <c r="AB198">
        <v>1</v>
      </c>
      <c r="AC198" t="s">
        <v>4</v>
      </c>
      <c r="AD198">
        <v>0</v>
      </c>
    </row>
    <row r="199" spans="1:30" x14ac:dyDescent="0.25">
      <c r="A199" t="str">
        <f t="shared" si="3"/>
        <v>feynman_III_17_37_15795</v>
      </c>
      <c r="B199" t="s">
        <v>77</v>
      </c>
      <c r="C199" t="s">
        <v>189</v>
      </c>
      <c r="D199">
        <v>7200</v>
      </c>
      <c r="E199" t="s">
        <v>190</v>
      </c>
      <c r="F199">
        <v>1000000</v>
      </c>
      <c r="G199" t="s">
        <v>191</v>
      </c>
      <c r="H199">
        <v>15795</v>
      </c>
      <c r="I199" t="s">
        <v>192</v>
      </c>
      <c r="J199">
        <v>1E-3</v>
      </c>
      <c r="K199" t="s">
        <v>3</v>
      </c>
      <c r="L199">
        <v>1</v>
      </c>
      <c r="M199" t="s">
        <v>2</v>
      </c>
      <c r="N199">
        <v>0</v>
      </c>
      <c r="O199" t="s">
        <v>17</v>
      </c>
      <c r="P199">
        <v>23</v>
      </c>
      <c r="Q199" t="s">
        <v>0</v>
      </c>
      <c r="R199">
        <v>156</v>
      </c>
      <c r="S199" t="s">
        <v>152</v>
      </c>
      <c r="T199">
        <v>1</v>
      </c>
      <c r="U199" t="s">
        <v>153</v>
      </c>
      <c r="V199">
        <v>17</v>
      </c>
      <c r="W199" t="s">
        <v>151</v>
      </c>
      <c r="X199">
        <v>18203</v>
      </c>
      <c r="Y199" t="s">
        <v>1</v>
      </c>
      <c r="Z199" t="s">
        <v>510</v>
      </c>
      <c r="AA199" t="s">
        <v>5</v>
      </c>
      <c r="AB199">
        <v>1</v>
      </c>
      <c r="AC199" t="s">
        <v>4</v>
      </c>
      <c r="AD199">
        <v>0</v>
      </c>
    </row>
    <row r="200" spans="1:30" x14ac:dyDescent="0.25">
      <c r="A200" t="str">
        <f t="shared" si="3"/>
        <v>feynman_I_44_4_15795</v>
      </c>
      <c r="B200" t="s">
        <v>129</v>
      </c>
      <c r="C200" t="s">
        <v>189</v>
      </c>
      <c r="D200">
        <v>7200</v>
      </c>
      <c r="E200" t="s">
        <v>190</v>
      </c>
      <c r="F200">
        <v>1000000</v>
      </c>
      <c r="G200" t="s">
        <v>191</v>
      </c>
      <c r="H200">
        <v>15795</v>
      </c>
      <c r="I200" t="s">
        <v>192</v>
      </c>
      <c r="J200">
        <v>1E-3</v>
      </c>
      <c r="K200" t="s">
        <v>3</v>
      </c>
      <c r="L200">
        <v>1</v>
      </c>
      <c r="M200" t="s">
        <v>2</v>
      </c>
      <c r="N200">
        <v>0</v>
      </c>
      <c r="O200" t="s">
        <v>17</v>
      </c>
      <c r="P200">
        <v>15</v>
      </c>
      <c r="Q200" t="s">
        <v>0</v>
      </c>
      <c r="R200">
        <v>16.7</v>
      </c>
      <c r="S200" t="s">
        <v>152</v>
      </c>
      <c r="T200">
        <v>1</v>
      </c>
      <c r="U200" t="s">
        <v>153</v>
      </c>
      <c r="V200">
        <v>7</v>
      </c>
      <c r="W200" t="s">
        <v>151</v>
      </c>
      <c r="X200">
        <v>3494</v>
      </c>
      <c r="Y200" t="s">
        <v>1</v>
      </c>
      <c r="Z200" t="s">
        <v>511</v>
      </c>
      <c r="AA200" t="s">
        <v>5</v>
      </c>
      <c r="AB200">
        <v>1</v>
      </c>
      <c r="AC200" t="s">
        <v>4</v>
      </c>
      <c r="AD200">
        <v>0</v>
      </c>
    </row>
    <row r="201" spans="1:30" x14ac:dyDescent="0.25">
      <c r="A201" t="str">
        <f t="shared" si="3"/>
        <v>feynman_test_17_15795</v>
      </c>
      <c r="B201" t="s">
        <v>145</v>
      </c>
      <c r="C201" t="s">
        <v>189</v>
      </c>
      <c r="D201">
        <v>7200</v>
      </c>
      <c r="E201" t="s">
        <v>190</v>
      </c>
      <c r="F201">
        <v>1000000</v>
      </c>
      <c r="G201" t="s">
        <v>191</v>
      </c>
      <c r="H201">
        <v>15795</v>
      </c>
      <c r="I201" t="s">
        <v>192</v>
      </c>
      <c r="J201">
        <v>1E-3</v>
      </c>
      <c r="K201" t="s">
        <v>3</v>
      </c>
      <c r="L201">
        <v>0.9999979</v>
      </c>
      <c r="M201" t="s">
        <v>2</v>
      </c>
      <c r="N201">
        <v>2.1892675000000001</v>
      </c>
      <c r="O201" t="s">
        <v>17</v>
      </c>
      <c r="P201">
        <v>81</v>
      </c>
      <c r="Q201" t="s">
        <v>0</v>
      </c>
      <c r="R201">
        <v>7200.7</v>
      </c>
      <c r="S201" t="s">
        <v>152</v>
      </c>
      <c r="T201">
        <v>2</v>
      </c>
      <c r="U201" t="s">
        <v>153</v>
      </c>
      <c r="V201">
        <v>104</v>
      </c>
      <c r="W201" t="s">
        <v>151</v>
      </c>
      <c r="X201">
        <v>606449</v>
      </c>
      <c r="Y201" t="s">
        <v>1</v>
      </c>
      <c r="Z201" t="s">
        <v>512</v>
      </c>
      <c r="AA201" t="s">
        <v>5</v>
      </c>
      <c r="AB201">
        <v>0.99999780000000005</v>
      </c>
      <c r="AC201" t="s">
        <v>4</v>
      </c>
      <c r="AD201">
        <v>2.1530113000000002</v>
      </c>
    </row>
    <row r="202" spans="1:30" x14ac:dyDescent="0.25">
      <c r="A202" t="str">
        <f t="shared" si="3"/>
        <v>feynman_I_27_6_15795</v>
      </c>
      <c r="B202" t="s">
        <v>60</v>
      </c>
      <c r="C202" t="s">
        <v>189</v>
      </c>
      <c r="D202">
        <v>7200</v>
      </c>
      <c r="E202" t="s">
        <v>190</v>
      </c>
      <c r="F202">
        <v>1000000</v>
      </c>
      <c r="G202" t="s">
        <v>191</v>
      </c>
      <c r="H202">
        <v>15795</v>
      </c>
      <c r="I202" t="s">
        <v>192</v>
      </c>
      <c r="J202">
        <v>1E-3</v>
      </c>
      <c r="K202" t="s">
        <v>3</v>
      </c>
      <c r="L202">
        <v>1</v>
      </c>
      <c r="M202" t="s">
        <v>2</v>
      </c>
      <c r="N202">
        <v>0</v>
      </c>
      <c r="O202" t="s">
        <v>17</v>
      </c>
      <c r="P202">
        <v>14</v>
      </c>
      <c r="Q202" t="s">
        <v>0</v>
      </c>
      <c r="R202">
        <v>16.5</v>
      </c>
      <c r="S202" t="s">
        <v>152</v>
      </c>
      <c r="T202">
        <v>1</v>
      </c>
      <c r="U202" t="s">
        <v>153</v>
      </c>
      <c r="V202">
        <v>5</v>
      </c>
      <c r="W202" t="s">
        <v>151</v>
      </c>
      <c r="X202">
        <v>2891</v>
      </c>
      <c r="Y202" t="s">
        <v>1</v>
      </c>
      <c r="Z202" t="s">
        <v>278</v>
      </c>
      <c r="AA202" t="s">
        <v>5</v>
      </c>
      <c r="AB202">
        <v>1</v>
      </c>
      <c r="AC202" t="s">
        <v>4</v>
      </c>
      <c r="AD202">
        <v>0</v>
      </c>
    </row>
    <row r="203" spans="1:30" x14ac:dyDescent="0.25">
      <c r="A203" t="str">
        <f t="shared" si="3"/>
        <v>feynman_III_10_19_15795</v>
      </c>
      <c r="B203" t="s">
        <v>103</v>
      </c>
      <c r="C203" t="s">
        <v>189</v>
      </c>
      <c r="D203">
        <v>7200</v>
      </c>
      <c r="E203" t="s">
        <v>190</v>
      </c>
      <c r="F203">
        <v>1000000</v>
      </c>
      <c r="G203" t="s">
        <v>191</v>
      </c>
      <c r="H203">
        <v>15795</v>
      </c>
      <c r="I203" t="s">
        <v>192</v>
      </c>
      <c r="J203">
        <v>1E-3</v>
      </c>
      <c r="K203" t="s">
        <v>3</v>
      </c>
      <c r="L203">
        <v>0.99995619999999996</v>
      </c>
      <c r="M203" t="s">
        <v>2</v>
      </c>
      <c r="N203">
        <v>4.8070799999999997E-2</v>
      </c>
      <c r="O203" t="s">
        <v>17</v>
      </c>
      <c r="P203">
        <v>63</v>
      </c>
      <c r="Q203" t="s">
        <v>0</v>
      </c>
      <c r="R203">
        <v>7200.8</v>
      </c>
      <c r="S203" t="s">
        <v>152</v>
      </c>
      <c r="T203">
        <v>8</v>
      </c>
      <c r="U203" t="s">
        <v>153</v>
      </c>
      <c r="V203">
        <v>290</v>
      </c>
      <c r="W203" t="s">
        <v>151</v>
      </c>
      <c r="X203">
        <v>716419</v>
      </c>
      <c r="Y203" t="s">
        <v>1</v>
      </c>
      <c r="Z203" t="s">
        <v>513</v>
      </c>
      <c r="AA203" t="s">
        <v>5</v>
      </c>
      <c r="AB203">
        <v>0.99995719999999999</v>
      </c>
      <c r="AC203" t="s">
        <v>4</v>
      </c>
      <c r="AD203">
        <v>4.7662599999999999E-2</v>
      </c>
    </row>
    <row r="204" spans="1:30" x14ac:dyDescent="0.25">
      <c r="A204" t="str">
        <f t="shared" si="3"/>
        <v>feynman_test_20_15795</v>
      </c>
      <c r="B204" t="s">
        <v>148</v>
      </c>
      <c r="C204" t="s">
        <v>189</v>
      </c>
      <c r="D204">
        <v>7200</v>
      </c>
      <c r="E204" t="s">
        <v>190</v>
      </c>
      <c r="F204">
        <v>1000000</v>
      </c>
      <c r="G204" t="s">
        <v>191</v>
      </c>
      <c r="H204">
        <v>15795</v>
      </c>
      <c r="I204" t="s">
        <v>192</v>
      </c>
      <c r="J204">
        <v>1E-3</v>
      </c>
      <c r="K204" t="s">
        <v>3</v>
      </c>
      <c r="L204">
        <v>0.91640180000000004</v>
      </c>
      <c r="M204" t="s">
        <v>2</v>
      </c>
      <c r="N204">
        <v>4.6431513999999998</v>
      </c>
      <c r="O204" t="s">
        <v>17</v>
      </c>
      <c r="P204">
        <v>59</v>
      </c>
      <c r="Q204" t="s">
        <v>0</v>
      </c>
      <c r="R204">
        <v>7200.2</v>
      </c>
      <c r="S204" t="s">
        <v>152</v>
      </c>
      <c r="T204">
        <v>6</v>
      </c>
      <c r="U204" t="s">
        <v>153</v>
      </c>
      <c r="V204">
        <v>245</v>
      </c>
      <c r="W204" t="s">
        <v>151</v>
      </c>
      <c r="X204">
        <v>913609</v>
      </c>
      <c r="Y204" t="s">
        <v>1</v>
      </c>
      <c r="Z204" t="s">
        <v>514</v>
      </c>
      <c r="AA204" t="s">
        <v>5</v>
      </c>
      <c r="AB204">
        <v>0.94906690000000005</v>
      </c>
      <c r="AC204" t="s">
        <v>4</v>
      </c>
      <c r="AD204">
        <v>2.5417481</v>
      </c>
    </row>
    <row r="205" spans="1:30" x14ac:dyDescent="0.25">
      <c r="A205" t="str">
        <f t="shared" si="3"/>
        <v>strogatz_bacres2_15795</v>
      </c>
      <c r="B205" t="s">
        <v>22</v>
      </c>
      <c r="C205" t="s">
        <v>189</v>
      </c>
      <c r="D205">
        <v>7200</v>
      </c>
      <c r="E205" t="s">
        <v>190</v>
      </c>
      <c r="F205">
        <v>1000000</v>
      </c>
      <c r="G205" t="s">
        <v>191</v>
      </c>
      <c r="H205">
        <v>15795</v>
      </c>
      <c r="I205" t="s">
        <v>192</v>
      </c>
      <c r="J205">
        <v>1E-3</v>
      </c>
      <c r="K205" t="s">
        <v>3</v>
      </c>
      <c r="L205">
        <v>0.99999530000000003</v>
      </c>
      <c r="M205" t="s">
        <v>2</v>
      </c>
      <c r="N205">
        <v>4.7102000000000003E-3</v>
      </c>
      <c r="O205" t="s">
        <v>17</v>
      </c>
      <c r="P205">
        <v>16</v>
      </c>
      <c r="Q205" t="s">
        <v>0</v>
      </c>
      <c r="R205">
        <v>639.9</v>
      </c>
      <c r="S205" t="s">
        <v>152</v>
      </c>
      <c r="T205">
        <v>7</v>
      </c>
      <c r="U205" t="s">
        <v>153</v>
      </c>
      <c r="V205">
        <v>564</v>
      </c>
      <c r="W205" t="s">
        <v>151</v>
      </c>
      <c r="X205">
        <v>278203</v>
      </c>
      <c r="Y205" t="s">
        <v>1</v>
      </c>
      <c r="Z205" t="s">
        <v>515</v>
      </c>
      <c r="AA205" t="s">
        <v>5</v>
      </c>
      <c r="AB205">
        <v>0.99999309999999997</v>
      </c>
      <c r="AC205" t="s">
        <v>4</v>
      </c>
      <c r="AD205">
        <v>5.7682000000000002E-3</v>
      </c>
    </row>
    <row r="206" spans="1:30" x14ac:dyDescent="0.25">
      <c r="A206" t="str">
        <f t="shared" si="3"/>
        <v>feynman_III_9_52_15795</v>
      </c>
      <c r="B206" t="s">
        <v>141</v>
      </c>
      <c r="C206" t="s">
        <v>189</v>
      </c>
      <c r="D206">
        <v>7200</v>
      </c>
      <c r="E206" t="s">
        <v>190</v>
      </c>
      <c r="F206">
        <v>1000000</v>
      </c>
      <c r="G206" t="s">
        <v>191</v>
      </c>
      <c r="H206">
        <v>15795</v>
      </c>
      <c r="I206" t="s">
        <v>192</v>
      </c>
      <c r="J206">
        <v>1E-3</v>
      </c>
      <c r="K206" t="s">
        <v>3</v>
      </c>
      <c r="L206">
        <v>0.99866759999999999</v>
      </c>
      <c r="M206" t="s">
        <v>2</v>
      </c>
      <c r="N206">
        <v>0.5246016</v>
      </c>
      <c r="O206" t="s">
        <v>17</v>
      </c>
      <c r="P206">
        <v>109</v>
      </c>
      <c r="Q206" t="s">
        <v>0</v>
      </c>
      <c r="R206">
        <v>7201</v>
      </c>
      <c r="S206" t="s">
        <v>152</v>
      </c>
      <c r="T206">
        <v>4</v>
      </c>
      <c r="U206" t="s">
        <v>153</v>
      </c>
      <c r="V206">
        <v>206</v>
      </c>
      <c r="W206" t="s">
        <v>151</v>
      </c>
      <c r="X206">
        <v>701100</v>
      </c>
      <c r="Y206" t="s">
        <v>1</v>
      </c>
      <c r="Z206" t="s">
        <v>516</v>
      </c>
      <c r="AA206" t="s">
        <v>5</v>
      </c>
      <c r="AB206">
        <v>0.99865179999999998</v>
      </c>
      <c r="AC206" t="s">
        <v>4</v>
      </c>
      <c r="AD206">
        <v>0.52401120000000001</v>
      </c>
    </row>
    <row r="207" spans="1:30" x14ac:dyDescent="0.25">
      <c r="A207" t="str">
        <f t="shared" si="3"/>
        <v>feynman_test_11_15795</v>
      </c>
      <c r="B207" t="s">
        <v>91</v>
      </c>
      <c r="C207" t="s">
        <v>189</v>
      </c>
      <c r="D207">
        <v>7200</v>
      </c>
      <c r="E207" t="s">
        <v>190</v>
      </c>
      <c r="F207">
        <v>1000000</v>
      </c>
      <c r="G207" t="s">
        <v>191</v>
      </c>
      <c r="H207">
        <v>15795</v>
      </c>
      <c r="I207" t="s">
        <v>192</v>
      </c>
      <c r="J207">
        <v>1E-3</v>
      </c>
      <c r="K207" t="s">
        <v>3</v>
      </c>
      <c r="L207">
        <v>0.99569719999999995</v>
      </c>
      <c r="M207" t="s">
        <v>2</v>
      </c>
      <c r="N207">
        <v>6.7969000000000002E-2</v>
      </c>
      <c r="O207" t="s">
        <v>17</v>
      </c>
      <c r="P207">
        <v>40</v>
      </c>
      <c r="Q207" t="s">
        <v>0</v>
      </c>
      <c r="R207">
        <v>7200.9</v>
      </c>
      <c r="S207" t="s">
        <v>152</v>
      </c>
      <c r="T207">
        <v>12</v>
      </c>
      <c r="U207" t="s">
        <v>153</v>
      </c>
      <c r="V207">
        <v>568</v>
      </c>
      <c r="W207" t="s">
        <v>151</v>
      </c>
      <c r="X207">
        <v>885445</v>
      </c>
      <c r="Y207" t="s">
        <v>1</v>
      </c>
      <c r="Z207" t="s">
        <v>517</v>
      </c>
      <c r="AA207" t="s">
        <v>5</v>
      </c>
      <c r="AB207">
        <v>0.99570270000000005</v>
      </c>
      <c r="AC207" t="s">
        <v>4</v>
      </c>
      <c r="AD207">
        <v>6.8256899999999995E-2</v>
      </c>
    </row>
    <row r="208" spans="1:30" x14ac:dyDescent="0.25">
      <c r="A208" t="str">
        <f t="shared" si="3"/>
        <v>strogatz_predprey1_15795</v>
      </c>
      <c r="B208" t="s">
        <v>31</v>
      </c>
      <c r="C208" t="s">
        <v>189</v>
      </c>
      <c r="D208">
        <v>7200</v>
      </c>
      <c r="E208" t="s">
        <v>190</v>
      </c>
      <c r="F208">
        <v>1000000</v>
      </c>
      <c r="G208" t="s">
        <v>191</v>
      </c>
      <c r="H208">
        <v>15795</v>
      </c>
      <c r="I208" t="s">
        <v>192</v>
      </c>
      <c r="J208">
        <v>1E-3</v>
      </c>
      <c r="K208" t="s">
        <v>3</v>
      </c>
      <c r="L208">
        <v>1</v>
      </c>
      <c r="M208" t="s">
        <v>2</v>
      </c>
      <c r="N208">
        <v>0</v>
      </c>
      <c r="O208" t="s">
        <v>17</v>
      </c>
      <c r="P208">
        <v>24</v>
      </c>
      <c r="Q208" t="s">
        <v>0</v>
      </c>
      <c r="R208">
        <v>1757.8</v>
      </c>
      <c r="S208" t="s">
        <v>152</v>
      </c>
      <c r="T208">
        <v>15</v>
      </c>
      <c r="U208" t="s">
        <v>153</v>
      </c>
      <c r="V208">
        <v>351</v>
      </c>
      <c r="W208" t="s">
        <v>151</v>
      </c>
      <c r="X208">
        <v>535728</v>
      </c>
      <c r="Y208" t="s">
        <v>1</v>
      </c>
      <c r="Z208" t="s">
        <v>518</v>
      </c>
      <c r="AA208" t="s">
        <v>5</v>
      </c>
      <c r="AB208">
        <v>1</v>
      </c>
      <c r="AC208" t="s">
        <v>4</v>
      </c>
      <c r="AD208">
        <v>0</v>
      </c>
    </row>
    <row r="209" spans="1:30" x14ac:dyDescent="0.25">
      <c r="A209" t="str">
        <f t="shared" si="3"/>
        <v>feynman_I_15_3x_15795</v>
      </c>
      <c r="B209" t="s">
        <v>93</v>
      </c>
      <c r="C209" t="s">
        <v>189</v>
      </c>
      <c r="D209">
        <v>7200</v>
      </c>
      <c r="E209" t="s">
        <v>190</v>
      </c>
      <c r="F209">
        <v>1000000</v>
      </c>
      <c r="G209" t="s">
        <v>191</v>
      </c>
      <c r="H209">
        <v>15795</v>
      </c>
      <c r="I209" t="s">
        <v>192</v>
      </c>
      <c r="J209">
        <v>1E-3</v>
      </c>
      <c r="K209" t="s">
        <v>3</v>
      </c>
      <c r="L209">
        <v>0.99994799999999995</v>
      </c>
      <c r="M209" t="s">
        <v>2</v>
      </c>
      <c r="N209">
        <v>1.15508E-2</v>
      </c>
      <c r="O209" t="s">
        <v>17</v>
      </c>
      <c r="P209">
        <v>32</v>
      </c>
      <c r="Q209" t="s">
        <v>0</v>
      </c>
      <c r="R209">
        <v>7200.1</v>
      </c>
      <c r="S209" t="s">
        <v>152</v>
      </c>
      <c r="T209">
        <v>9</v>
      </c>
      <c r="U209" t="s">
        <v>153</v>
      </c>
      <c r="V209">
        <v>780</v>
      </c>
      <c r="W209" t="s">
        <v>151</v>
      </c>
      <c r="X209">
        <v>975813</v>
      </c>
      <c r="Y209" t="s">
        <v>1</v>
      </c>
      <c r="Z209" t="s">
        <v>519</v>
      </c>
      <c r="AA209" t="s">
        <v>5</v>
      </c>
      <c r="AB209">
        <v>0.99994919999999998</v>
      </c>
      <c r="AC209" t="s">
        <v>4</v>
      </c>
      <c r="AD209">
        <v>1.14705E-2</v>
      </c>
    </row>
    <row r="210" spans="1:30" x14ac:dyDescent="0.25">
      <c r="A210" t="str">
        <f t="shared" si="3"/>
        <v>feynman_II_13_34_15795</v>
      </c>
      <c r="B210" t="s">
        <v>56</v>
      </c>
      <c r="C210" t="s">
        <v>189</v>
      </c>
      <c r="D210">
        <v>7200</v>
      </c>
      <c r="E210" t="s">
        <v>190</v>
      </c>
      <c r="F210">
        <v>1000000</v>
      </c>
      <c r="G210" t="s">
        <v>191</v>
      </c>
      <c r="H210">
        <v>15795</v>
      </c>
      <c r="I210" t="s">
        <v>192</v>
      </c>
      <c r="J210">
        <v>1E-3</v>
      </c>
      <c r="K210" t="s">
        <v>3</v>
      </c>
      <c r="L210">
        <v>0.99997409999999998</v>
      </c>
      <c r="M210" t="s">
        <v>2</v>
      </c>
      <c r="N210">
        <v>1.07451E-2</v>
      </c>
      <c r="O210" t="s">
        <v>17</v>
      </c>
      <c r="P210">
        <v>20</v>
      </c>
      <c r="Q210" t="s">
        <v>0</v>
      </c>
      <c r="R210">
        <v>7202</v>
      </c>
      <c r="S210" t="s">
        <v>152</v>
      </c>
      <c r="T210">
        <v>8</v>
      </c>
      <c r="U210" t="s">
        <v>153</v>
      </c>
      <c r="V210">
        <v>952</v>
      </c>
      <c r="W210" t="s">
        <v>151</v>
      </c>
      <c r="X210">
        <v>775425</v>
      </c>
      <c r="Y210" t="s">
        <v>1</v>
      </c>
      <c r="Z210" t="s">
        <v>520</v>
      </c>
      <c r="AA210" t="s">
        <v>5</v>
      </c>
      <c r="AB210">
        <v>0.99997369999999997</v>
      </c>
      <c r="AC210" t="s">
        <v>4</v>
      </c>
      <c r="AD210">
        <v>1.0776900000000001E-2</v>
      </c>
    </row>
    <row r="211" spans="1:30" x14ac:dyDescent="0.25">
      <c r="A211" t="str">
        <f t="shared" si="3"/>
        <v>feynman_II_13_23_23654</v>
      </c>
      <c r="B211" t="s">
        <v>58</v>
      </c>
      <c r="C211" t="s">
        <v>189</v>
      </c>
      <c r="D211">
        <v>7200</v>
      </c>
      <c r="E211" t="s">
        <v>190</v>
      </c>
      <c r="F211">
        <v>1000000</v>
      </c>
      <c r="G211" t="s">
        <v>191</v>
      </c>
      <c r="H211">
        <v>23654</v>
      </c>
      <c r="I211" t="s">
        <v>192</v>
      </c>
      <c r="J211">
        <v>1E-3</v>
      </c>
      <c r="K211" t="s">
        <v>3</v>
      </c>
      <c r="L211">
        <v>0.99997610000000003</v>
      </c>
      <c r="M211" t="s">
        <v>2</v>
      </c>
      <c r="N211">
        <v>5.9487000000000003E-3</v>
      </c>
      <c r="O211" t="s">
        <v>17</v>
      </c>
      <c r="P211">
        <v>18</v>
      </c>
      <c r="Q211" t="s">
        <v>0</v>
      </c>
      <c r="R211">
        <v>7201.3</v>
      </c>
      <c r="S211" t="s">
        <v>152</v>
      </c>
      <c r="T211">
        <v>9</v>
      </c>
      <c r="U211" t="s">
        <v>153</v>
      </c>
      <c r="V211">
        <v>938</v>
      </c>
      <c r="W211" t="s">
        <v>151</v>
      </c>
      <c r="X211">
        <v>689735</v>
      </c>
      <c r="Y211" t="s">
        <v>1</v>
      </c>
      <c r="Z211" t="s">
        <v>521</v>
      </c>
      <c r="AA211" t="s">
        <v>5</v>
      </c>
      <c r="AB211">
        <v>0.99997619999999998</v>
      </c>
      <c r="AC211" t="s">
        <v>4</v>
      </c>
      <c r="AD211">
        <v>5.9251E-3</v>
      </c>
    </row>
    <row r="212" spans="1:30" x14ac:dyDescent="0.25">
      <c r="A212" t="str">
        <f t="shared" si="3"/>
        <v>feynman_I_34_27_15795</v>
      </c>
      <c r="B212" t="s">
        <v>34</v>
      </c>
      <c r="C212" t="s">
        <v>189</v>
      </c>
      <c r="D212">
        <v>7200</v>
      </c>
      <c r="E212" t="s">
        <v>190</v>
      </c>
      <c r="F212">
        <v>1000000</v>
      </c>
      <c r="G212" t="s">
        <v>191</v>
      </c>
      <c r="H212">
        <v>15795</v>
      </c>
      <c r="I212" t="s">
        <v>192</v>
      </c>
      <c r="J212">
        <v>1E-3</v>
      </c>
      <c r="K212" t="s">
        <v>3</v>
      </c>
      <c r="L212">
        <v>1</v>
      </c>
      <c r="M212" t="s">
        <v>2</v>
      </c>
      <c r="N212">
        <v>0</v>
      </c>
      <c r="O212" t="s">
        <v>17</v>
      </c>
      <c r="P212">
        <v>6</v>
      </c>
      <c r="Q212" t="s">
        <v>0</v>
      </c>
      <c r="R212">
        <v>1.2</v>
      </c>
      <c r="S212" t="s">
        <v>152</v>
      </c>
      <c r="T212">
        <v>1</v>
      </c>
      <c r="U212" t="s">
        <v>153</v>
      </c>
      <c r="V212">
        <v>2</v>
      </c>
      <c r="W212" t="s">
        <v>151</v>
      </c>
      <c r="X212">
        <v>265</v>
      </c>
      <c r="Y212" t="s">
        <v>1</v>
      </c>
      <c r="Z212" t="s">
        <v>159</v>
      </c>
      <c r="AA212" t="s">
        <v>5</v>
      </c>
      <c r="AB212">
        <v>1</v>
      </c>
      <c r="AC212" t="s">
        <v>4</v>
      </c>
      <c r="AD212">
        <v>0</v>
      </c>
    </row>
    <row r="213" spans="1:30" x14ac:dyDescent="0.25">
      <c r="A213" t="str">
        <f t="shared" si="3"/>
        <v>feynman_I_9_18_15795</v>
      </c>
      <c r="B213" t="s">
        <v>150</v>
      </c>
      <c r="C213" t="s">
        <v>189</v>
      </c>
      <c r="D213">
        <v>7200</v>
      </c>
      <c r="E213" t="s">
        <v>190</v>
      </c>
      <c r="F213">
        <v>1000000</v>
      </c>
      <c r="G213" t="s">
        <v>191</v>
      </c>
      <c r="H213">
        <v>15795</v>
      </c>
      <c r="I213" t="s">
        <v>192</v>
      </c>
      <c r="J213">
        <v>1E-3</v>
      </c>
      <c r="K213" t="s">
        <v>3</v>
      </c>
      <c r="L213">
        <v>0.98798569999999997</v>
      </c>
      <c r="M213" t="s">
        <v>2</v>
      </c>
      <c r="N213">
        <v>1.3465700000000001E-2</v>
      </c>
      <c r="O213" t="s">
        <v>17</v>
      </c>
      <c r="P213">
        <v>36</v>
      </c>
      <c r="Q213" t="s">
        <v>0</v>
      </c>
      <c r="R213">
        <v>7200</v>
      </c>
      <c r="S213" t="s">
        <v>152</v>
      </c>
      <c r="T213">
        <v>8</v>
      </c>
      <c r="U213" t="s">
        <v>153</v>
      </c>
      <c r="V213">
        <v>308</v>
      </c>
      <c r="W213" t="s">
        <v>151</v>
      </c>
      <c r="X213">
        <v>993789</v>
      </c>
      <c r="Y213" t="s">
        <v>1</v>
      </c>
      <c r="Z213" t="s">
        <v>522</v>
      </c>
      <c r="AA213" t="s">
        <v>5</v>
      </c>
      <c r="AB213">
        <v>0.98813689999999998</v>
      </c>
      <c r="AC213" t="s">
        <v>4</v>
      </c>
      <c r="AD213">
        <v>1.3421600000000001E-2</v>
      </c>
    </row>
    <row r="214" spans="1:30" x14ac:dyDescent="0.25">
      <c r="A214" t="str">
        <f t="shared" si="3"/>
        <v>feynman_II_15_4_15795</v>
      </c>
      <c r="B214" t="s">
        <v>70</v>
      </c>
      <c r="C214" t="s">
        <v>189</v>
      </c>
      <c r="D214">
        <v>7200</v>
      </c>
      <c r="E214" t="s">
        <v>190</v>
      </c>
      <c r="F214">
        <v>1000000</v>
      </c>
      <c r="G214" t="s">
        <v>191</v>
      </c>
      <c r="H214">
        <v>15795</v>
      </c>
      <c r="I214" t="s">
        <v>192</v>
      </c>
      <c r="J214">
        <v>1E-3</v>
      </c>
      <c r="K214" t="s">
        <v>3</v>
      </c>
      <c r="L214">
        <v>1</v>
      </c>
      <c r="M214" t="s">
        <v>2</v>
      </c>
      <c r="N214">
        <v>0</v>
      </c>
      <c r="O214" t="s">
        <v>17</v>
      </c>
      <c r="P214">
        <v>22</v>
      </c>
      <c r="Q214" t="s">
        <v>0</v>
      </c>
      <c r="R214">
        <v>331</v>
      </c>
      <c r="S214" t="s">
        <v>152</v>
      </c>
      <c r="T214">
        <v>4</v>
      </c>
      <c r="U214" t="s">
        <v>153</v>
      </c>
      <c r="V214">
        <v>35</v>
      </c>
      <c r="W214" t="s">
        <v>151</v>
      </c>
      <c r="X214">
        <v>46849</v>
      </c>
      <c r="Y214" t="s">
        <v>1</v>
      </c>
      <c r="Z214" t="s">
        <v>523</v>
      </c>
      <c r="AA214" t="s">
        <v>5</v>
      </c>
      <c r="AB214">
        <v>1</v>
      </c>
      <c r="AC214" t="s">
        <v>4</v>
      </c>
      <c r="AD214">
        <v>0</v>
      </c>
    </row>
    <row r="215" spans="1:30" x14ac:dyDescent="0.25">
      <c r="A215" t="str">
        <f t="shared" si="3"/>
        <v>feynman_II_4_23_15795</v>
      </c>
      <c r="B215" t="s">
        <v>81</v>
      </c>
      <c r="C215" t="s">
        <v>189</v>
      </c>
      <c r="D215">
        <v>7200</v>
      </c>
      <c r="E215" t="s">
        <v>190</v>
      </c>
      <c r="F215">
        <v>1000000</v>
      </c>
      <c r="G215" t="s">
        <v>191</v>
      </c>
      <c r="H215">
        <v>15795</v>
      </c>
      <c r="I215" t="s">
        <v>192</v>
      </c>
      <c r="J215">
        <v>1E-3</v>
      </c>
      <c r="K215" t="s">
        <v>3</v>
      </c>
      <c r="L215">
        <v>1</v>
      </c>
      <c r="M215" t="s">
        <v>2</v>
      </c>
      <c r="N215">
        <v>0</v>
      </c>
      <c r="O215" t="s">
        <v>17</v>
      </c>
      <c r="P215">
        <v>12</v>
      </c>
      <c r="Q215" t="s">
        <v>0</v>
      </c>
      <c r="R215">
        <v>4.3</v>
      </c>
      <c r="S215" t="s">
        <v>152</v>
      </c>
      <c r="T215">
        <v>1</v>
      </c>
      <c r="U215" t="s">
        <v>153</v>
      </c>
      <c r="V215">
        <v>3</v>
      </c>
      <c r="W215" t="s">
        <v>151</v>
      </c>
      <c r="X215">
        <v>922</v>
      </c>
      <c r="Y215" t="s">
        <v>1</v>
      </c>
      <c r="Z215" t="s">
        <v>174</v>
      </c>
      <c r="AA215" t="s">
        <v>5</v>
      </c>
      <c r="AB215">
        <v>1</v>
      </c>
      <c r="AC215" t="s">
        <v>4</v>
      </c>
      <c r="AD215">
        <v>0</v>
      </c>
    </row>
    <row r="216" spans="1:30" x14ac:dyDescent="0.25">
      <c r="A216" t="str">
        <f t="shared" si="3"/>
        <v>feynman_II_8_7_15795</v>
      </c>
      <c r="B216" t="s">
        <v>80</v>
      </c>
      <c r="C216" t="s">
        <v>189</v>
      </c>
      <c r="D216">
        <v>7200</v>
      </c>
      <c r="E216" t="s">
        <v>190</v>
      </c>
      <c r="F216">
        <v>1000000</v>
      </c>
      <c r="G216" t="s">
        <v>191</v>
      </c>
      <c r="H216">
        <v>15795</v>
      </c>
      <c r="I216" t="s">
        <v>192</v>
      </c>
      <c r="J216">
        <v>1E-3</v>
      </c>
      <c r="K216" t="s">
        <v>3</v>
      </c>
      <c r="L216">
        <v>1</v>
      </c>
      <c r="M216" t="s">
        <v>2</v>
      </c>
      <c r="N216">
        <v>0</v>
      </c>
      <c r="O216" t="s">
        <v>17</v>
      </c>
      <c r="P216">
        <v>14</v>
      </c>
      <c r="Q216" t="s">
        <v>0</v>
      </c>
      <c r="R216">
        <v>8.5</v>
      </c>
      <c r="S216" t="s">
        <v>152</v>
      </c>
      <c r="T216">
        <v>1</v>
      </c>
      <c r="U216" t="s">
        <v>153</v>
      </c>
      <c r="V216">
        <v>4</v>
      </c>
      <c r="W216" t="s">
        <v>151</v>
      </c>
      <c r="X216">
        <v>1740</v>
      </c>
      <c r="Y216" t="s">
        <v>1</v>
      </c>
      <c r="Z216" t="s">
        <v>165</v>
      </c>
      <c r="AA216" t="s">
        <v>5</v>
      </c>
      <c r="AB216">
        <v>1</v>
      </c>
      <c r="AC216" t="s">
        <v>4</v>
      </c>
      <c r="AD216">
        <v>0</v>
      </c>
    </row>
    <row r="217" spans="1:30" x14ac:dyDescent="0.25">
      <c r="A217" t="str">
        <f t="shared" si="3"/>
        <v>feynman_I_13_12_15795</v>
      </c>
      <c r="B217" t="s">
        <v>128</v>
      </c>
      <c r="C217" t="s">
        <v>189</v>
      </c>
      <c r="D217">
        <v>7200</v>
      </c>
      <c r="E217" t="s">
        <v>190</v>
      </c>
      <c r="F217">
        <v>1000000</v>
      </c>
      <c r="G217" t="s">
        <v>191</v>
      </c>
      <c r="H217">
        <v>15795</v>
      </c>
      <c r="I217" t="s">
        <v>192</v>
      </c>
      <c r="J217">
        <v>1E-3</v>
      </c>
      <c r="K217" t="s">
        <v>3</v>
      </c>
      <c r="L217">
        <v>0.9999962</v>
      </c>
      <c r="M217" t="s">
        <v>2</v>
      </c>
      <c r="N217">
        <v>1.7681100000000002E-2</v>
      </c>
      <c r="O217" t="s">
        <v>17</v>
      </c>
      <c r="P217">
        <v>70</v>
      </c>
      <c r="Q217" t="s">
        <v>0</v>
      </c>
      <c r="R217">
        <v>7200.2</v>
      </c>
      <c r="S217" t="s">
        <v>152</v>
      </c>
      <c r="T217">
        <v>13</v>
      </c>
      <c r="U217" t="s">
        <v>153</v>
      </c>
      <c r="V217">
        <v>340</v>
      </c>
      <c r="W217" t="s">
        <v>151</v>
      </c>
      <c r="X217">
        <v>968679</v>
      </c>
      <c r="Y217" t="s">
        <v>1</v>
      </c>
      <c r="Z217" t="s">
        <v>524</v>
      </c>
      <c r="AA217" t="s">
        <v>5</v>
      </c>
      <c r="AB217">
        <v>0.9999962</v>
      </c>
      <c r="AC217" t="s">
        <v>4</v>
      </c>
      <c r="AD217">
        <v>1.7911900000000001E-2</v>
      </c>
    </row>
    <row r="218" spans="1:30" x14ac:dyDescent="0.25">
      <c r="A218" t="str">
        <f t="shared" si="3"/>
        <v>feynman_I_50_26_15795</v>
      </c>
      <c r="B218" t="s">
        <v>105</v>
      </c>
      <c r="C218" t="s">
        <v>189</v>
      </c>
      <c r="D218">
        <v>7200</v>
      </c>
      <c r="E218" t="s">
        <v>190</v>
      </c>
      <c r="F218">
        <v>1000000</v>
      </c>
      <c r="G218" t="s">
        <v>191</v>
      </c>
      <c r="H218">
        <v>15795</v>
      </c>
      <c r="I218" t="s">
        <v>192</v>
      </c>
      <c r="J218">
        <v>1E-3</v>
      </c>
      <c r="K218" t="s">
        <v>3</v>
      </c>
      <c r="L218">
        <v>1</v>
      </c>
      <c r="M218" t="s">
        <v>2</v>
      </c>
      <c r="N218">
        <v>0</v>
      </c>
      <c r="O218" t="s">
        <v>17</v>
      </c>
      <c r="P218">
        <v>28</v>
      </c>
      <c r="Q218" t="s">
        <v>0</v>
      </c>
      <c r="R218">
        <v>178.6</v>
      </c>
      <c r="S218" t="s">
        <v>152</v>
      </c>
      <c r="T218">
        <v>1</v>
      </c>
      <c r="U218" t="s">
        <v>153</v>
      </c>
      <c r="V218">
        <v>15</v>
      </c>
      <c r="W218" t="s">
        <v>151</v>
      </c>
      <c r="X218">
        <v>21707</v>
      </c>
      <c r="Y218" t="s">
        <v>1</v>
      </c>
      <c r="Z218" t="s">
        <v>455</v>
      </c>
      <c r="AA218" t="s">
        <v>5</v>
      </c>
      <c r="AB218">
        <v>1</v>
      </c>
      <c r="AC218" t="s">
        <v>4</v>
      </c>
      <c r="AD218">
        <v>0</v>
      </c>
    </row>
    <row r="219" spans="1:30" x14ac:dyDescent="0.25">
      <c r="A219" t="str">
        <f t="shared" si="3"/>
        <v>feynman_I_41_16_15795</v>
      </c>
      <c r="B219" t="s">
        <v>125</v>
      </c>
      <c r="C219" t="s">
        <v>189</v>
      </c>
      <c r="D219">
        <v>7200</v>
      </c>
      <c r="E219" t="s">
        <v>190</v>
      </c>
      <c r="F219">
        <v>1000000</v>
      </c>
      <c r="G219" t="s">
        <v>191</v>
      </c>
      <c r="H219">
        <v>15795</v>
      </c>
      <c r="I219" t="s">
        <v>192</v>
      </c>
      <c r="J219">
        <v>1E-3</v>
      </c>
      <c r="K219" t="s">
        <v>3</v>
      </c>
      <c r="L219">
        <v>0.99997139999999995</v>
      </c>
      <c r="M219" t="s">
        <v>2</v>
      </c>
      <c r="N219">
        <v>1.5892400000000001E-2</v>
      </c>
      <c r="O219" t="s">
        <v>17</v>
      </c>
      <c r="P219">
        <v>26</v>
      </c>
      <c r="Q219" t="s">
        <v>0</v>
      </c>
      <c r="R219">
        <v>6872.5</v>
      </c>
      <c r="S219" t="s">
        <v>152</v>
      </c>
      <c r="T219">
        <v>15</v>
      </c>
      <c r="U219" t="s">
        <v>153</v>
      </c>
      <c r="V219">
        <v>636</v>
      </c>
      <c r="W219" t="s">
        <v>151</v>
      </c>
      <c r="X219">
        <v>1000141</v>
      </c>
      <c r="Y219" t="s">
        <v>1</v>
      </c>
      <c r="Z219" t="s">
        <v>525</v>
      </c>
      <c r="AA219" t="s">
        <v>5</v>
      </c>
      <c r="AB219">
        <v>0.99997179999999997</v>
      </c>
      <c r="AC219" t="s">
        <v>4</v>
      </c>
      <c r="AD219">
        <v>1.6120700000000002E-2</v>
      </c>
    </row>
    <row r="220" spans="1:30" x14ac:dyDescent="0.25">
      <c r="A220" t="str">
        <f t="shared" si="3"/>
        <v>strogatz_barmag2_15795</v>
      </c>
      <c r="B220" t="s">
        <v>24</v>
      </c>
      <c r="C220" t="s">
        <v>189</v>
      </c>
      <c r="D220">
        <v>7200</v>
      </c>
      <c r="E220" t="s">
        <v>190</v>
      </c>
      <c r="F220">
        <v>1000000</v>
      </c>
      <c r="G220" t="s">
        <v>191</v>
      </c>
      <c r="H220">
        <v>15795</v>
      </c>
      <c r="I220" t="s">
        <v>192</v>
      </c>
      <c r="J220">
        <v>1E-3</v>
      </c>
      <c r="K220" t="s">
        <v>3</v>
      </c>
      <c r="L220">
        <v>0.99867539999999999</v>
      </c>
      <c r="M220" t="s">
        <v>2</v>
      </c>
      <c r="N220">
        <v>9.9953000000000004E-3</v>
      </c>
      <c r="O220" t="s">
        <v>17</v>
      </c>
      <c r="P220">
        <v>28</v>
      </c>
      <c r="Q220" t="s">
        <v>0</v>
      </c>
      <c r="R220">
        <v>2566.5</v>
      </c>
      <c r="S220" t="s">
        <v>152</v>
      </c>
      <c r="T220">
        <v>7</v>
      </c>
      <c r="U220" t="s">
        <v>153</v>
      </c>
      <c r="V220">
        <v>1215</v>
      </c>
      <c r="W220" t="s">
        <v>151</v>
      </c>
      <c r="X220">
        <v>1000257</v>
      </c>
      <c r="Y220" t="s">
        <v>1</v>
      </c>
      <c r="Z220" t="s">
        <v>526</v>
      </c>
      <c r="AA220" t="s">
        <v>5</v>
      </c>
      <c r="AB220">
        <v>0.99757980000000002</v>
      </c>
      <c r="AC220" t="s">
        <v>4</v>
      </c>
      <c r="AD220">
        <v>1.5003900000000001E-2</v>
      </c>
    </row>
    <row r="221" spans="1:30" x14ac:dyDescent="0.25">
      <c r="A221" t="str">
        <f t="shared" si="3"/>
        <v>feynman_III_8_54_15795</v>
      </c>
      <c r="B221" t="s">
        <v>74</v>
      </c>
      <c r="C221" t="s">
        <v>189</v>
      </c>
      <c r="D221">
        <v>7200</v>
      </c>
      <c r="E221" t="s">
        <v>190</v>
      </c>
      <c r="F221">
        <v>1000000</v>
      </c>
      <c r="G221" t="s">
        <v>191</v>
      </c>
      <c r="H221">
        <v>15795</v>
      </c>
      <c r="I221" t="s">
        <v>192</v>
      </c>
      <c r="J221">
        <v>1E-3</v>
      </c>
      <c r="K221" t="s">
        <v>3</v>
      </c>
      <c r="L221">
        <v>0.74889830000000002</v>
      </c>
      <c r="M221" t="s">
        <v>2</v>
      </c>
      <c r="N221">
        <v>0.17692060000000001</v>
      </c>
      <c r="O221" t="s">
        <v>17</v>
      </c>
      <c r="P221">
        <v>50</v>
      </c>
      <c r="Q221" t="s">
        <v>0</v>
      </c>
      <c r="R221">
        <v>7200.5</v>
      </c>
      <c r="S221" t="s">
        <v>152</v>
      </c>
      <c r="T221">
        <v>16</v>
      </c>
      <c r="U221" t="s">
        <v>153</v>
      </c>
      <c r="V221">
        <v>296</v>
      </c>
      <c r="W221" t="s">
        <v>151</v>
      </c>
      <c r="X221">
        <v>918444</v>
      </c>
      <c r="Y221" t="s">
        <v>1</v>
      </c>
      <c r="Z221" t="s">
        <v>527</v>
      </c>
      <c r="AA221" t="s">
        <v>5</v>
      </c>
      <c r="AB221">
        <v>0.75792250000000005</v>
      </c>
      <c r="AC221" t="s">
        <v>4</v>
      </c>
      <c r="AD221">
        <v>0.17446329999999999</v>
      </c>
    </row>
    <row r="222" spans="1:30" x14ac:dyDescent="0.25">
      <c r="A222" t="str">
        <f t="shared" si="3"/>
        <v>feynman_I_16_6_15795</v>
      </c>
      <c r="B222" t="s">
        <v>50</v>
      </c>
      <c r="C222" t="s">
        <v>189</v>
      </c>
      <c r="D222">
        <v>7200</v>
      </c>
      <c r="E222" t="s">
        <v>190</v>
      </c>
      <c r="F222">
        <v>1000000</v>
      </c>
      <c r="G222" t="s">
        <v>191</v>
      </c>
      <c r="H222">
        <v>15795</v>
      </c>
      <c r="I222" t="s">
        <v>192</v>
      </c>
      <c r="J222">
        <v>1E-3</v>
      </c>
      <c r="K222" t="s">
        <v>3</v>
      </c>
      <c r="L222">
        <v>0.99804870000000001</v>
      </c>
      <c r="M222" t="s">
        <v>2</v>
      </c>
      <c r="N222">
        <v>5.0287499999999999E-2</v>
      </c>
      <c r="O222" t="s">
        <v>17</v>
      </c>
      <c r="P222">
        <v>42</v>
      </c>
      <c r="Q222" t="s">
        <v>0</v>
      </c>
      <c r="R222">
        <v>7200.6</v>
      </c>
      <c r="S222" t="s">
        <v>152</v>
      </c>
      <c r="T222">
        <v>10</v>
      </c>
      <c r="U222" t="s">
        <v>153</v>
      </c>
      <c r="V222">
        <v>877</v>
      </c>
      <c r="W222" t="s">
        <v>151</v>
      </c>
      <c r="X222">
        <v>892195</v>
      </c>
      <c r="Y222" t="s">
        <v>1</v>
      </c>
      <c r="Z222" t="s">
        <v>528</v>
      </c>
      <c r="AA222" t="s">
        <v>5</v>
      </c>
      <c r="AB222">
        <v>0.99804349999999997</v>
      </c>
      <c r="AC222" t="s">
        <v>4</v>
      </c>
      <c r="AD222">
        <v>5.0468100000000002E-2</v>
      </c>
    </row>
    <row r="223" spans="1:30" x14ac:dyDescent="0.25">
      <c r="A223" t="str">
        <f t="shared" si="3"/>
        <v>feynman_I_6_2b_15795</v>
      </c>
      <c r="B223" t="s">
        <v>65</v>
      </c>
      <c r="C223" t="s">
        <v>189</v>
      </c>
      <c r="D223">
        <v>7200</v>
      </c>
      <c r="E223" t="s">
        <v>190</v>
      </c>
      <c r="F223">
        <v>1000000</v>
      </c>
      <c r="G223" t="s">
        <v>191</v>
      </c>
      <c r="H223">
        <v>15795</v>
      </c>
      <c r="I223" t="s">
        <v>192</v>
      </c>
      <c r="J223">
        <v>1E-3</v>
      </c>
      <c r="K223" t="s">
        <v>3</v>
      </c>
      <c r="L223">
        <v>0.9925948</v>
      </c>
      <c r="M223" t="s">
        <v>2</v>
      </c>
      <c r="N223">
        <v>5.1643000000000001E-3</v>
      </c>
      <c r="O223" t="s">
        <v>17</v>
      </c>
      <c r="P223">
        <v>22</v>
      </c>
      <c r="Q223" t="s">
        <v>0</v>
      </c>
      <c r="R223">
        <v>7200.5</v>
      </c>
      <c r="S223" t="s">
        <v>152</v>
      </c>
      <c r="T223">
        <v>14</v>
      </c>
      <c r="U223" t="s">
        <v>153</v>
      </c>
      <c r="V223">
        <v>530</v>
      </c>
      <c r="W223" t="s">
        <v>151</v>
      </c>
      <c r="X223">
        <v>365219</v>
      </c>
      <c r="Y223" t="s">
        <v>1</v>
      </c>
      <c r="Z223" t="s">
        <v>529</v>
      </c>
      <c r="AA223" t="s">
        <v>5</v>
      </c>
      <c r="AB223">
        <v>0.99180950000000001</v>
      </c>
      <c r="AC223" t="s">
        <v>4</v>
      </c>
      <c r="AD223">
        <v>5.4627E-3</v>
      </c>
    </row>
    <row r="224" spans="1:30" x14ac:dyDescent="0.25">
      <c r="A224" t="str">
        <f t="shared" si="3"/>
        <v>feynman_test_16_15795</v>
      </c>
      <c r="B224" t="s">
        <v>140</v>
      </c>
      <c r="C224" t="s">
        <v>189</v>
      </c>
      <c r="D224">
        <v>7200</v>
      </c>
      <c r="E224" t="s">
        <v>190</v>
      </c>
      <c r="F224">
        <v>1000000</v>
      </c>
      <c r="G224" t="s">
        <v>191</v>
      </c>
      <c r="H224">
        <v>15795</v>
      </c>
      <c r="I224" t="s">
        <v>192</v>
      </c>
      <c r="J224">
        <v>1E-3</v>
      </c>
      <c r="K224" t="s">
        <v>3</v>
      </c>
      <c r="L224">
        <v>0.99915160000000003</v>
      </c>
      <c r="M224" t="s">
        <v>2</v>
      </c>
      <c r="N224">
        <v>0.8316789</v>
      </c>
      <c r="O224" t="s">
        <v>17</v>
      </c>
      <c r="P224">
        <v>79</v>
      </c>
      <c r="Q224" t="s">
        <v>0</v>
      </c>
      <c r="R224">
        <v>7201</v>
      </c>
      <c r="S224" t="s">
        <v>152</v>
      </c>
      <c r="T224">
        <v>8</v>
      </c>
      <c r="U224" t="s">
        <v>153</v>
      </c>
      <c r="V224">
        <v>179</v>
      </c>
      <c r="W224" t="s">
        <v>151</v>
      </c>
      <c r="X224">
        <v>646775</v>
      </c>
      <c r="Y224" t="s">
        <v>1</v>
      </c>
      <c r="Z224" t="s">
        <v>530</v>
      </c>
      <c r="AA224" t="s">
        <v>5</v>
      </c>
      <c r="AB224">
        <v>0.99907630000000003</v>
      </c>
      <c r="AC224" t="s">
        <v>4</v>
      </c>
      <c r="AD224">
        <v>0.86765190000000003</v>
      </c>
    </row>
    <row r="225" spans="1:30" x14ac:dyDescent="0.25">
      <c r="A225" t="str">
        <f t="shared" si="3"/>
        <v>feynman_test_5_15795</v>
      </c>
      <c r="B225" t="s">
        <v>94</v>
      </c>
      <c r="C225" t="s">
        <v>189</v>
      </c>
      <c r="D225">
        <v>7200</v>
      </c>
      <c r="E225" t="s">
        <v>190</v>
      </c>
      <c r="F225">
        <v>1000000</v>
      </c>
      <c r="G225" t="s">
        <v>191</v>
      </c>
      <c r="H225">
        <v>15795</v>
      </c>
      <c r="I225" t="s">
        <v>192</v>
      </c>
      <c r="J225">
        <v>1E-3</v>
      </c>
      <c r="K225" t="s">
        <v>3</v>
      </c>
      <c r="L225">
        <v>1</v>
      </c>
      <c r="M225" t="s">
        <v>2</v>
      </c>
      <c r="N225">
        <v>0</v>
      </c>
      <c r="O225" t="s">
        <v>17</v>
      </c>
      <c r="P225">
        <v>18</v>
      </c>
      <c r="Q225" t="s">
        <v>0</v>
      </c>
      <c r="R225">
        <v>142.9</v>
      </c>
      <c r="S225" t="s">
        <v>152</v>
      </c>
      <c r="T225">
        <v>2</v>
      </c>
      <c r="U225" t="s">
        <v>153</v>
      </c>
      <c r="V225">
        <v>16</v>
      </c>
      <c r="W225" t="s">
        <v>151</v>
      </c>
      <c r="X225">
        <v>17873</v>
      </c>
      <c r="Y225" t="s">
        <v>1</v>
      </c>
      <c r="Z225" t="s">
        <v>531</v>
      </c>
      <c r="AA225" t="s">
        <v>5</v>
      </c>
      <c r="AB225">
        <v>1</v>
      </c>
      <c r="AC225" t="s">
        <v>4</v>
      </c>
      <c r="AD225">
        <v>0</v>
      </c>
    </row>
    <row r="226" spans="1:30" x14ac:dyDescent="0.25">
      <c r="A226" t="str">
        <f t="shared" si="3"/>
        <v>feynman_I_32_17_15795</v>
      </c>
      <c r="B226" t="s">
        <v>137</v>
      </c>
      <c r="C226" t="s">
        <v>189</v>
      </c>
      <c r="D226">
        <v>7200</v>
      </c>
      <c r="E226" t="s">
        <v>190</v>
      </c>
      <c r="F226">
        <v>1000000</v>
      </c>
      <c r="G226" t="s">
        <v>191</v>
      </c>
      <c r="H226">
        <v>15795</v>
      </c>
      <c r="I226" t="s">
        <v>192</v>
      </c>
      <c r="J226">
        <v>1E-3</v>
      </c>
      <c r="K226" t="s">
        <v>3</v>
      </c>
      <c r="L226">
        <v>0.99848490000000001</v>
      </c>
      <c r="M226" t="s">
        <v>2</v>
      </c>
      <c r="N226">
        <v>0.18260999999999999</v>
      </c>
      <c r="O226" t="s">
        <v>17</v>
      </c>
      <c r="P226">
        <v>65</v>
      </c>
      <c r="Q226" t="s">
        <v>0</v>
      </c>
      <c r="R226">
        <v>7200.8</v>
      </c>
      <c r="S226" t="s">
        <v>152</v>
      </c>
      <c r="T226">
        <v>7</v>
      </c>
      <c r="U226" t="s">
        <v>153</v>
      </c>
      <c r="V226">
        <v>194</v>
      </c>
      <c r="W226" t="s">
        <v>151</v>
      </c>
      <c r="X226">
        <v>800063</v>
      </c>
      <c r="Y226" t="s">
        <v>1</v>
      </c>
      <c r="Z226" t="e" cm="1">
        <f t="array" aca="1" ref="Z226" ca="1">-0.5690695578355+(0.2780354232505*V2)+(0.1267607851497*V1)+((((((0.2943066757074*v0)*V2)*pow(V3,2))*pow(V4,2))*pow((((-1+(0.5*pow(V5,2)))+(-0.5*V2))+(((0.6*pow(V1,-2))*pow(V2,2))*pow(V4,-2))),-2))*EXP((V4*pow(((V1+V2)+pow(V5,-1)),0.5))))</f>
        <v>#NAME?</v>
      </c>
      <c r="AA226" t="s">
        <v>5</v>
      </c>
      <c r="AB226">
        <v>0.99856480000000003</v>
      </c>
      <c r="AC226" t="s">
        <v>4</v>
      </c>
      <c r="AD226">
        <v>0.1753777</v>
      </c>
    </row>
    <row r="227" spans="1:30" x14ac:dyDescent="0.25">
      <c r="A227" t="str">
        <f t="shared" si="3"/>
        <v>feynman_II_6_15a_15795</v>
      </c>
      <c r="B227" t="s">
        <v>142</v>
      </c>
      <c r="C227" t="s">
        <v>189</v>
      </c>
      <c r="D227">
        <v>7200</v>
      </c>
      <c r="E227" t="s">
        <v>190</v>
      </c>
      <c r="F227">
        <v>1000000</v>
      </c>
      <c r="G227" t="s">
        <v>191</v>
      </c>
      <c r="H227">
        <v>15795</v>
      </c>
      <c r="I227" t="s">
        <v>192</v>
      </c>
      <c r="J227">
        <v>1E-3</v>
      </c>
      <c r="K227" t="s">
        <v>3</v>
      </c>
      <c r="L227">
        <v>0.99927589999999999</v>
      </c>
      <c r="M227" t="s">
        <v>2</v>
      </c>
      <c r="N227">
        <v>1.00544E-2</v>
      </c>
      <c r="O227" t="s">
        <v>17</v>
      </c>
      <c r="P227">
        <v>32</v>
      </c>
      <c r="Q227" t="s">
        <v>0</v>
      </c>
      <c r="R227">
        <v>7167.1</v>
      </c>
      <c r="S227" t="s">
        <v>152</v>
      </c>
      <c r="T227">
        <v>5</v>
      </c>
      <c r="U227" t="s">
        <v>153</v>
      </c>
      <c r="V227">
        <v>553</v>
      </c>
      <c r="W227" t="s">
        <v>151</v>
      </c>
      <c r="X227">
        <v>1000038</v>
      </c>
      <c r="Y227" t="s">
        <v>1</v>
      </c>
      <c r="Z227" t="s">
        <v>532</v>
      </c>
      <c r="AA227" t="s">
        <v>5</v>
      </c>
      <c r="AB227">
        <v>0.99930249999999998</v>
      </c>
      <c r="AC227" t="s">
        <v>4</v>
      </c>
      <c r="AD227">
        <v>9.9784000000000001E-3</v>
      </c>
    </row>
    <row r="228" spans="1:30" x14ac:dyDescent="0.25">
      <c r="A228" t="str">
        <f t="shared" si="3"/>
        <v>feynman_I_34_14_15795</v>
      </c>
      <c r="B228" t="s">
        <v>51</v>
      </c>
      <c r="C228" t="s">
        <v>189</v>
      </c>
      <c r="D228">
        <v>7200</v>
      </c>
      <c r="E228" t="s">
        <v>190</v>
      </c>
      <c r="F228">
        <v>1000000</v>
      </c>
      <c r="G228" t="s">
        <v>191</v>
      </c>
      <c r="H228">
        <v>15795</v>
      </c>
      <c r="I228" t="s">
        <v>192</v>
      </c>
      <c r="J228">
        <v>1E-3</v>
      </c>
      <c r="K228" t="s">
        <v>3</v>
      </c>
      <c r="L228">
        <v>0.99998869999999995</v>
      </c>
      <c r="M228" t="s">
        <v>2</v>
      </c>
      <c r="N228">
        <v>5.4416999999999998E-3</v>
      </c>
      <c r="O228" t="s">
        <v>17</v>
      </c>
      <c r="P228">
        <v>18</v>
      </c>
      <c r="Q228" t="s">
        <v>0</v>
      </c>
      <c r="R228">
        <v>7200.4</v>
      </c>
      <c r="S228" t="s">
        <v>152</v>
      </c>
      <c r="T228">
        <v>4</v>
      </c>
      <c r="U228" t="s">
        <v>153</v>
      </c>
      <c r="V228">
        <v>715</v>
      </c>
      <c r="W228" t="s">
        <v>151</v>
      </c>
      <c r="X228">
        <v>574632</v>
      </c>
      <c r="Y228" t="s">
        <v>1</v>
      </c>
      <c r="Z228" t="s">
        <v>533</v>
      </c>
      <c r="AA228" t="s">
        <v>5</v>
      </c>
      <c r="AB228">
        <v>0.99998860000000001</v>
      </c>
      <c r="AC228" t="s">
        <v>4</v>
      </c>
      <c r="AD228">
        <v>5.4945000000000003E-3</v>
      </c>
    </row>
    <row r="229" spans="1:30" x14ac:dyDescent="0.25">
      <c r="A229" t="str">
        <f t="shared" si="3"/>
        <v>feynman_test_2_15795</v>
      </c>
      <c r="B229" t="s">
        <v>143</v>
      </c>
      <c r="C229" t="s">
        <v>189</v>
      </c>
      <c r="D229">
        <v>7200</v>
      </c>
      <c r="E229" t="s">
        <v>190</v>
      </c>
      <c r="F229">
        <v>1000000</v>
      </c>
      <c r="G229" t="s">
        <v>191</v>
      </c>
      <c r="H229">
        <v>15795</v>
      </c>
      <c r="I229" t="s">
        <v>192</v>
      </c>
      <c r="J229">
        <v>1E-3</v>
      </c>
      <c r="K229" t="s">
        <v>3</v>
      </c>
      <c r="L229">
        <v>0.78791480000000003</v>
      </c>
      <c r="M229" t="s">
        <v>2</v>
      </c>
      <c r="N229">
        <v>0.93237820000000005</v>
      </c>
      <c r="O229" t="s">
        <v>17</v>
      </c>
      <c r="P229">
        <v>96</v>
      </c>
      <c r="Q229" t="s">
        <v>0</v>
      </c>
      <c r="R229">
        <v>7200.3</v>
      </c>
      <c r="S229" t="s">
        <v>152</v>
      </c>
      <c r="T229">
        <v>9</v>
      </c>
      <c r="U229" t="s">
        <v>153</v>
      </c>
      <c r="V229">
        <v>305</v>
      </c>
      <c r="W229" t="s">
        <v>151</v>
      </c>
      <c r="X229">
        <v>758492</v>
      </c>
      <c r="Y229" t="s">
        <v>1</v>
      </c>
      <c r="Z229" t="s">
        <v>534</v>
      </c>
      <c r="AA229" t="s">
        <v>5</v>
      </c>
      <c r="AB229">
        <v>0.78586069999999997</v>
      </c>
      <c r="AC229" t="s">
        <v>4</v>
      </c>
      <c r="AD229">
        <v>0.93241810000000003</v>
      </c>
    </row>
    <row r="230" spans="1:30" x14ac:dyDescent="0.25">
      <c r="A230" t="str">
        <f t="shared" si="3"/>
        <v>feynman_I_29_16_15795</v>
      </c>
      <c r="B230" t="s">
        <v>88</v>
      </c>
      <c r="C230" t="s">
        <v>189</v>
      </c>
      <c r="D230">
        <v>7200</v>
      </c>
      <c r="E230" t="s">
        <v>190</v>
      </c>
      <c r="F230">
        <v>1000000</v>
      </c>
      <c r="G230" t="s">
        <v>191</v>
      </c>
      <c r="H230">
        <v>15795</v>
      </c>
      <c r="I230" t="s">
        <v>192</v>
      </c>
      <c r="J230">
        <v>1E-3</v>
      </c>
      <c r="K230" t="s">
        <v>3</v>
      </c>
      <c r="L230">
        <v>0.96318400000000004</v>
      </c>
      <c r="M230" t="s">
        <v>2</v>
      </c>
      <c r="N230">
        <v>0.36867280000000002</v>
      </c>
      <c r="O230" t="s">
        <v>17</v>
      </c>
      <c r="P230">
        <v>72</v>
      </c>
      <c r="Q230" t="s">
        <v>0</v>
      </c>
      <c r="R230">
        <v>7201</v>
      </c>
      <c r="S230" t="s">
        <v>152</v>
      </c>
      <c r="T230">
        <v>4</v>
      </c>
      <c r="U230" t="s">
        <v>153</v>
      </c>
      <c r="V230">
        <v>207</v>
      </c>
      <c r="W230" t="s">
        <v>151</v>
      </c>
      <c r="X230">
        <v>652198</v>
      </c>
      <c r="Y230" t="s">
        <v>1</v>
      </c>
      <c r="Z230" t="s">
        <v>535</v>
      </c>
      <c r="AA230" t="s">
        <v>5</v>
      </c>
      <c r="AB230">
        <v>0.96328049999999998</v>
      </c>
      <c r="AC230" t="s">
        <v>4</v>
      </c>
      <c r="AD230">
        <v>0.36627470000000001</v>
      </c>
    </row>
    <row r="231" spans="1:30" x14ac:dyDescent="0.25">
      <c r="A231" t="str">
        <f t="shared" si="3"/>
        <v>feynman_II_2_42_15795</v>
      </c>
      <c r="B231" t="s">
        <v>127</v>
      </c>
      <c r="C231" t="s">
        <v>189</v>
      </c>
      <c r="D231">
        <v>7200</v>
      </c>
      <c r="E231" t="s">
        <v>190</v>
      </c>
      <c r="F231">
        <v>1000000</v>
      </c>
      <c r="G231" t="s">
        <v>191</v>
      </c>
      <c r="H231">
        <v>15795</v>
      </c>
      <c r="I231" t="s">
        <v>192</v>
      </c>
      <c r="J231">
        <v>1E-3</v>
      </c>
      <c r="K231" t="s">
        <v>3</v>
      </c>
      <c r="L231">
        <v>0.99512800000000001</v>
      </c>
      <c r="M231" t="s">
        <v>2</v>
      </c>
      <c r="N231">
        <v>0.52479279999999995</v>
      </c>
      <c r="O231" t="s">
        <v>17</v>
      </c>
      <c r="P231">
        <v>149</v>
      </c>
      <c r="Q231" t="s">
        <v>0</v>
      </c>
      <c r="R231">
        <v>7201.1</v>
      </c>
      <c r="S231" t="s">
        <v>152</v>
      </c>
      <c r="T231">
        <v>4</v>
      </c>
      <c r="U231" t="s">
        <v>153</v>
      </c>
      <c r="V231">
        <v>68</v>
      </c>
      <c r="W231" t="s">
        <v>151</v>
      </c>
      <c r="X231">
        <v>512168</v>
      </c>
      <c r="Y231" t="s">
        <v>1</v>
      </c>
      <c r="Z231" t="s">
        <v>536</v>
      </c>
      <c r="AA231" t="s">
        <v>5</v>
      </c>
      <c r="AB231">
        <v>0.99525989999999998</v>
      </c>
      <c r="AC231" t="s">
        <v>4</v>
      </c>
      <c r="AD231">
        <v>0.51468009999999997</v>
      </c>
    </row>
    <row r="232" spans="1:30" x14ac:dyDescent="0.25">
      <c r="A232" t="str">
        <f t="shared" si="3"/>
        <v>feynman_test_9_15795</v>
      </c>
      <c r="B232" t="s">
        <v>136</v>
      </c>
      <c r="C232" t="s">
        <v>189</v>
      </c>
      <c r="D232">
        <v>7200</v>
      </c>
      <c r="E232" t="s">
        <v>190</v>
      </c>
      <c r="F232">
        <v>1000000</v>
      </c>
      <c r="G232" t="s">
        <v>191</v>
      </c>
      <c r="H232">
        <v>15795</v>
      </c>
      <c r="I232" t="s">
        <v>192</v>
      </c>
      <c r="J232">
        <v>1E-3</v>
      </c>
      <c r="K232" t="s">
        <v>3</v>
      </c>
      <c r="L232">
        <v>0.99999020000000005</v>
      </c>
      <c r="M232" t="s">
        <v>2</v>
      </c>
      <c r="N232">
        <v>21.427461900000001</v>
      </c>
      <c r="O232" t="s">
        <v>17</v>
      </c>
      <c r="P232">
        <v>204</v>
      </c>
      <c r="Q232" t="s">
        <v>0</v>
      </c>
      <c r="R232">
        <v>7201.3</v>
      </c>
      <c r="S232" t="s">
        <v>152</v>
      </c>
      <c r="T232">
        <v>4</v>
      </c>
      <c r="U232" t="s">
        <v>153</v>
      </c>
      <c r="V232">
        <v>161</v>
      </c>
      <c r="W232" t="s">
        <v>151</v>
      </c>
      <c r="X232">
        <v>700457</v>
      </c>
      <c r="Y232" t="s">
        <v>1</v>
      </c>
      <c r="Z232" t="s">
        <v>537</v>
      </c>
      <c r="AA232" t="s">
        <v>5</v>
      </c>
      <c r="AB232">
        <v>0.99998949999999998</v>
      </c>
      <c r="AC232" t="s">
        <v>4</v>
      </c>
      <c r="AD232">
        <v>21.711043400000001</v>
      </c>
    </row>
    <row r="233" spans="1:30" x14ac:dyDescent="0.25">
      <c r="A233" t="str">
        <f t="shared" si="3"/>
        <v>feynman_test_19_15795</v>
      </c>
      <c r="B233" t="s">
        <v>139</v>
      </c>
      <c r="C233" t="s">
        <v>189</v>
      </c>
      <c r="D233">
        <v>7200</v>
      </c>
      <c r="E233" t="s">
        <v>190</v>
      </c>
      <c r="F233">
        <v>1000000</v>
      </c>
      <c r="G233" t="s">
        <v>191</v>
      </c>
      <c r="H233">
        <v>15795</v>
      </c>
      <c r="I233" t="s">
        <v>192</v>
      </c>
      <c r="J233">
        <v>1E-3</v>
      </c>
      <c r="K233" t="s">
        <v>3</v>
      </c>
      <c r="L233">
        <v>1</v>
      </c>
      <c r="M233" t="s">
        <v>2</v>
      </c>
      <c r="N233">
        <v>0</v>
      </c>
      <c r="O233" t="s">
        <v>17</v>
      </c>
      <c r="P233">
        <v>50</v>
      </c>
      <c r="Q233" t="s">
        <v>0</v>
      </c>
      <c r="R233">
        <v>196.6</v>
      </c>
      <c r="S233" t="s">
        <v>152</v>
      </c>
      <c r="T233">
        <v>1</v>
      </c>
      <c r="U233" t="s">
        <v>153</v>
      </c>
      <c r="V233">
        <v>11</v>
      </c>
      <c r="W233" t="s">
        <v>151</v>
      </c>
      <c r="X233">
        <v>23282</v>
      </c>
      <c r="Y233" t="s">
        <v>1</v>
      </c>
      <c r="Z233" t="s">
        <v>253</v>
      </c>
      <c r="AA233" t="s">
        <v>5</v>
      </c>
      <c r="AB233">
        <v>1</v>
      </c>
      <c r="AC233" t="s">
        <v>4</v>
      </c>
      <c r="AD233">
        <v>0</v>
      </c>
    </row>
    <row r="234" spans="1:30" x14ac:dyDescent="0.25">
      <c r="A234" t="str">
        <f t="shared" si="3"/>
        <v>strogatz_predprey2_15795</v>
      </c>
      <c r="B234" t="s">
        <v>28</v>
      </c>
      <c r="C234" t="s">
        <v>189</v>
      </c>
      <c r="D234">
        <v>7200</v>
      </c>
      <c r="E234" t="s">
        <v>190</v>
      </c>
      <c r="F234">
        <v>1000000</v>
      </c>
      <c r="G234" t="s">
        <v>191</v>
      </c>
      <c r="H234">
        <v>15795</v>
      </c>
      <c r="I234" t="s">
        <v>192</v>
      </c>
      <c r="J234">
        <v>1E-3</v>
      </c>
      <c r="K234" t="s">
        <v>3</v>
      </c>
      <c r="L234">
        <v>1</v>
      </c>
      <c r="M234" t="s">
        <v>2</v>
      </c>
      <c r="N234">
        <v>0</v>
      </c>
      <c r="O234" t="s">
        <v>17</v>
      </c>
      <c r="P234">
        <v>18</v>
      </c>
      <c r="Q234" t="s">
        <v>0</v>
      </c>
      <c r="R234">
        <v>1567.8</v>
      </c>
      <c r="S234" t="s">
        <v>152</v>
      </c>
      <c r="T234">
        <v>4</v>
      </c>
      <c r="U234" t="s">
        <v>153</v>
      </c>
      <c r="V234">
        <v>252</v>
      </c>
      <c r="W234" t="s">
        <v>151</v>
      </c>
      <c r="X234">
        <v>489311</v>
      </c>
      <c r="Y234" t="s">
        <v>1</v>
      </c>
      <c r="Z234" t="s">
        <v>538</v>
      </c>
      <c r="AA234" t="s">
        <v>5</v>
      </c>
      <c r="AB234">
        <v>1</v>
      </c>
      <c r="AC234" t="s">
        <v>4</v>
      </c>
      <c r="AD234">
        <v>0</v>
      </c>
    </row>
    <row r="235" spans="1:30" x14ac:dyDescent="0.25">
      <c r="A235" t="str">
        <f t="shared" si="3"/>
        <v>feynman_test_4_15795</v>
      </c>
      <c r="B235" t="s">
        <v>117</v>
      </c>
      <c r="C235" t="s">
        <v>189</v>
      </c>
      <c r="D235">
        <v>7200</v>
      </c>
      <c r="E235" t="s">
        <v>190</v>
      </c>
      <c r="F235">
        <v>1000000</v>
      </c>
      <c r="G235" t="s">
        <v>191</v>
      </c>
      <c r="H235">
        <v>15795</v>
      </c>
      <c r="I235" t="s">
        <v>192</v>
      </c>
      <c r="J235">
        <v>1E-3</v>
      </c>
      <c r="K235" t="s">
        <v>3</v>
      </c>
      <c r="L235">
        <v>0.99904389999999998</v>
      </c>
      <c r="M235" t="s">
        <v>2</v>
      </c>
      <c r="N235">
        <v>1.5384999999999999E-2</v>
      </c>
      <c r="O235" t="s">
        <v>17</v>
      </c>
      <c r="P235">
        <v>30</v>
      </c>
      <c r="Q235" t="s">
        <v>0</v>
      </c>
      <c r="R235">
        <v>6877.9</v>
      </c>
      <c r="S235" t="s">
        <v>152</v>
      </c>
      <c r="T235">
        <v>5</v>
      </c>
      <c r="U235" t="s">
        <v>153</v>
      </c>
      <c r="V235">
        <v>757</v>
      </c>
      <c r="W235" t="s">
        <v>151</v>
      </c>
      <c r="X235">
        <v>1000151</v>
      </c>
      <c r="Y235" t="s">
        <v>1</v>
      </c>
      <c r="Z235" t="e" cm="1">
        <f t="array" aca="1" ref="Z235" ca="1">-0.5120000964964+(0.465409233994*COS(((V3*pow(V4,-1))*SIN(pow(v0,-1)))))+(1.4412414404544*pow((v0*pow((V1+(-1*V2)),-1)),-0.5))</f>
        <v>#NAME?</v>
      </c>
      <c r="AA235" t="s">
        <v>5</v>
      </c>
      <c r="AB235">
        <v>0.99883679999999997</v>
      </c>
      <c r="AC235" t="s">
        <v>4</v>
      </c>
      <c r="AD235">
        <v>1.6965399999999999E-2</v>
      </c>
    </row>
    <row r="236" spans="1:30" x14ac:dyDescent="0.25">
      <c r="A236" t="str">
        <f t="shared" si="3"/>
        <v>feynman_III_4_32_15795</v>
      </c>
      <c r="B236" t="s">
        <v>98</v>
      </c>
      <c r="C236" t="s">
        <v>189</v>
      </c>
      <c r="D236">
        <v>7200</v>
      </c>
      <c r="E236" t="s">
        <v>190</v>
      </c>
      <c r="F236">
        <v>1000000</v>
      </c>
      <c r="G236" t="s">
        <v>191</v>
      </c>
      <c r="H236">
        <v>15795</v>
      </c>
      <c r="I236" t="s">
        <v>192</v>
      </c>
      <c r="J236">
        <v>1E-3</v>
      </c>
      <c r="K236" t="s">
        <v>3</v>
      </c>
      <c r="L236">
        <v>0.99999689999999997</v>
      </c>
      <c r="M236" t="s">
        <v>2</v>
      </c>
      <c r="N236">
        <v>1.6137599999999998E-2</v>
      </c>
      <c r="O236" t="s">
        <v>17</v>
      </c>
      <c r="P236">
        <v>16</v>
      </c>
      <c r="Q236" t="s">
        <v>0</v>
      </c>
      <c r="R236">
        <v>7200.8</v>
      </c>
      <c r="S236" t="s">
        <v>152</v>
      </c>
      <c r="T236">
        <v>6</v>
      </c>
      <c r="U236" t="s">
        <v>153</v>
      </c>
      <c r="V236">
        <v>649</v>
      </c>
      <c r="W236" t="s">
        <v>151</v>
      </c>
      <c r="X236">
        <v>574581</v>
      </c>
      <c r="Y236" t="s">
        <v>1</v>
      </c>
      <c r="Z236" t="e" cm="1">
        <f t="array" aca="1" ref="Z236" ca="1">-0.4715916825982+((((6.2766897934477*V2)*V3)*pow(v0,-1))*pow(V1,-1))</f>
        <v>#NAME?</v>
      </c>
      <c r="AA236" t="s">
        <v>5</v>
      </c>
      <c r="AB236">
        <v>0.99999689999999997</v>
      </c>
      <c r="AC236" t="s">
        <v>4</v>
      </c>
      <c r="AD236">
        <v>1.6238800000000001E-2</v>
      </c>
    </row>
    <row r="237" spans="1:30" x14ac:dyDescent="0.25">
      <c r="A237" t="str">
        <f t="shared" si="3"/>
        <v>feynman_I_15_10_15795</v>
      </c>
      <c r="B237" t="s">
        <v>55</v>
      </c>
      <c r="C237" t="s">
        <v>189</v>
      </c>
      <c r="D237">
        <v>7200</v>
      </c>
      <c r="E237" t="s">
        <v>190</v>
      </c>
      <c r="F237">
        <v>1000000</v>
      </c>
      <c r="G237" t="s">
        <v>191</v>
      </c>
      <c r="H237">
        <v>15795</v>
      </c>
      <c r="I237" t="s">
        <v>192</v>
      </c>
      <c r="J237">
        <v>1E-3</v>
      </c>
      <c r="K237" t="s">
        <v>3</v>
      </c>
      <c r="L237">
        <v>0.99998050000000005</v>
      </c>
      <c r="M237" t="s">
        <v>2</v>
      </c>
      <c r="N237">
        <v>9.3231000000000008E-3</v>
      </c>
      <c r="O237" t="s">
        <v>17</v>
      </c>
      <c r="P237">
        <v>24</v>
      </c>
      <c r="Q237" t="s">
        <v>0</v>
      </c>
      <c r="R237">
        <v>7200.7</v>
      </c>
      <c r="S237" t="s">
        <v>152</v>
      </c>
      <c r="T237">
        <v>5</v>
      </c>
      <c r="U237" t="s">
        <v>153</v>
      </c>
      <c r="V237">
        <v>880</v>
      </c>
      <c r="W237" t="s">
        <v>151</v>
      </c>
      <c r="X237">
        <v>946697</v>
      </c>
      <c r="Y237" t="s">
        <v>1</v>
      </c>
      <c r="Z237" t="s">
        <v>539</v>
      </c>
      <c r="AA237" t="s">
        <v>5</v>
      </c>
      <c r="AB237">
        <v>0.99998279999999995</v>
      </c>
      <c r="AC237" t="s">
        <v>4</v>
      </c>
      <c r="AD237">
        <v>8.7407000000000006E-3</v>
      </c>
    </row>
    <row r="238" spans="1:30" x14ac:dyDescent="0.25">
      <c r="A238" t="str">
        <f t="shared" si="3"/>
        <v>feynman_II_35_21_15795</v>
      </c>
      <c r="B238" t="s">
        <v>121</v>
      </c>
      <c r="C238" t="s">
        <v>189</v>
      </c>
      <c r="D238">
        <v>7200</v>
      </c>
      <c r="E238" t="s">
        <v>190</v>
      </c>
      <c r="F238">
        <v>1000000</v>
      </c>
      <c r="G238" t="s">
        <v>191</v>
      </c>
      <c r="H238">
        <v>15795</v>
      </c>
      <c r="I238" t="s">
        <v>192</v>
      </c>
      <c r="J238">
        <v>1E-3</v>
      </c>
      <c r="K238" t="s">
        <v>3</v>
      </c>
      <c r="L238">
        <v>0.99888690000000002</v>
      </c>
      <c r="M238" t="s">
        <v>2</v>
      </c>
      <c r="N238">
        <v>0.1680963</v>
      </c>
      <c r="O238" t="s">
        <v>17</v>
      </c>
      <c r="P238">
        <v>81</v>
      </c>
      <c r="Q238" t="s">
        <v>0</v>
      </c>
      <c r="R238">
        <v>7200.7</v>
      </c>
      <c r="S238" t="s">
        <v>152</v>
      </c>
      <c r="T238">
        <v>12</v>
      </c>
      <c r="U238" t="s">
        <v>153</v>
      </c>
      <c r="V238">
        <v>209</v>
      </c>
      <c r="W238" t="s">
        <v>151</v>
      </c>
      <c r="X238">
        <v>754283</v>
      </c>
      <c r="Y238" t="s">
        <v>1</v>
      </c>
      <c r="Z238" t="s">
        <v>540</v>
      </c>
      <c r="AA238" t="s">
        <v>5</v>
      </c>
      <c r="AB238">
        <v>0.99887400000000004</v>
      </c>
      <c r="AC238" t="s">
        <v>4</v>
      </c>
      <c r="AD238">
        <v>0.16905300000000001</v>
      </c>
    </row>
    <row r="239" spans="1:30" x14ac:dyDescent="0.25">
      <c r="A239" t="str">
        <f t="shared" si="3"/>
        <v>feynman_II_11_27_15795</v>
      </c>
      <c r="B239" t="s">
        <v>112</v>
      </c>
      <c r="C239" t="s">
        <v>189</v>
      </c>
      <c r="D239">
        <v>7200</v>
      </c>
      <c r="E239" t="s">
        <v>190</v>
      </c>
      <c r="F239">
        <v>1000000</v>
      </c>
      <c r="G239" t="s">
        <v>191</v>
      </c>
      <c r="H239">
        <v>15795</v>
      </c>
      <c r="I239" t="s">
        <v>192</v>
      </c>
      <c r="J239">
        <v>1E-3</v>
      </c>
      <c r="K239" t="s">
        <v>3</v>
      </c>
      <c r="L239">
        <v>0.99990570000000001</v>
      </c>
      <c r="M239" t="s">
        <v>2</v>
      </c>
      <c r="N239">
        <v>6.8025999999999998E-3</v>
      </c>
      <c r="O239" t="s">
        <v>17</v>
      </c>
      <c r="P239">
        <v>24</v>
      </c>
      <c r="Q239" t="s">
        <v>0</v>
      </c>
      <c r="R239">
        <v>7201.3</v>
      </c>
      <c r="S239" t="s">
        <v>152</v>
      </c>
      <c r="T239">
        <v>7</v>
      </c>
      <c r="U239" t="s">
        <v>153</v>
      </c>
      <c r="V239">
        <v>719</v>
      </c>
      <c r="W239" t="s">
        <v>151</v>
      </c>
      <c r="X239">
        <v>852413</v>
      </c>
      <c r="Y239" t="s">
        <v>1</v>
      </c>
      <c r="Z239" t="s">
        <v>541</v>
      </c>
      <c r="AA239" t="s">
        <v>5</v>
      </c>
      <c r="AB239">
        <v>0.99990820000000002</v>
      </c>
      <c r="AC239" t="s">
        <v>4</v>
      </c>
      <c r="AD239">
        <v>6.7124000000000003E-3</v>
      </c>
    </row>
    <row r="240" spans="1:30" x14ac:dyDescent="0.25">
      <c r="A240" t="str">
        <f t="shared" si="3"/>
        <v>strogatz_vdp2_860</v>
      </c>
      <c r="B240" t="s">
        <v>18</v>
      </c>
      <c r="C240" t="s">
        <v>189</v>
      </c>
      <c r="D240">
        <v>7200</v>
      </c>
      <c r="E240" t="s">
        <v>190</v>
      </c>
      <c r="F240">
        <v>1000000</v>
      </c>
      <c r="G240" t="s">
        <v>191</v>
      </c>
      <c r="H240">
        <v>860</v>
      </c>
      <c r="I240" t="s">
        <v>192</v>
      </c>
      <c r="J240">
        <v>1E-3</v>
      </c>
      <c r="K240" t="s">
        <v>3</v>
      </c>
      <c r="L240">
        <v>1</v>
      </c>
      <c r="M240" t="s">
        <v>2</v>
      </c>
      <c r="N240">
        <v>0</v>
      </c>
      <c r="O240" t="s">
        <v>17</v>
      </c>
      <c r="P240">
        <v>4</v>
      </c>
      <c r="Q240" t="s">
        <v>0</v>
      </c>
      <c r="R240">
        <v>0.2</v>
      </c>
      <c r="S240" t="s">
        <v>152</v>
      </c>
      <c r="T240">
        <v>1</v>
      </c>
      <c r="U240" t="s">
        <v>153</v>
      </c>
      <c r="V240">
        <v>2</v>
      </c>
      <c r="W240" t="s">
        <v>151</v>
      </c>
      <c r="X240">
        <v>133</v>
      </c>
      <c r="Y240" t="s">
        <v>1</v>
      </c>
      <c r="Z240" t="s">
        <v>154</v>
      </c>
      <c r="AA240" t="s">
        <v>5</v>
      </c>
      <c r="AB240">
        <v>1</v>
      </c>
      <c r="AC240" t="s">
        <v>4</v>
      </c>
      <c r="AD240">
        <v>0</v>
      </c>
    </row>
    <row r="241" spans="1:30" x14ac:dyDescent="0.25">
      <c r="A241" t="str">
        <f t="shared" si="3"/>
        <v>feynman_II_8_31_860</v>
      </c>
      <c r="B241" t="s">
        <v>42</v>
      </c>
      <c r="C241" t="s">
        <v>189</v>
      </c>
      <c r="D241">
        <v>7200</v>
      </c>
      <c r="E241" t="s">
        <v>190</v>
      </c>
      <c r="F241">
        <v>1000000</v>
      </c>
      <c r="G241" t="s">
        <v>191</v>
      </c>
      <c r="H241">
        <v>860</v>
      </c>
      <c r="I241" t="s">
        <v>192</v>
      </c>
      <c r="J241">
        <v>1E-3</v>
      </c>
      <c r="K241" t="s">
        <v>3</v>
      </c>
      <c r="L241">
        <v>1</v>
      </c>
      <c r="M241" t="s">
        <v>2</v>
      </c>
      <c r="N241">
        <v>0</v>
      </c>
      <c r="O241" t="s">
        <v>17</v>
      </c>
      <c r="P241">
        <v>8</v>
      </c>
      <c r="Q241" t="s">
        <v>0</v>
      </c>
      <c r="R241">
        <v>2.6</v>
      </c>
      <c r="S241" t="s">
        <v>152</v>
      </c>
      <c r="T241">
        <v>1</v>
      </c>
      <c r="U241" t="s">
        <v>153</v>
      </c>
      <c r="V241">
        <v>3</v>
      </c>
      <c r="W241" t="s">
        <v>151</v>
      </c>
      <c r="X241">
        <v>603</v>
      </c>
      <c r="Y241" t="s">
        <v>1</v>
      </c>
      <c r="Z241" t="s">
        <v>205</v>
      </c>
      <c r="AA241" t="s">
        <v>5</v>
      </c>
      <c r="AB241">
        <v>1</v>
      </c>
      <c r="AC241" t="s">
        <v>4</v>
      </c>
      <c r="AD241">
        <v>0</v>
      </c>
    </row>
    <row r="242" spans="1:30" x14ac:dyDescent="0.25">
      <c r="A242" t="str">
        <f t="shared" si="3"/>
        <v>feynman_II_34_29a_860</v>
      </c>
      <c r="B242" t="s">
        <v>71</v>
      </c>
      <c r="C242" t="s">
        <v>189</v>
      </c>
      <c r="D242">
        <v>7200</v>
      </c>
      <c r="E242" t="s">
        <v>190</v>
      </c>
      <c r="F242">
        <v>1000000</v>
      </c>
      <c r="G242" t="s">
        <v>191</v>
      </c>
      <c r="H242">
        <v>860</v>
      </c>
      <c r="I242" t="s">
        <v>192</v>
      </c>
      <c r="J242">
        <v>1E-3</v>
      </c>
      <c r="K242" t="s">
        <v>3</v>
      </c>
      <c r="L242">
        <v>1</v>
      </c>
      <c r="M242" t="s">
        <v>2</v>
      </c>
      <c r="N242">
        <v>0</v>
      </c>
      <c r="O242" t="s">
        <v>17</v>
      </c>
      <c r="P242">
        <v>10</v>
      </c>
      <c r="Q242" t="s">
        <v>0</v>
      </c>
      <c r="R242">
        <v>3.9</v>
      </c>
      <c r="S242" t="s">
        <v>152</v>
      </c>
      <c r="T242">
        <v>1</v>
      </c>
      <c r="U242" t="s">
        <v>153</v>
      </c>
      <c r="V242">
        <v>3</v>
      </c>
      <c r="W242" t="s">
        <v>151</v>
      </c>
      <c r="X242">
        <v>827</v>
      </c>
      <c r="Y242" t="s">
        <v>1</v>
      </c>
      <c r="Z242" t="s">
        <v>211</v>
      </c>
      <c r="AA242" t="s">
        <v>5</v>
      </c>
      <c r="AB242">
        <v>1</v>
      </c>
      <c r="AC242" t="s">
        <v>4</v>
      </c>
      <c r="AD242">
        <v>0</v>
      </c>
    </row>
    <row r="243" spans="1:30" x14ac:dyDescent="0.25">
      <c r="A243" t="str">
        <f t="shared" si="3"/>
        <v>feynman_I_34_8_860</v>
      </c>
      <c r="B243" t="s">
        <v>102</v>
      </c>
      <c r="C243" t="s">
        <v>189</v>
      </c>
      <c r="D243">
        <v>7200</v>
      </c>
      <c r="E243" t="s">
        <v>190</v>
      </c>
      <c r="F243">
        <v>1000000</v>
      </c>
      <c r="G243" t="s">
        <v>191</v>
      </c>
      <c r="H243">
        <v>860</v>
      </c>
      <c r="I243" t="s">
        <v>192</v>
      </c>
      <c r="J243">
        <v>1E-3</v>
      </c>
      <c r="K243" t="s">
        <v>3</v>
      </c>
      <c r="L243">
        <v>1</v>
      </c>
      <c r="M243" t="s">
        <v>2</v>
      </c>
      <c r="N243">
        <v>0</v>
      </c>
      <c r="O243" t="s">
        <v>17</v>
      </c>
      <c r="P243">
        <v>12</v>
      </c>
      <c r="Q243" t="s">
        <v>0</v>
      </c>
      <c r="R243">
        <v>7.6</v>
      </c>
      <c r="S243" t="s">
        <v>152</v>
      </c>
      <c r="T243">
        <v>1</v>
      </c>
      <c r="U243" t="s">
        <v>153</v>
      </c>
      <c r="V243">
        <v>4</v>
      </c>
      <c r="W243" t="s">
        <v>151</v>
      </c>
      <c r="X243">
        <v>1559</v>
      </c>
      <c r="Y243" t="s">
        <v>1</v>
      </c>
      <c r="Z243" t="s">
        <v>177</v>
      </c>
      <c r="AA243" t="s">
        <v>5</v>
      </c>
      <c r="AB243">
        <v>1</v>
      </c>
      <c r="AC243" t="s">
        <v>4</v>
      </c>
      <c r="AD243">
        <v>0</v>
      </c>
    </row>
    <row r="244" spans="1:30" x14ac:dyDescent="0.25">
      <c r="A244" t="str">
        <f t="shared" si="3"/>
        <v>feynman_I_12_2_860</v>
      </c>
      <c r="B244" t="s">
        <v>110</v>
      </c>
      <c r="C244" t="s">
        <v>189</v>
      </c>
      <c r="D244">
        <v>7200</v>
      </c>
      <c r="E244" t="s">
        <v>190</v>
      </c>
      <c r="F244">
        <v>1000000</v>
      </c>
      <c r="G244" t="s">
        <v>191</v>
      </c>
      <c r="H244">
        <v>860</v>
      </c>
      <c r="I244" t="s">
        <v>192</v>
      </c>
      <c r="J244">
        <v>1E-3</v>
      </c>
      <c r="K244" t="s">
        <v>3</v>
      </c>
      <c r="L244">
        <v>1</v>
      </c>
      <c r="M244" t="s">
        <v>2</v>
      </c>
      <c r="N244">
        <v>0</v>
      </c>
      <c r="O244" t="s">
        <v>17</v>
      </c>
      <c r="P244">
        <v>14</v>
      </c>
      <c r="Q244" t="s">
        <v>0</v>
      </c>
      <c r="R244">
        <v>19</v>
      </c>
      <c r="S244" t="s">
        <v>152</v>
      </c>
      <c r="T244">
        <v>1</v>
      </c>
      <c r="U244" t="s">
        <v>153</v>
      </c>
      <c r="V244">
        <v>5</v>
      </c>
      <c r="W244" t="s">
        <v>151</v>
      </c>
      <c r="X244">
        <v>3378</v>
      </c>
      <c r="Y244" t="s">
        <v>1</v>
      </c>
      <c r="Z244" t="s">
        <v>167</v>
      </c>
      <c r="AA244" t="s">
        <v>5</v>
      </c>
      <c r="AB244">
        <v>1</v>
      </c>
      <c r="AC244" t="s">
        <v>4</v>
      </c>
      <c r="AD244">
        <v>0</v>
      </c>
    </row>
    <row r="245" spans="1:30" x14ac:dyDescent="0.25">
      <c r="A245" t="str">
        <f t="shared" si="3"/>
        <v>strogatz_barmag1_860</v>
      </c>
      <c r="B245" t="s">
        <v>21</v>
      </c>
      <c r="C245" t="s">
        <v>189</v>
      </c>
      <c r="D245">
        <v>7200</v>
      </c>
      <c r="E245" t="s">
        <v>190</v>
      </c>
      <c r="F245">
        <v>1000000</v>
      </c>
      <c r="G245" t="s">
        <v>191</v>
      </c>
      <c r="H245">
        <v>860</v>
      </c>
      <c r="I245" t="s">
        <v>192</v>
      </c>
      <c r="J245">
        <v>1E-3</v>
      </c>
      <c r="K245" t="s">
        <v>3</v>
      </c>
      <c r="L245">
        <v>1</v>
      </c>
      <c r="M245" t="s">
        <v>2</v>
      </c>
      <c r="N245">
        <v>0</v>
      </c>
      <c r="O245" t="s">
        <v>17</v>
      </c>
      <c r="P245">
        <v>14</v>
      </c>
      <c r="Q245" t="s">
        <v>0</v>
      </c>
      <c r="R245">
        <v>59.4</v>
      </c>
      <c r="S245" t="s">
        <v>152</v>
      </c>
      <c r="T245">
        <v>4</v>
      </c>
      <c r="U245" t="s">
        <v>153</v>
      </c>
      <c r="V245">
        <v>67</v>
      </c>
      <c r="W245" t="s">
        <v>151</v>
      </c>
      <c r="X245">
        <v>31515</v>
      </c>
      <c r="Y245" t="s">
        <v>1</v>
      </c>
      <c r="Z245" t="s">
        <v>183</v>
      </c>
      <c r="AA245" t="s">
        <v>5</v>
      </c>
      <c r="AB245">
        <v>1</v>
      </c>
      <c r="AC245" t="s">
        <v>4</v>
      </c>
      <c r="AD245">
        <v>0</v>
      </c>
    </row>
    <row r="246" spans="1:30" x14ac:dyDescent="0.25">
      <c r="A246" t="str">
        <f t="shared" si="3"/>
        <v>feynman_test_6_15795</v>
      </c>
      <c r="B246" t="s">
        <v>146</v>
      </c>
      <c r="C246" t="s">
        <v>189</v>
      </c>
      <c r="D246">
        <v>7200</v>
      </c>
      <c r="E246" t="s">
        <v>190</v>
      </c>
      <c r="F246">
        <v>1000000</v>
      </c>
      <c r="G246" t="s">
        <v>191</v>
      </c>
      <c r="H246">
        <v>15795</v>
      </c>
      <c r="I246" t="s">
        <v>192</v>
      </c>
      <c r="J246">
        <v>1E-3</v>
      </c>
      <c r="K246" t="s">
        <v>3</v>
      </c>
      <c r="L246">
        <v>0.99936000000000003</v>
      </c>
      <c r="M246" t="s">
        <v>2</v>
      </c>
      <c r="N246">
        <v>1.1558799999999999E-2</v>
      </c>
      <c r="O246" t="s">
        <v>17</v>
      </c>
      <c r="P246">
        <v>34</v>
      </c>
      <c r="Q246" t="s">
        <v>0</v>
      </c>
      <c r="R246">
        <v>7116.6</v>
      </c>
      <c r="S246" t="s">
        <v>152</v>
      </c>
      <c r="T246">
        <v>9</v>
      </c>
      <c r="U246" t="s">
        <v>153</v>
      </c>
      <c r="V246">
        <v>570</v>
      </c>
      <c r="W246" t="s">
        <v>151</v>
      </c>
      <c r="X246">
        <v>1000741</v>
      </c>
      <c r="Y246" t="s">
        <v>1</v>
      </c>
      <c r="Z246" t="s">
        <v>542</v>
      </c>
      <c r="AA246" t="s">
        <v>5</v>
      </c>
      <c r="AB246">
        <v>0.99938119999999997</v>
      </c>
      <c r="AC246" t="s">
        <v>4</v>
      </c>
      <c r="AD246">
        <v>1.1294800000000001E-2</v>
      </c>
    </row>
    <row r="247" spans="1:30" x14ac:dyDescent="0.25">
      <c r="A247" t="str">
        <f t="shared" si="3"/>
        <v>feynman_I_13_4_860</v>
      </c>
      <c r="B247" t="s">
        <v>107</v>
      </c>
      <c r="C247" t="s">
        <v>189</v>
      </c>
      <c r="D247">
        <v>7200</v>
      </c>
      <c r="E247" t="s">
        <v>190</v>
      </c>
      <c r="F247">
        <v>1000000</v>
      </c>
      <c r="G247" t="s">
        <v>191</v>
      </c>
      <c r="H247">
        <v>860</v>
      </c>
      <c r="I247" t="s">
        <v>192</v>
      </c>
      <c r="J247">
        <v>1E-3</v>
      </c>
      <c r="K247" t="s">
        <v>3</v>
      </c>
      <c r="L247">
        <v>1</v>
      </c>
      <c r="M247" t="s">
        <v>2</v>
      </c>
      <c r="N247">
        <v>0</v>
      </c>
      <c r="O247" t="s">
        <v>17</v>
      </c>
      <c r="P247">
        <v>24</v>
      </c>
      <c r="Q247" t="s">
        <v>0</v>
      </c>
      <c r="R247">
        <v>313</v>
      </c>
      <c r="S247" t="s">
        <v>152</v>
      </c>
      <c r="T247">
        <v>1</v>
      </c>
      <c r="U247" t="s">
        <v>153</v>
      </c>
      <c r="V247">
        <v>21</v>
      </c>
      <c r="W247" t="s">
        <v>151</v>
      </c>
      <c r="X247">
        <v>34609</v>
      </c>
      <c r="Y247" t="s">
        <v>1</v>
      </c>
      <c r="Z247" t="s">
        <v>204</v>
      </c>
      <c r="AA247" t="s">
        <v>5</v>
      </c>
      <c r="AB247">
        <v>1</v>
      </c>
      <c r="AC247" t="s">
        <v>4</v>
      </c>
      <c r="AD247">
        <v>0</v>
      </c>
    </row>
    <row r="248" spans="1:30" x14ac:dyDescent="0.25">
      <c r="A248" t="str">
        <f t="shared" si="3"/>
        <v>feynman_II_13_17_860</v>
      </c>
      <c r="B248" t="s">
        <v>113</v>
      </c>
      <c r="C248" t="s">
        <v>189</v>
      </c>
      <c r="D248">
        <v>7200</v>
      </c>
      <c r="E248" t="s">
        <v>190</v>
      </c>
      <c r="F248">
        <v>1000000</v>
      </c>
      <c r="G248" t="s">
        <v>191</v>
      </c>
      <c r="H248">
        <v>860</v>
      </c>
      <c r="I248" t="s">
        <v>192</v>
      </c>
      <c r="J248">
        <v>1E-3</v>
      </c>
      <c r="K248" t="s">
        <v>3</v>
      </c>
      <c r="L248">
        <v>1</v>
      </c>
      <c r="M248" t="s">
        <v>2</v>
      </c>
      <c r="N248">
        <v>0</v>
      </c>
      <c r="O248" t="s">
        <v>17</v>
      </c>
      <c r="P248">
        <v>20</v>
      </c>
      <c r="Q248" t="s">
        <v>0</v>
      </c>
      <c r="R248">
        <v>301.39999999999998</v>
      </c>
      <c r="S248" t="s">
        <v>152</v>
      </c>
      <c r="T248">
        <v>6</v>
      </c>
      <c r="U248" t="s">
        <v>153</v>
      </c>
      <c r="V248">
        <v>48</v>
      </c>
      <c r="W248" t="s">
        <v>151</v>
      </c>
      <c r="X248">
        <v>51439</v>
      </c>
      <c r="Y248" t="s">
        <v>1</v>
      </c>
      <c r="Z248" t="s">
        <v>441</v>
      </c>
      <c r="AA248" t="s">
        <v>5</v>
      </c>
      <c r="AB248">
        <v>1</v>
      </c>
      <c r="AC248" t="s">
        <v>4</v>
      </c>
      <c r="AD248">
        <v>0</v>
      </c>
    </row>
    <row r="249" spans="1:30" x14ac:dyDescent="0.25">
      <c r="A249" t="str">
        <f t="shared" si="3"/>
        <v>feynman_II_11_28_15795</v>
      </c>
      <c r="B249" t="s">
        <v>45</v>
      </c>
      <c r="C249" t="s">
        <v>189</v>
      </c>
      <c r="D249">
        <v>7200</v>
      </c>
      <c r="E249" t="s">
        <v>190</v>
      </c>
      <c r="F249">
        <v>1000000</v>
      </c>
      <c r="G249" t="s">
        <v>191</v>
      </c>
      <c r="H249">
        <v>15795</v>
      </c>
      <c r="I249" t="s">
        <v>192</v>
      </c>
      <c r="J249">
        <v>1E-3</v>
      </c>
      <c r="K249" t="s">
        <v>3</v>
      </c>
      <c r="L249">
        <v>0.99998580000000004</v>
      </c>
      <c r="M249" t="s">
        <v>2</v>
      </c>
      <c r="N249">
        <v>1.0973000000000001E-3</v>
      </c>
      <c r="O249" t="s">
        <v>17</v>
      </c>
      <c r="P249">
        <v>11</v>
      </c>
      <c r="Q249" t="s">
        <v>0</v>
      </c>
      <c r="R249">
        <v>7226.5</v>
      </c>
      <c r="S249" t="s">
        <v>152</v>
      </c>
      <c r="T249">
        <v>8</v>
      </c>
      <c r="U249" t="s">
        <v>153</v>
      </c>
      <c r="V249">
        <v>428</v>
      </c>
      <c r="W249" t="s">
        <v>151</v>
      </c>
      <c r="X249">
        <v>142915</v>
      </c>
      <c r="Y249" t="s">
        <v>1</v>
      </c>
      <c r="Z249" t="e" cm="1">
        <f t="array" ref="Z249">-0.2767216508654+(1.2775749687856*EXP(((0.7702248246133*v0)*V1)))</f>
        <v>#NAME?</v>
      </c>
      <c r="AA249" t="s">
        <v>5</v>
      </c>
      <c r="AB249">
        <v>0.99998569999999998</v>
      </c>
      <c r="AC249" t="s">
        <v>4</v>
      </c>
      <c r="AD249">
        <v>1.1023999999999999E-3</v>
      </c>
    </row>
    <row r="250" spans="1:30" x14ac:dyDescent="0.25">
      <c r="A250" t="str">
        <f t="shared" si="3"/>
        <v>feynman_III_12_43_860</v>
      </c>
      <c r="B250" t="s">
        <v>33</v>
      </c>
      <c r="C250" t="s">
        <v>189</v>
      </c>
      <c r="D250">
        <v>7200</v>
      </c>
      <c r="E250" t="s">
        <v>190</v>
      </c>
      <c r="F250">
        <v>1000000</v>
      </c>
      <c r="G250" t="s">
        <v>191</v>
      </c>
      <c r="H250">
        <v>860</v>
      </c>
      <c r="I250" t="s">
        <v>192</v>
      </c>
      <c r="J250">
        <v>1E-3</v>
      </c>
      <c r="K250" t="s">
        <v>3</v>
      </c>
      <c r="L250">
        <v>1</v>
      </c>
      <c r="M250" t="s">
        <v>2</v>
      </c>
      <c r="N250">
        <v>0</v>
      </c>
      <c r="O250" t="s">
        <v>17</v>
      </c>
      <c r="P250">
        <v>6</v>
      </c>
      <c r="Q250" t="s">
        <v>0</v>
      </c>
      <c r="R250">
        <v>1.1000000000000001</v>
      </c>
      <c r="S250" t="s">
        <v>152</v>
      </c>
      <c r="T250">
        <v>1</v>
      </c>
      <c r="U250" t="s">
        <v>153</v>
      </c>
      <c r="V250">
        <v>2</v>
      </c>
      <c r="W250" t="s">
        <v>151</v>
      </c>
      <c r="X250">
        <v>265</v>
      </c>
      <c r="Y250" t="s">
        <v>1</v>
      </c>
      <c r="Z250" t="s">
        <v>159</v>
      </c>
      <c r="AA250" t="s">
        <v>5</v>
      </c>
      <c r="AB250">
        <v>1</v>
      </c>
      <c r="AC250" t="s">
        <v>4</v>
      </c>
      <c r="AD250">
        <v>0</v>
      </c>
    </row>
    <row r="251" spans="1:30" x14ac:dyDescent="0.25">
      <c r="A251" t="str">
        <f t="shared" si="3"/>
        <v>feynman_II_34_2_860</v>
      </c>
      <c r="B251" t="s">
        <v>63</v>
      </c>
      <c r="C251" t="s">
        <v>189</v>
      </c>
      <c r="D251">
        <v>7200</v>
      </c>
      <c r="E251" t="s">
        <v>190</v>
      </c>
      <c r="F251">
        <v>1000000</v>
      </c>
      <c r="G251" t="s">
        <v>191</v>
      </c>
      <c r="H251">
        <v>860</v>
      </c>
      <c r="I251" t="s">
        <v>192</v>
      </c>
      <c r="J251">
        <v>1E-3</v>
      </c>
      <c r="K251" t="s">
        <v>3</v>
      </c>
      <c r="L251">
        <v>1</v>
      </c>
      <c r="M251" t="s">
        <v>2</v>
      </c>
      <c r="N251">
        <v>0</v>
      </c>
      <c r="O251" t="s">
        <v>17</v>
      </c>
      <c r="P251">
        <v>8</v>
      </c>
      <c r="Q251" t="s">
        <v>0</v>
      </c>
      <c r="R251">
        <v>2.8</v>
      </c>
      <c r="S251" t="s">
        <v>152</v>
      </c>
      <c r="T251">
        <v>1</v>
      </c>
      <c r="U251" t="s">
        <v>153</v>
      </c>
      <c r="V251">
        <v>3</v>
      </c>
      <c r="W251" t="s">
        <v>151</v>
      </c>
      <c r="X251">
        <v>640</v>
      </c>
      <c r="Y251" t="s">
        <v>1</v>
      </c>
      <c r="Z251" t="s">
        <v>206</v>
      </c>
      <c r="AA251" t="s">
        <v>5</v>
      </c>
      <c r="AB251">
        <v>1</v>
      </c>
      <c r="AC251" t="s">
        <v>4</v>
      </c>
      <c r="AD251">
        <v>0</v>
      </c>
    </row>
    <row r="252" spans="1:30" x14ac:dyDescent="0.25">
      <c r="A252" t="str">
        <f t="shared" si="3"/>
        <v>feynman_III_15_27_860</v>
      </c>
      <c r="B252" t="s">
        <v>59</v>
      </c>
      <c r="C252" t="s">
        <v>189</v>
      </c>
      <c r="D252">
        <v>7200</v>
      </c>
      <c r="E252" t="s">
        <v>190</v>
      </c>
      <c r="F252">
        <v>1000000</v>
      </c>
      <c r="G252" t="s">
        <v>191</v>
      </c>
      <c r="H252">
        <v>860</v>
      </c>
      <c r="I252" t="s">
        <v>192</v>
      </c>
      <c r="J252">
        <v>1E-3</v>
      </c>
      <c r="K252" t="s">
        <v>3</v>
      </c>
      <c r="L252">
        <v>1</v>
      </c>
      <c r="M252" t="s">
        <v>2</v>
      </c>
      <c r="N252">
        <v>0</v>
      </c>
      <c r="O252" t="s">
        <v>17</v>
      </c>
      <c r="P252">
        <v>12</v>
      </c>
      <c r="Q252" t="s">
        <v>0</v>
      </c>
      <c r="R252">
        <v>4.2</v>
      </c>
      <c r="S252" t="s">
        <v>152</v>
      </c>
      <c r="T252">
        <v>1</v>
      </c>
      <c r="U252" t="s">
        <v>153</v>
      </c>
      <c r="V252">
        <v>3</v>
      </c>
      <c r="W252" t="s">
        <v>151</v>
      </c>
      <c r="X252">
        <v>921</v>
      </c>
      <c r="Y252" t="s">
        <v>1</v>
      </c>
      <c r="Z252" t="s">
        <v>160</v>
      </c>
      <c r="AA252" t="s">
        <v>5</v>
      </c>
      <c r="AB252">
        <v>1</v>
      </c>
      <c r="AC252" t="s">
        <v>4</v>
      </c>
      <c r="AD252">
        <v>0</v>
      </c>
    </row>
    <row r="253" spans="1:30" x14ac:dyDescent="0.25">
      <c r="A253" t="str">
        <f t="shared" si="3"/>
        <v>feynman_I_12_4_860</v>
      </c>
      <c r="B253" t="s">
        <v>83</v>
      </c>
      <c r="C253" t="s">
        <v>189</v>
      </c>
      <c r="D253">
        <v>7200</v>
      </c>
      <c r="E253" t="s">
        <v>190</v>
      </c>
      <c r="F253">
        <v>1000000</v>
      </c>
      <c r="G253" t="s">
        <v>191</v>
      </c>
      <c r="H253">
        <v>860</v>
      </c>
      <c r="I253" t="s">
        <v>192</v>
      </c>
      <c r="J253">
        <v>1E-3</v>
      </c>
      <c r="K253" t="s">
        <v>3</v>
      </c>
      <c r="L253">
        <v>1</v>
      </c>
      <c r="M253" t="s">
        <v>2</v>
      </c>
      <c r="N253">
        <v>0</v>
      </c>
      <c r="O253" t="s">
        <v>17</v>
      </c>
      <c r="P253">
        <v>12</v>
      </c>
      <c r="Q253" t="s">
        <v>0</v>
      </c>
      <c r="R253">
        <v>7.9</v>
      </c>
      <c r="S253" t="s">
        <v>152</v>
      </c>
      <c r="T253">
        <v>1</v>
      </c>
      <c r="U253" t="s">
        <v>153</v>
      </c>
      <c r="V253">
        <v>4</v>
      </c>
      <c r="W253" t="s">
        <v>151</v>
      </c>
      <c r="X253">
        <v>1632</v>
      </c>
      <c r="Y253" t="s">
        <v>1</v>
      </c>
      <c r="Z253" t="s">
        <v>543</v>
      </c>
      <c r="AA253" t="s">
        <v>5</v>
      </c>
      <c r="AB253">
        <v>1</v>
      </c>
      <c r="AC253" t="s">
        <v>4</v>
      </c>
      <c r="AD253">
        <v>0</v>
      </c>
    </row>
    <row r="254" spans="1:30" x14ac:dyDescent="0.25">
      <c r="A254" t="str">
        <f t="shared" si="3"/>
        <v>feynman_III_13_18_860</v>
      </c>
      <c r="B254" t="s">
        <v>114</v>
      </c>
      <c r="C254" t="s">
        <v>189</v>
      </c>
      <c r="D254">
        <v>7200</v>
      </c>
      <c r="E254" t="s">
        <v>190</v>
      </c>
      <c r="F254">
        <v>1000000</v>
      </c>
      <c r="G254" t="s">
        <v>191</v>
      </c>
      <c r="H254">
        <v>860</v>
      </c>
      <c r="I254" t="s">
        <v>192</v>
      </c>
      <c r="J254">
        <v>1E-3</v>
      </c>
      <c r="K254" t="s">
        <v>3</v>
      </c>
      <c r="L254">
        <v>1</v>
      </c>
      <c r="M254" t="s">
        <v>2</v>
      </c>
      <c r="N254">
        <v>0</v>
      </c>
      <c r="O254" t="s">
        <v>17</v>
      </c>
      <c r="P254">
        <v>16</v>
      </c>
      <c r="Q254" t="s">
        <v>0</v>
      </c>
      <c r="R254">
        <v>12.9</v>
      </c>
      <c r="S254" t="s">
        <v>152</v>
      </c>
      <c r="T254">
        <v>1</v>
      </c>
      <c r="U254" t="s">
        <v>153</v>
      </c>
      <c r="V254">
        <v>5</v>
      </c>
      <c r="W254" t="s">
        <v>151</v>
      </c>
      <c r="X254">
        <v>2664</v>
      </c>
      <c r="Y254" t="s">
        <v>1</v>
      </c>
      <c r="Z254" t="s">
        <v>544</v>
      </c>
      <c r="AA254" t="s">
        <v>5</v>
      </c>
      <c r="AB254">
        <v>1</v>
      </c>
      <c r="AC254" t="s">
        <v>4</v>
      </c>
      <c r="AD254">
        <v>0</v>
      </c>
    </row>
    <row r="255" spans="1:30" x14ac:dyDescent="0.25">
      <c r="A255" t="str">
        <f t="shared" si="3"/>
        <v>feynman_II_11_3_860</v>
      </c>
      <c r="B255" t="s">
        <v>126</v>
      </c>
      <c r="C255" t="s">
        <v>189</v>
      </c>
      <c r="D255">
        <v>7200</v>
      </c>
      <c r="E255" t="s">
        <v>190</v>
      </c>
      <c r="F255">
        <v>1000000</v>
      </c>
      <c r="G255" t="s">
        <v>191</v>
      </c>
      <c r="H255">
        <v>860</v>
      </c>
      <c r="I255" t="s">
        <v>192</v>
      </c>
      <c r="J255">
        <v>1E-3</v>
      </c>
      <c r="K255" t="s">
        <v>3</v>
      </c>
      <c r="L255">
        <v>1</v>
      </c>
      <c r="M255" t="s">
        <v>2</v>
      </c>
      <c r="N255">
        <v>0</v>
      </c>
      <c r="O255" t="s">
        <v>17</v>
      </c>
      <c r="P255">
        <v>24</v>
      </c>
      <c r="Q255" t="s">
        <v>0</v>
      </c>
      <c r="R255">
        <v>72</v>
      </c>
      <c r="S255" t="s">
        <v>152</v>
      </c>
      <c r="T255">
        <v>2</v>
      </c>
      <c r="U255" t="s">
        <v>153</v>
      </c>
      <c r="V255">
        <v>13</v>
      </c>
      <c r="W255" t="s">
        <v>151</v>
      </c>
      <c r="X255">
        <v>12483</v>
      </c>
      <c r="Y255" t="s">
        <v>1</v>
      </c>
      <c r="Z255" t="s">
        <v>258</v>
      </c>
      <c r="AA255" t="s">
        <v>5</v>
      </c>
      <c r="AB255">
        <v>1</v>
      </c>
      <c r="AC255" t="s">
        <v>4</v>
      </c>
      <c r="AD255">
        <v>0</v>
      </c>
    </row>
    <row r="256" spans="1:30" x14ac:dyDescent="0.25">
      <c r="A256" t="str">
        <f t="shared" si="3"/>
        <v>feynman_II_36_38_860</v>
      </c>
      <c r="B256" t="s">
        <v>149</v>
      </c>
      <c r="C256" t="s">
        <v>189</v>
      </c>
      <c r="D256">
        <v>7200</v>
      </c>
      <c r="E256" t="s">
        <v>190</v>
      </c>
      <c r="F256">
        <v>1000000</v>
      </c>
      <c r="G256" t="s">
        <v>191</v>
      </c>
      <c r="H256">
        <v>860</v>
      </c>
      <c r="I256" t="s">
        <v>192</v>
      </c>
      <c r="J256">
        <v>1E-3</v>
      </c>
      <c r="K256" t="s">
        <v>3</v>
      </c>
      <c r="L256">
        <v>1</v>
      </c>
      <c r="M256" t="s">
        <v>2</v>
      </c>
      <c r="N256">
        <v>0</v>
      </c>
      <c r="O256" t="s">
        <v>17</v>
      </c>
      <c r="P256">
        <v>42</v>
      </c>
      <c r="Q256" t="s">
        <v>0</v>
      </c>
      <c r="R256">
        <v>235</v>
      </c>
      <c r="S256" t="s">
        <v>152</v>
      </c>
      <c r="T256">
        <v>1</v>
      </c>
      <c r="U256" t="s">
        <v>153</v>
      </c>
      <c r="V256">
        <v>13</v>
      </c>
      <c r="W256" t="s">
        <v>151</v>
      </c>
      <c r="X256">
        <v>29841</v>
      </c>
      <c r="Y256" t="s">
        <v>1</v>
      </c>
      <c r="Z256" t="s">
        <v>545</v>
      </c>
      <c r="AA256" t="s">
        <v>5</v>
      </c>
      <c r="AB256">
        <v>1</v>
      </c>
      <c r="AC256" t="s">
        <v>4</v>
      </c>
      <c r="AD256">
        <v>0</v>
      </c>
    </row>
    <row r="257" spans="1:30" x14ac:dyDescent="0.25">
      <c r="A257" t="str">
        <f t="shared" si="3"/>
        <v>strogatz_shearflow2_860</v>
      </c>
      <c r="B257" t="s">
        <v>20</v>
      </c>
      <c r="C257" t="s">
        <v>189</v>
      </c>
      <c r="D257">
        <v>7200</v>
      </c>
      <c r="E257" t="s">
        <v>190</v>
      </c>
      <c r="F257">
        <v>1000000</v>
      </c>
      <c r="G257" t="s">
        <v>191</v>
      </c>
      <c r="H257">
        <v>860</v>
      </c>
      <c r="I257" t="s">
        <v>192</v>
      </c>
      <c r="J257">
        <v>1E-3</v>
      </c>
      <c r="K257" t="s">
        <v>3</v>
      </c>
      <c r="L257">
        <v>1</v>
      </c>
      <c r="M257" t="s">
        <v>2</v>
      </c>
      <c r="N257">
        <v>0</v>
      </c>
      <c r="O257" t="s">
        <v>17</v>
      </c>
      <c r="P257">
        <v>15</v>
      </c>
      <c r="Q257" t="s">
        <v>0</v>
      </c>
      <c r="R257">
        <v>48.9</v>
      </c>
      <c r="S257" t="s">
        <v>152</v>
      </c>
      <c r="T257">
        <v>2</v>
      </c>
      <c r="U257" t="s">
        <v>153</v>
      </c>
      <c r="V257">
        <v>23</v>
      </c>
      <c r="W257" t="s">
        <v>151</v>
      </c>
      <c r="X257">
        <v>20648</v>
      </c>
      <c r="Y257" t="s">
        <v>1</v>
      </c>
      <c r="Z257" t="s">
        <v>438</v>
      </c>
      <c r="AA257" t="s">
        <v>5</v>
      </c>
      <c r="AB257">
        <v>1</v>
      </c>
      <c r="AC257" t="s">
        <v>4</v>
      </c>
      <c r="AD257">
        <v>0</v>
      </c>
    </row>
    <row r="258" spans="1:30" x14ac:dyDescent="0.25">
      <c r="A258" t="str">
        <f t="shared" ref="A258:A321" si="4">CONCATENATE(B258, "_", H258)</f>
        <v>strogatz_shearflow1_860</v>
      </c>
      <c r="B258" t="s">
        <v>23</v>
      </c>
      <c r="C258" t="s">
        <v>189</v>
      </c>
      <c r="D258">
        <v>7200</v>
      </c>
      <c r="E258" t="s">
        <v>190</v>
      </c>
      <c r="F258">
        <v>1000000</v>
      </c>
      <c r="G258" t="s">
        <v>191</v>
      </c>
      <c r="H258">
        <v>860</v>
      </c>
      <c r="I258" t="s">
        <v>192</v>
      </c>
      <c r="J258">
        <v>1E-3</v>
      </c>
      <c r="K258" t="s">
        <v>3</v>
      </c>
      <c r="L258">
        <v>3.5883400000000003E-2</v>
      </c>
      <c r="M258" t="s">
        <v>2</v>
      </c>
      <c r="N258">
        <v>0.56723860000000004</v>
      </c>
      <c r="O258" t="s">
        <v>17</v>
      </c>
      <c r="P258">
        <v>32</v>
      </c>
      <c r="Q258" t="s">
        <v>0</v>
      </c>
      <c r="R258">
        <v>2535.3000000000002</v>
      </c>
      <c r="S258" t="s">
        <v>152</v>
      </c>
      <c r="T258">
        <v>12</v>
      </c>
      <c r="U258" t="s">
        <v>153</v>
      </c>
      <c r="V258">
        <v>1523</v>
      </c>
      <c r="W258" t="s">
        <v>151</v>
      </c>
      <c r="X258">
        <v>1000111</v>
      </c>
      <c r="Y258" t="s">
        <v>1</v>
      </c>
      <c r="Z258" t="s">
        <v>546</v>
      </c>
      <c r="AA258" t="s">
        <v>5</v>
      </c>
      <c r="AB258">
        <v>-1.3290398000000001</v>
      </c>
      <c r="AC258" t="s">
        <v>4</v>
      </c>
      <c r="AD258">
        <v>0.99978400000000001</v>
      </c>
    </row>
    <row r="259" spans="1:30" x14ac:dyDescent="0.25">
      <c r="A259" t="str">
        <f t="shared" si="4"/>
        <v>feynman_test_14_15795</v>
      </c>
      <c r="B259" t="s">
        <v>131</v>
      </c>
      <c r="C259" t="s">
        <v>189</v>
      </c>
      <c r="D259">
        <v>7200</v>
      </c>
      <c r="E259" t="s">
        <v>190</v>
      </c>
      <c r="F259">
        <v>1000000</v>
      </c>
      <c r="G259" t="s">
        <v>191</v>
      </c>
      <c r="H259">
        <v>15795</v>
      </c>
      <c r="I259" t="s">
        <v>192</v>
      </c>
      <c r="J259">
        <v>1E-3</v>
      </c>
      <c r="K259" t="s">
        <v>3</v>
      </c>
      <c r="L259">
        <v>0.99999349999999998</v>
      </c>
      <c r="M259" t="s">
        <v>2</v>
      </c>
      <c r="N259">
        <v>3.3200899999999998E-2</v>
      </c>
      <c r="O259" t="s">
        <v>17</v>
      </c>
      <c r="P259">
        <v>54</v>
      </c>
      <c r="Q259" t="s">
        <v>0</v>
      </c>
      <c r="R259">
        <v>7200.8</v>
      </c>
      <c r="S259" t="s">
        <v>152</v>
      </c>
      <c r="T259">
        <v>8</v>
      </c>
      <c r="U259" t="s">
        <v>153</v>
      </c>
      <c r="V259">
        <v>250</v>
      </c>
      <c r="W259" t="s">
        <v>151</v>
      </c>
      <c r="X259">
        <v>746360</v>
      </c>
      <c r="Y259" t="s">
        <v>1</v>
      </c>
      <c r="Z259" t="s">
        <v>547</v>
      </c>
      <c r="AA259" t="s">
        <v>5</v>
      </c>
      <c r="AB259">
        <v>0.99999360000000004</v>
      </c>
      <c r="AC259" t="s">
        <v>4</v>
      </c>
      <c r="AD259">
        <v>3.3294200000000003E-2</v>
      </c>
    </row>
    <row r="260" spans="1:30" x14ac:dyDescent="0.25">
      <c r="A260" t="str">
        <f t="shared" si="4"/>
        <v>feynman_I_48_2_15795</v>
      </c>
      <c r="B260" t="s">
        <v>82</v>
      </c>
      <c r="C260" t="s">
        <v>189</v>
      </c>
      <c r="D260">
        <v>7200</v>
      </c>
      <c r="E260" t="s">
        <v>190</v>
      </c>
      <c r="F260">
        <v>1000000</v>
      </c>
      <c r="G260" t="s">
        <v>191</v>
      </c>
      <c r="H260">
        <v>15795</v>
      </c>
      <c r="I260" t="s">
        <v>192</v>
      </c>
      <c r="J260">
        <v>1E-3</v>
      </c>
      <c r="K260" t="s">
        <v>3</v>
      </c>
      <c r="L260">
        <v>1</v>
      </c>
      <c r="M260" t="s">
        <v>2</v>
      </c>
      <c r="N260">
        <v>9.1331999999999993E-3</v>
      </c>
      <c r="O260" t="s">
        <v>17</v>
      </c>
      <c r="P260">
        <v>32</v>
      </c>
      <c r="Q260" t="s">
        <v>0</v>
      </c>
      <c r="R260">
        <v>7200.3</v>
      </c>
      <c r="S260" t="s">
        <v>152</v>
      </c>
      <c r="T260">
        <v>7</v>
      </c>
      <c r="U260" t="s">
        <v>153</v>
      </c>
      <c r="V260">
        <v>790</v>
      </c>
      <c r="W260" t="s">
        <v>151</v>
      </c>
      <c r="X260">
        <v>978988</v>
      </c>
      <c r="Y260" t="s">
        <v>1</v>
      </c>
      <c r="Z260" t="s">
        <v>548</v>
      </c>
      <c r="AA260" t="s">
        <v>5</v>
      </c>
      <c r="AB260">
        <v>1</v>
      </c>
      <c r="AC260" t="s">
        <v>4</v>
      </c>
      <c r="AD260">
        <v>8.2123999999999999E-3</v>
      </c>
    </row>
    <row r="261" spans="1:30" x14ac:dyDescent="0.25">
      <c r="A261" t="str">
        <f t="shared" si="4"/>
        <v>feynman_I_30_3_15795</v>
      </c>
      <c r="B261" t="s">
        <v>64</v>
      </c>
      <c r="C261" t="s">
        <v>189</v>
      </c>
      <c r="D261">
        <v>7200</v>
      </c>
      <c r="E261" t="s">
        <v>190</v>
      </c>
      <c r="F261">
        <v>1000000</v>
      </c>
      <c r="G261" t="s">
        <v>191</v>
      </c>
      <c r="H261">
        <v>15795</v>
      </c>
      <c r="I261" t="s">
        <v>192</v>
      </c>
      <c r="J261">
        <v>1E-3</v>
      </c>
      <c r="K261" t="s">
        <v>3</v>
      </c>
      <c r="L261">
        <v>0.99870340000000002</v>
      </c>
      <c r="M261" t="s">
        <v>2</v>
      </c>
      <c r="N261">
        <v>9.2857999999999996E-2</v>
      </c>
      <c r="O261" t="s">
        <v>17</v>
      </c>
      <c r="P261">
        <v>56</v>
      </c>
      <c r="Q261" t="s">
        <v>0</v>
      </c>
      <c r="R261">
        <v>7200.8</v>
      </c>
      <c r="S261" t="s">
        <v>152</v>
      </c>
      <c r="T261">
        <v>10</v>
      </c>
      <c r="U261" t="s">
        <v>153</v>
      </c>
      <c r="V261">
        <v>453</v>
      </c>
      <c r="W261" t="s">
        <v>151</v>
      </c>
      <c r="X261">
        <v>845675</v>
      </c>
      <c r="Y261" t="s">
        <v>1</v>
      </c>
      <c r="Z261" t="e" cm="1">
        <f t="array" aca="1" ref="Z261" ca="1">-0.0296186294293+((0.0074153084692*v0)*EXP(V1))+(((1.463190452581*v0)*pow(V1,-1))*pow(LOG((1+V1)),-1))+(((-0.0071655181549*v0)*COS((V1*V2)))*EXP(V1))+((((-2.2061165405473*v0)*pow(V1,-1))*pow((1+LOG(V1)),-1))*COS((V1*V2)))</f>
        <v>#NAME?</v>
      </c>
      <c r="AA261" t="s">
        <v>5</v>
      </c>
      <c r="AB261">
        <v>0.99877269999999996</v>
      </c>
      <c r="AC261" t="s">
        <v>4</v>
      </c>
      <c r="AD261">
        <v>8.9920399999999998E-2</v>
      </c>
    </row>
    <row r="262" spans="1:30" x14ac:dyDescent="0.25">
      <c r="A262" t="str">
        <f t="shared" si="4"/>
        <v>feynman_test_12_15795</v>
      </c>
      <c r="B262" t="s">
        <v>124</v>
      </c>
      <c r="C262" t="s">
        <v>189</v>
      </c>
      <c r="D262">
        <v>7200</v>
      </c>
      <c r="E262" t="s">
        <v>190</v>
      </c>
      <c r="F262">
        <v>1000000</v>
      </c>
      <c r="G262" t="s">
        <v>191</v>
      </c>
      <c r="H262">
        <v>15795</v>
      </c>
      <c r="I262" t="s">
        <v>192</v>
      </c>
      <c r="J262">
        <v>1E-3</v>
      </c>
      <c r="K262" t="s">
        <v>3</v>
      </c>
      <c r="L262">
        <v>0.99999830000000001</v>
      </c>
      <c r="M262" t="s">
        <v>2</v>
      </c>
      <c r="N262">
        <v>1.8753300000000001E-2</v>
      </c>
      <c r="O262" t="s">
        <v>17</v>
      </c>
      <c r="P262">
        <v>10</v>
      </c>
      <c r="Q262" t="s">
        <v>0</v>
      </c>
      <c r="R262">
        <v>7203.1</v>
      </c>
      <c r="S262" t="s">
        <v>152</v>
      </c>
      <c r="T262">
        <v>11</v>
      </c>
      <c r="U262" t="s">
        <v>153</v>
      </c>
      <c r="V262">
        <v>532</v>
      </c>
      <c r="W262" t="s">
        <v>151</v>
      </c>
      <c r="X262">
        <v>658843</v>
      </c>
      <c r="Y262" t="s">
        <v>1</v>
      </c>
      <c r="Z262" t="s">
        <v>486</v>
      </c>
      <c r="AA262" t="s">
        <v>5</v>
      </c>
      <c r="AB262">
        <v>0.99999839999999995</v>
      </c>
      <c r="AC262" t="s">
        <v>4</v>
      </c>
      <c r="AD262">
        <v>1.8705699999999999E-2</v>
      </c>
    </row>
    <row r="263" spans="1:30" x14ac:dyDescent="0.25">
      <c r="A263" t="str">
        <f t="shared" si="4"/>
        <v>feynman_test_15_15795</v>
      </c>
      <c r="B263" t="s">
        <v>97</v>
      </c>
      <c r="C263" t="s">
        <v>189</v>
      </c>
      <c r="D263">
        <v>7200</v>
      </c>
      <c r="E263" t="s">
        <v>190</v>
      </c>
      <c r="F263">
        <v>1000000</v>
      </c>
      <c r="G263" t="s">
        <v>191</v>
      </c>
      <c r="H263">
        <v>15795</v>
      </c>
      <c r="I263" t="s">
        <v>192</v>
      </c>
      <c r="J263">
        <v>1E-3</v>
      </c>
      <c r="K263" t="s">
        <v>3</v>
      </c>
      <c r="L263">
        <v>0.99907429999999997</v>
      </c>
      <c r="M263" t="s">
        <v>2</v>
      </c>
      <c r="N263">
        <v>3.8354199999999998E-2</v>
      </c>
      <c r="O263" t="s">
        <v>17</v>
      </c>
      <c r="P263">
        <v>22</v>
      </c>
      <c r="Q263" t="s">
        <v>0</v>
      </c>
      <c r="R263">
        <v>7200.2</v>
      </c>
      <c r="S263" t="s">
        <v>152</v>
      </c>
      <c r="T263">
        <v>7</v>
      </c>
      <c r="U263" t="s">
        <v>153</v>
      </c>
      <c r="V263">
        <v>824</v>
      </c>
      <c r="W263" t="s">
        <v>151</v>
      </c>
      <c r="X263">
        <v>850130</v>
      </c>
      <c r="Y263" t="s">
        <v>1</v>
      </c>
      <c r="Z263" t="s">
        <v>549</v>
      </c>
      <c r="AA263" t="s">
        <v>5</v>
      </c>
      <c r="AB263">
        <v>0.99905239999999995</v>
      </c>
      <c r="AC263" t="s">
        <v>4</v>
      </c>
      <c r="AD263">
        <v>3.9018299999999999E-2</v>
      </c>
    </row>
    <row r="264" spans="1:30" x14ac:dyDescent="0.25">
      <c r="A264" t="str">
        <f t="shared" si="4"/>
        <v>feynman_I_29_4_860</v>
      </c>
      <c r="B264" t="s">
        <v>38</v>
      </c>
      <c r="C264" t="s">
        <v>189</v>
      </c>
      <c r="D264">
        <v>7200</v>
      </c>
      <c r="E264" t="s">
        <v>190</v>
      </c>
      <c r="F264">
        <v>1000000</v>
      </c>
      <c r="G264" t="s">
        <v>191</v>
      </c>
      <c r="H264">
        <v>860</v>
      </c>
      <c r="I264" t="s">
        <v>192</v>
      </c>
      <c r="J264">
        <v>1E-3</v>
      </c>
      <c r="K264" t="s">
        <v>3</v>
      </c>
      <c r="L264">
        <v>1</v>
      </c>
      <c r="M264" t="s">
        <v>2</v>
      </c>
      <c r="N264">
        <v>0</v>
      </c>
      <c r="O264" t="s">
        <v>17</v>
      </c>
      <c r="P264">
        <v>8</v>
      </c>
      <c r="Q264" t="s">
        <v>0</v>
      </c>
      <c r="R264">
        <v>1.6</v>
      </c>
      <c r="S264" t="s">
        <v>152</v>
      </c>
      <c r="T264">
        <v>1</v>
      </c>
      <c r="U264" t="s">
        <v>153</v>
      </c>
      <c r="V264">
        <v>2</v>
      </c>
      <c r="W264" t="s">
        <v>151</v>
      </c>
      <c r="X264">
        <v>340</v>
      </c>
      <c r="Y264" t="s">
        <v>1</v>
      </c>
      <c r="Z264" t="s">
        <v>155</v>
      </c>
      <c r="AA264" t="s">
        <v>5</v>
      </c>
      <c r="AB264">
        <v>1</v>
      </c>
      <c r="AC264" t="s">
        <v>4</v>
      </c>
      <c r="AD264">
        <v>0</v>
      </c>
    </row>
    <row r="265" spans="1:30" x14ac:dyDescent="0.25">
      <c r="A265" t="str">
        <f t="shared" si="4"/>
        <v>feynman_II_15_5_860</v>
      </c>
      <c r="B265" t="s">
        <v>69</v>
      </c>
      <c r="C265" t="s">
        <v>189</v>
      </c>
      <c r="D265">
        <v>7200</v>
      </c>
      <c r="E265" t="s">
        <v>190</v>
      </c>
      <c r="F265">
        <v>1000000</v>
      </c>
      <c r="G265" t="s">
        <v>191</v>
      </c>
      <c r="H265">
        <v>860</v>
      </c>
      <c r="I265" t="s">
        <v>192</v>
      </c>
      <c r="J265">
        <v>1E-3</v>
      </c>
      <c r="K265" t="s">
        <v>3</v>
      </c>
      <c r="L265">
        <v>1</v>
      </c>
      <c r="M265" t="s">
        <v>2</v>
      </c>
      <c r="N265">
        <v>0</v>
      </c>
      <c r="O265" t="s">
        <v>17</v>
      </c>
      <c r="P265">
        <v>9</v>
      </c>
      <c r="Q265" t="s">
        <v>0</v>
      </c>
      <c r="R265">
        <v>33</v>
      </c>
      <c r="S265" t="s">
        <v>152</v>
      </c>
      <c r="T265">
        <v>1</v>
      </c>
      <c r="U265" t="s">
        <v>153</v>
      </c>
      <c r="V265">
        <v>11</v>
      </c>
      <c r="W265" t="s">
        <v>151</v>
      </c>
      <c r="X265">
        <v>6786</v>
      </c>
      <c r="Y265" t="s">
        <v>1</v>
      </c>
      <c r="Z265" t="s">
        <v>178</v>
      </c>
      <c r="AA265" t="s">
        <v>5</v>
      </c>
      <c r="AB265">
        <v>1</v>
      </c>
      <c r="AC265" t="s">
        <v>4</v>
      </c>
      <c r="AD265">
        <v>0</v>
      </c>
    </row>
    <row r="266" spans="1:30" x14ac:dyDescent="0.25">
      <c r="A266" t="str">
        <f t="shared" si="4"/>
        <v>feynman_II_34_11_860</v>
      </c>
      <c r="B266" t="s">
        <v>95</v>
      </c>
      <c r="C266" t="s">
        <v>189</v>
      </c>
      <c r="D266">
        <v>7200</v>
      </c>
      <c r="E266" t="s">
        <v>190</v>
      </c>
      <c r="F266">
        <v>1000000</v>
      </c>
      <c r="G266" t="s">
        <v>191</v>
      </c>
      <c r="H266">
        <v>860</v>
      </c>
      <c r="I266" t="s">
        <v>192</v>
      </c>
      <c r="J266">
        <v>1E-3</v>
      </c>
      <c r="K266" t="s">
        <v>3</v>
      </c>
      <c r="L266">
        <v>1</v>
      </c>
      <c r="M266" t="s">
        <v>2</v>
      </c>
      <c r="N266">
        <v>0</v>
      </c>
      <c r="O266" t="s">
        <v>17</v>
      </c>
      <c r="P266">
        <v>12</v>
      </c>
      <c r="Q266" t="s">
        <v>0</v>
      </c>
      <c r="R266">
        <v>7.6</v>
      </c>
      <c r="S266" t="s">
        <v>152</v>
      </c>
      <c r="T266">
        <v>1</v>
      </c>
      <c r="U266" t="s">
        <v>153</v>
      </c>
      <c r="V266">
        <v>4</v>
      </c>
      <c r="W266" t="s">
        <v>151</v>
      </c>
      <c r="X266">
        <v>1618</v>
      </c>
      <c r="Y266" t="s">
        <v>1</v>
      </c>
      <c r="Z266" t="s">
        <v>175</v>
      </c>
      <c r="AA266" t="s">
        <v>5</v>
      </c>
      <c r="AB266">
        <v>1</v>
      </c>
      <c r="AC266" t="s">
        <v>4</v>
      </c>
      <c r="AD266">
        <v>0</v>
      </c>
    </row>
    <row r="267" spans="1:30" x14ac:dyDescent="0.25">
      <c r="A267" t="str">
        <f t="shared" si="4"/>
        <v>feynman_III_15_14_860</v>
      </c>
      <c r="B267" t="s">
        <v>84</v>
      </c>
      <c r="C267" t="s">
        <v>189</v>
      </c>
      <c r="D267">
        <v>7200</v>
      </c>
      <c r="E267" t="s">
        <v>190</v>
      </c>
      <c r="F267">
        <v>1000000</v>
      </c>
      <c r="G267" t="s">
        <v>191</v>
      </c>
      <c r="H267">
        <v>860</v>
      </c>
      <c r="I267" t="s">
        <v>192</v>
      </c>
      <c r="J267">
        <v>1E-3</v>
      </c>
      <c r="K267" t="s">
        <v>3</v>
      </c>
      <c r="L267">
        <v>1</v>
      </c>
      <c r="M267" t="s">
        <v>2</v>
      </c>
      <c r="N267">
        <v>0</v>
      </c>
      <c r="O267" t="s">
        <v>17</v>
      </c>
      <c r="P267">
        <v>14</v>
      </c>
      <c r="Q267" t="s">
        <v>0</v>
      </c>
      <c r="R267">
        <v>11.5</v>
      </c>
      <c r="S267" t="s">
        <v>152</v>
      </c>
      <c r="T267">
        <v>1</v>
      </c>
      <c r="U267" t="s">
        <v>153</v>
      </c>
      <c r="V267">
        <v>5</v>
      </c>
      <c r="W267" t="s">
        <v>151</v>
      </c>
      <c r="X267">
        <v>2378</v>
      </c>
      <c r="Y267" t="s">
        <v>1</v>
      </c>
      <c r="Z267" t="s">
        <v>166</v>
      </c>
      <c r="AA267" t="s">
        <v>5</v>
      </c>
      <c r="AB267">
        <v>1</v>
      </c>
      <c r="AC267" t="s">
        <v>4</v>
      </c>
      <c r="AD267">
        <v>0</v>
      </c>
    </row>
    <row r="268" spans="1:30" x14ac:dyDescent="0.25">
      <c r="A268" t="str">
        <f t="shared" si="4"/>
        <v>feynman_II_6_11_860</v>
      </c>
      <c r="B268" t="s">
        <v>116</v>
      </c>
      <c r="C268" t="s">
        <v>189</v>
      </c>
      <c r="D268">
        <v>7200</v>
      </c>
      <c r="E268" t="s">
        <v>190</v>
      </c>
      <c r="F268">
        <v>1000000</v>
      </c>
      <c r="G268" t="s">
        <v>191</v>
      </c>
      <c r="H268">
        <v>860</v>
      </c>
      <c r="I268" t="s">
        <v>192</v>
      </c>
      <c r="J268">
        <v>1E-3</v>
      </c>
      <c r="K268" t="s">
        <v>3</v>
      </c>
      <c r="L268">
        <v>1</v>
      </c>
      <c r="M268" t="s">
        <v>2</v>
      </c>
      <c r="N268">
        <v>0</v>
      </c>
      <c r="O268" t="s">
        <v>17</v>
      </c>
      <c r="P268">
        <v>17</v>
      </c>
      <c r="Q268" t="s">
        <v>0</v>
      </c>
      <c r="R268">
        <v>449</v>
      </c>
      <c r="S268" t="s">
        <v>152</v>
      </c>
      <c r="T268">
        <v>3</v>
      </c>
      <c r="U268" t="s">
        <v>153</v>
      </c>
      <c r="V268">
        <v>47</v>
      </c>
      <c r="W268" t="s">
        <v>151</v>
      </c>
      <c r="X268">
        <v>68881</v>
      </c>
      <c r="Y268" t="s">
        <v>1</v>
      </c>
      <c r="Z268" t="s">
        <v>550</v>
      </c>
      <c r="AA268" t="s">
        <v>5</v>
      </c>
      <c r="AB268">
        <v>1</v>
      </c>
      <c r="AC268" t="s">
        <v>4</v>
      </c>
      <c r="AD268">
        <v>0</v>
      </c>
    </row>
    <row r="269" spans="1:30" x14ac:dyDescent="0.25">
      <c r="A269" t="str">
        <f t="shared" si="4"/>
        <v>feynman_I_6_2a_15795</v>
      </c>
      <c r="B269" t="s">
        <v>32</v>
      </c>
      <c r="C269" t="s">
        <v>189</v>
      </c>
      <c r="D269">
        <v>7200</v>
      </c>
      <c r="E269" t="s">
        <v>190</v>
      </c>
      <c r="F269">
        <v>1000000</v>
      </c>
      <c r="G269" t="s">
        <v>191</v>
      </c>
      <c r="H269">
        <v>15795</v>
      </c>
      <c r="I269" t="s">
        <v>192</v>
      </c>
      <c r="J269">
        <v>1E-3</v>
      </c>
      <c r="K269" t="s">
        <v>3</v>
      </c>
      <c r="L269">
        <v>0.99994340000000004</v>
      </c>
      <c r="M269" t="s">
        <v>2</v>
      </c>
      <c r="N269">
        <v>5.2689999999999996E-4</v>
      </c>
      <c r="O269" t="s">
        <v>17</v>
      </c>
      <c r="P269">
        <v>11</v>
      </c>
      <c r="Q269" t="s">
        <v>0</v>
      </c>
      <c r="R269">
        <v>7204.7</v>
      </c>
      <c r="S269" t="s">
        <v>152</v>
      </c>
      <c r="T269">
        <v>14</v>
      </c>
      <c r="U269" t="s">
        <v>153</v>
      </c>
      <c r="V269">
        <v>329</v>
      </c>
      <c r="W269" t="s">
        <v>151</v>
      </c>
      <c r="X269">
        <v>80597</v>
      </c>
      <c r="Y269" t="s">
        <v>1</v>
      </c>
      <c r="Z269" t="s">
        <v>551</v>
      </c>
      <c r="AA269" t="s">
        <v>5</v>
      </c>
      <c r="AB269">
        <v>0.99994349999999999</v>
      </c>
      <c r="AC269" t="s">
        <v>4</v>
      </c>
      <c r="AD269">
        <v>5.2649999999999995E-4</v>
      </c>
    </row>
    <row r="270" spans="1:30" x14ac:dyDescent="0.25">
      <c r="A270" t="str">
        <f t="shared" si="4"/>
        <v>feynman_II_27_18_860</v>
      </c>
      <c r="B270" t="s">
        <v>43</v>
      </c>
      <c r="C270" t="s">
        <v>189</v>
      </c>
      <c r="D270">
        <v>7200</v>
      </c>
      <c r="E270" t="s">
        <v>190</v>
      </c>
      <c r="F270">
        <v>1000000</v>
      </c>
      <c r="G270" t="s">
        <v>191</v>
      </c>
      <c r="H270">
        <v>860</v>
      </c>
      <c r="I270" t="s">
        <v>192</v>
      </c>
      <c r="J270">
        <v>1E-3</v>
      </c>
      <c r="K270" t="s">
        <v>3</v>
      </c>
      <c r="L270">
        <v>1</v>
      </c>
      <c r="M270" t="s">
        <v>2</v>
      </c>
      <c r="N270">
        <v>0</v>
      </c>
      <c r="O270" t="s">
        <v>17</v>
      </c>
      <c r="P270">
        <v>8</v>
      </c>
      <c r="Q270" t="s">
        <v>0</v>
      </c>
      <c r="R270">
        <v>3</v>
      </c>
      <c r="S270" t="s">
        <v>152</v>
      </c>
      <c r="T270">
        <v>1</v>
      </c>
      <c r="U270" t="s">
        <v>153</v>
      </c>
      <c r="V270">
        <v>3</v>
      </c>
      <c r="W270" t="s">
        <v>151</v>
      </c>
      <c r="X270">
        <v>616</v>
      </c>
      <c r="Y270" t="s">
        <v>1</v>
      </c>
      <c r="Z270" t="s">
        <v>172</v>
      </c>
      <c r="AA270" t="s">
        <v>5</v>
      </c>
      <c r="AB270">
        <v>1</v>
      </c>
      <c r="AC270" t="s">
        <v>4</v>
      </c>
      <c r="AD270">
        <v>0</v>
      </c>
    </row>
    <row r="271" spans="1:30" x14ac:dyDescent="0.25">
      <c r="A271" t="str">
        <f t="shared" si="4"/>
        <v>feynman_III_7_38_860</v>
      </c>
      <c r="B271" t="s">
        <v>76</v>
      </c>
      <c r="C271" t="s">
        <v>189</v>
      </c>
      <c r="D271">
        <v>7200</v>
      </c>
      <c r="E271" t="s">
        <v>190</v>
      </c>
      <c r="F271">
        <v>1000000</v>
      </c>
      <c r="G271" t="s">
        <v>191</v>
      </c>
      <c r="H271">
        <v>860</v>
      </c>
      <c r="I271" t="s">
        <v>192</v>
      </c>
      <c r="J271">
        <v>1E-3</v>
      </c>
      <c r="K271" t="s">
        <v>3</v>
      </c>
      <c r="L271">
        <v>1</v>
      </c>
      <c r="M271" t="s">
        <v>2</v>
      </c>
      <c r="N271">
        <v>0</v>
      </c>
      <c r="O271" t="s">
        <v>17</v>
      </c>
      <c r="P271">
        <v>10</v>
      </c>
      <c r="Q271" t="s">
        <v>0</v>
      </c>
      <c r="R271">
        <v>3.9</v>
      </c>
      <c r="S271" t="s">
        <v>152</v>
      </c>
      <c r="T271">
        <v>1</v>
      </c>
      <c r="U271" t="s">
        <v>153</v>
      </c>
      <c r="V271">
        <v>3</v>
      </c>
      <c r="W271" t="s">
        <v>151</v>
      </c>
      <c r="X271">
        <v>827</v>
      </c>
      <c r="Y271" t="s">
        <v>1</v>
      </c>
      <c r="Z271" t="s">
        <v>208</v>
      </c>
      <c r="AA271" t="s">
        <v>5</v>
      </c>
      <c r="AB271">
        <v>1</v>
      </c>
      <c r="AC271" t="s">
        <v>4</v>
      </c>
      <c r="AD271">
        <v>0</v>
      </c>
    </row>
    <row r="272" spans="1:30" x14ac:dyDescent="0.25">
      <c r="A272" t="str">
        <f t="shared" si="4"/>
        <v>feynman_I_39_11_860</v>
      </c>
      <c r="B272" t="s">
        <v>53</v>
      </c>
      <c r="C272" t="s">
        <v>189</v>
      </c>
      <c r="D272">
        <v>7200</v>
      </c>
      <c r="E272" t="s">
        <v>190</v>
      </c>
      <c r="F272">
        <v>1000000</v>
      </c>
      <c r="G272" t="s">
        <v>191</v>
      </c>
      <c r="H272">
        <v>860</v>
      </c>
      <c r="I272" t="s">
        <v>192</v>
      </c>
      <c r="J272">
        <v>1E-3</v>
      </c>
      <c r="K272" t="s">
        <v>3</v>
      </c>
      <c r="L272">
        <v>1</v>
      </c>
      <c r="M272" t="s">
        <v>2</v>
      </c>
      <c r="N272">
        <v>0</v>
      </c>
      <c r="O272" t="s">
        <v>17</v>
      </c>
      <c r="P272">
        <v>12</v>
      </c>
      <c r="Q272" t="s">
        <v>0</v>
      </c>
      <c r="R272">
        <v>7.6</v>
      </c>
      <c r="S272" t="s">
        <v>152</v>
      </c>
      <c r="T272">
        <v>1</v>
      </c>
      <c r="U272" t="s">
        <v>153</v>
      </c>
      <c r="V272">
        <v>4</v>
      </c>
      <c r="W272" t="s">
        <v>151</v>
      </c>
      <c r="X272">
        <v>1595</v>
      </c>
      <c r="Y272" t="s">
        <v>1</v>
      </c>
      <c r="Z272" t="s">
        <v>226</v>
      </c>
      <c r="AA272" t="s">
        <v>5</v>
      </c>
      <c r="AB272">
        <v>1</v>
      </c>
      <c r="AC272" t="s">
        <v>4</v>
      </c>
      <c r="AD272">
        <v>0</v>
      </c>
    </row>
    <row r="273" spans="1:30" x14ac:dyDescent="0.25">
      <c r="A273" t="str">
        <f t="shared" si="4"/>
        <v>feynman_II_10_9_860</v>
      </c>
      <c r="B273" t="s">
        <v>68</v>
      </c>
      <c r="C273" t="s">
        <v>189</v>
      </c>
      <c r="D273">
        <v>7200</v>
      </c>
      <c r="E273" t="s">
        <v>190</v>
      </c>
      <c r="F273">
        <v>1000000</v>
      </c>
      <c r="G273" t="s">
        <v>191</v>
      </c>
      <c r="H273">
        <v>860</v>
      </c>
      <c r="I273" t="s">
        <v>192</v>
      </c>
      <c r="J273">
        <v>1E-3</v>
      </c>
      <c r="K273" t="s">
        <v>3</v>
      </c>
      <c r="L273">
        <v>1</v>
      </c>
      <c r="M273" t="s">
        <v>2</v>
      </c>
      <c r="N273">
        <v>0</v>
      </c>
      <c r="O273" t="s">
        <v>17</v>
      </c>
      <c r="P273">
        <v>14</v>
      </c>
      <c r="Q273" t="s">
        <v>0</v>
      </c>
      <c r="R273">
        <v>8.4</v>
      </c>
      <c r="S273" t="s">
        <v>152</v>
      </c>
      <c r="T273">
        <v>1</v>
      </c>
      <c r="U273" t="s">
        <v>153</v>
      </c>
      <c r="V273">
        <v>4</v>
      </c>
      <c r="W273" t="s">
        <v>151</v>
      </c>
      <c r="X273">
        <v>1709</v>
      </c>
      <c r="Y273" t="s">
        <v>1</v>
      </c>
      <c r="Z273" t="s">
        <v>244</v>
      </c>
      <c r="AA273" t="s">
        <v>5</v>
      </c>
      <c r="AB273">
        <v>1</v>
      </c>
      <c r="AC273" t="s">
        <v>4</v>
      </c>
      <c r="AD273">
        <v>0</v>
      </c>
    </row>
    <row r="274" spans="1:30" x14ac:dyDescent="0.25">
      <c r="A274" t="str">
        <f t="shared" si="4"/>
        <v>feynman_II_27_16_860</v>
      </c>
      <c r="B274" t="s">
        <v>79</v>
      </c>
      <c r="C274" t="s">
        <v>189</v>
      </c>
      <c r="D274">
        <v>7200</v>
      </c>
      <c r="E274" t="s">
        <v>190</v>
      </c>
      <c r="F274">
        <v>1000000</v>
      </c>
      <c r="G274" t="s">
        <v>191</v>
      </c>
      <c r="H274">
        <v>860</v>
      </c>
      <c r="I274" t="s">
        <v>192</v>
      </c>
      <c r="J274">
        <v>1E-3</v>
      </c>
      <c r="K274" t="s">
        <v>3</v>
      </c>
      <c r="L274">
        <v>1</v>
      </c>
      <c r="M274" t="s">
        <v>2</v>
      </c>
      <c r="N274">
        <v>0</v>
      </c>
      <c r="O274" t="s">
        <v>17</v>
      </c>
      <c r="P274">
        <v>10</v>
      </c>
      <c r="Q274" t="s">
        <v>0</v>
      </c>
      <c r="R274">
        <v>5.7</v>
      </c>
      <c r="S274" t="s">
        <v>152</v>
      </c>
      <c r="T274">
        <v>1</v>
      </c>
      <c r="U274" t="s">
        <v>153</v>
      </c>
      <c r="V274">
        <v>4</v>
      </c>
      <c r="W274" t="s">
        <v>151</v>
      </c>
      <c r="X274">
        <v>1268</v>
      </c>
      <c r="Y274" t="s">
        <v>1</v>
      </c>
      <c r="Z274" t="s">
        <v>229</v>
      </c>
      <c r="AA274" t="s">
        <v>5</v>
      </c>
      <c r="AB274">
        <v>1</v>
      </c>
      <c r="AC274" t="s">
        <v>4</v>
      </c>
      <c r="AD274">
        <v>0</v>
      </c>
    </row>
    <row r="275" spans="1:30" x14ac:dyDescent="0.25">
      <c r="A275" t="str">
        <f t="shared" si="4"/>
        <v>feynman_I_37_4_860</v>
      </c>
      <c r="B275" t="s">
        <v>61</v>
      </c>
      <c r="C275" t="s">
        <v>189</v>
      </c>
      <c r="D275">
        <v>7200</v>
      </c>
      <c r="E275" t="s">
        <v>190</v>
      </c>
      <c r="F275">
        <v>1000000</v>
      </c>
      <c r="G275" t="s">
        <v>191</v>
      </c>
      <c r="H275">
        <v>860</v>
      </c>
      <c r="I275" t="s">
        <v>192</v>
      </c>
      <c r="J275">
        <v>1E-3</v>
      </c>
      <c r="K275" t="s">
        <v>3</v>
      </c>
      <c r="L275">
        <v>1</v>
      </c>
      <c r="M275" t="s">
        <v>2</v>
      </c>
      <c r="N275">
        <v>0</v>
      </c>
      <c r="O275" t="s">
        <v>17</v>
      </c>
      <c r="P275">
        <v>21</v>
      </c>
      <c r="Q275" t="s">
        <v>0</v>
      </c>
      <c r="R275">
        <v>241.7</v>
      </c>
      <c r="S275" t="s">
        <v>152</v>
      </c>
      <c r="T275">
        <v>4</v>
      </c>
      <c r="U275" t="s">
        <v>153</v>
      </c>
      <c r="V275">
        <v>38</v>
      </c>
      <c r="W275" t="s">
        <v>151</v>
      </c>
      <c r="X275">
        <v>32021</v>
      </c>
      <c r="Y275" t="s">
        <v>1</v>
      </c>
      <c r="Z275" t="s">
        <v>442</v>
      </c>
      <c r="AA275" t="s">
        <v>5</v>
      </c>
      <c r="AB275">
        <v>1</v>
      </c>
      <c r="AC275" t="s">
        <v>4</v>
      </c>
      <c r="AD275">
        <v>0</v>
      </c>
    </row>
    <row r="276" spans="1:30" x14ac:dyDescent="0.25">
      <c r="A276" t="str">
        <f t="shared" si="4"/>
        <v>feynman_I_38_12_860</v>
      </c>
      <c r="B276" t="s">
        <v>104</v>
      </c>
      <c r="C276" t="s">
        <v>189</v>
      </c>
      <c r="D276">
        <v>7200</v>
      </c>
      <c r="E276" t="s">
        <v>190</v>
      </c>
      <c r="F276">
        <v>1000000</v>
      </c>
      <c r="G276" t="s">
        <v>191</v>
      </c>
      <c r="H276">
        <v>860</v>
      </c>
      <c r="I276" t="s">
        <v>192</v>
      </c>
      <c r="J276">
        <v>1E-3</v>
      </c>
      <c r="K276" t="s">
        <v>3</v>
      </c>
      <c r="L276">
        <v>1</v>
      </c>
      <c r="M276" t="s">
        <v>2</v>
      </c>
      <c r="N276">
        <v>0</v>
      </c>
      <c r="O276" t="s">
        <v>17</v>
      </c>
      <c r="P276">
        <v>16</v>
      </c>
      <c r="Q276" t="s">
        <v>0</v>
      </c>
      <c r="R276">
        <v>29.1</v>
      </c>
      <c r="S276" t="s">
        <v>152</v>
      </c>
      <c r="T276">
        <v>1</v>
      </c>
      <c r="U276" t="s">
        <v>153</v>
      </c>
      <c r="V276">
        <v>6</v>
      </c>
      <c r="W276" t="s">
        <v>151</v>
      </c>
      <c r="X276">
        <v>4942</v>
      </c>
      <c r="Y276" t="s">
        <v>1</v>
      </c>
      <c r="Z276" t="s">
        <v>443</v>
      </c>
      <c r="AA276" t="s">
        <v>5</v>
      </c>
      <c r="AB276">
        <v>1</v>
      </c>
      <c r="AC276" t="s">
        <v>4</v>
      </c>
      <c r="AD276">
        <v>0</v>
      </c>
    </row>
    <row r="277" spans="1:30" x14ac:dyDescent="0.25">
      <c r="A277" t="str">
        <f t="shared" si="4"/>
        <v>feynman_II_21_32_15795</v>
      </c>
      <c r="B277" t="s">
        <v>134</v>
      </c>
      <c r="C277" t="s">
        <v>189</v>
      </c>
      <c r="D277">
        <v>7200</v>
      </c>
      <c r="E277" t="s">
        <v>190</v>
      </c>
      <c r="F277">
        <v>1000000</v>
      </c>
      <c r="G277" t="s">
        <v>191</v>
      </c>
      <c r="H277">
        <v>15795</v>
      </c>
      <c r="I277" t="s">
        <v>192</v>
      </c>
      <c r="J277">
        <v>1E-3</v>
      </c>
      <c r="K277" t="s">
        <v>3</v>
      </c>
      <c r="L277">
        <v>0.99798109999999995</v>
      </c>
      <c r="M277" t="s">
        <v>2</v>
      </c>
      <c r="N277">
        <v>2.1765999999999999E-3</v>
      </c>
      <c r="O277" t="s">
        <v>17</v>
      </c>
      <c r="P277">
        <v>21</v>
      </c>
      <c r="Q277" t="s">
        <v>0</v>
      </c>
      <c r="R277">
        <v>7202.7</v>
      </c>
      <c r="S277" t="s">
        <v>152</v>
      </c>
      <c r="T277">
        <v>18</v>
      </c>
      <c r="U277" t="s">
        <v>153</v>
      </c>
      <c r="V277">
        <v>771</v>
      </c>
      <c r="W277" t="s">
        <v>151</v>
      </c>
      <c r="X277">
        <v>937616</v>
      </c>
      <c r="Y277" t="s">
        <v>1</v>
      </c>
      <c r="Z277" t="s">
        <v>552</v>
      </c>
      <c r="AA277" t="s">
        <v>5</v>
      </c>
      <c r="AB277">
        <v>0.99801910000000005</v>
      </c>
      <c r="AC277" t="s">
        <v>4</v>
      </c>
      <c r="AD277">
        <v>2.1719999999999999E-3</v>
      </c>
    </row>
    <row r="278" spans="1:30" x14ac:dyDescent="0.25">
      <c r="A278" t="str">
        <f t="shared" si="4"/>
        <v>strogatz_bacres1_860</v>
      </c>
      <c r="B278" t="s">
        <v>26</v>
      </c>
      <c r="C278" t="s">
        <v>189</v>
      </c>
      <c r="D278">
        <v>7200</v>
      </c>
      <c r="E278" t="s">
        <v>190</v>
      </c>
      <c r="F278">
        <v>1000000</v>
      </c>
      <c r="G278" t="s">
        <v>191</v>
      </c>
      <c r="H278">
        <v>860</v>
      </c>
      <c r="I278" t="s">
        <v>192</v>
      </c>
      <c r="J278">
        <v>1E-3</v>
      </c>
      <c r="K278" t="s">
        <v>3</v>
      </c>
      <c r="L278">
        <v>0.99985040000000003</v>
      </c>
      <c r="M278" t="s">
        <v>2</v>
      </c>
      <c r="N278">
        <v>3.1285199999999999E-2</v>
      </c>
      <c r="O278" t="s">
        <v>17</v>
      </c>
      <c r="P278">
        <v>16</v>
      </c>
      <c r="Q278" t="s">
        <v>0</v>
      </c>
      <c r="R278">
        <v>752.8</v>
      </c>
      <c r="S278" t="s">
        <v>152</v>
      </c>
      <c r="T278">
        <v>7</v>
      </c>
      <c r="U278" t="s">
        <v>153</v>
      </c>
      <c r="V278">
        <v>625</v>
      </c>
      <c r="W278" t="s">
        <v>151</v>
      </c>
      <c r="X278">
        <v>312544</v>
      </c>
      <c r="Y278" t="s">
        <v>1</v>
      </c>
      <c r="Z278" t="s">
        <v>553</v>
      </c>
      <c r="AA278" t="s">
        <v>5</v>
      </c>
      <c r="AB278">
        <v>0.99999649999999995</v>
      </c>
      <c r="AC278" t="s">
        <v>4</v>
      </c>
      <c r="AD278">
        <v>4.7052999999999999E-3</v>
      </c>
    </row>
    <row r="279" spans="1:30" x14ac:dyDescent="0.25">
      <c r="A279" t="str">
        <f t="shared" si="4"/>
        <v>feynman_I_8_14_15795</v>
      </c>
      <c r="B279" t="s">
        <v>89</v>
      </c>
      <c r="C279" t="s">
        <v>189</v>
      </c>
      <c r="D279">
        <v>7200</v>
      </c>
      <c r="E279" t="s">
        <v>190</v>
      </c>
      <c r="F279">
        <v>1000000</v>
      </c>
      <c r="G279" t="s">
        <v>191</v>
      </c>
      <c r="H279">
        <v>15795</v>
      </c>
      <c r="I279" t="s">
        <v>192</v>
      </c>
      <c r="J279">
        <v>1E-3</v>
      </c>
      <c r="K279" t="s">
        <v>3</v>
      </c>
      <c r="L279">
        <v>0.96296519999999997</v>
      </c>
      <c r="M279" t="s">
        <v>2</v>
      </c>
      <c r="N279">
        <v>0.19119269999999999</v>
      </c>
      <c r="O279" t="s">
        <v>17</v>
      </c>
      <c r="P279">
        <v>30</v>
      </c>
      <c r="Q279" t="s">
        <v>0</v>
      </c>
      <c r="R279">
        <v>7200.5</v>
      </c>
      <c r="S279" t="s">
        <v>152</v>
      </c>
      <c r="T279">
        <v>8</v>
      </c>
      <c r="U279" t="s">
        <v>153</v>
      </c>
      <c r="V279">
        <v>509</v>
      </c>
      <c r="W279" t="s">
        <v>151</v>
      </c>
      <c r="X279">
        <v>908506</v>
      </c>
      <c r="Y279" t="s">
        <v>1</v>
      </c>
      <c r="Z279" t="s">
        <v>554</v>
      </c>
      <c r="AA279" t="s">
        <v>5</v>
      </c>
      <c r="AB279">
        <v>0.96265259999999997</v>
      </c>
      <c r="AC279" t="s">
        <v>4</v>
      </c>
      <c r="AD279">
        <v>0.19287650000000001</v>
      </c>
    </row>
    <row r="280" spans="1:30" x14ac:dyDescent="0.25">
      <c r="A280" t="str">
        <f t="shared" si="4"/>
        <v>feynman_I_12_1_860</v>
      </c>
      <c r="B280" t="s">
        <v>37</v>
      </c>
      <c r="C280" t="s">
        <v>189</v>
      </c>
      <c r="D280">
        <v>7200</v>
      </c>
      <c r="E280" t="s">
        <v>190</v>
      </c>
      <c r="F280">
        <v>1000000</v>
      </c>
      <c r="G280" t="s">
        <v>191</v>
      </c>
      <c r="H280">
        <v>860</v>
      </c>
      <c r="I280" t="s">
        <v>192</v>
      </c>
      <c r="J280">
        <v>1E-3</v>
      </c>
      <c r="K280" t="s">
        <v>3</v>
      </c>
      <c r="L280">
        <v>1</v>
      </c>
      <c r="M280" t="s">
        <v>2</v>
      </c>
      <c r="N280">
        <v>0</v>
      </c>
      <c r="O280" t="s">
        <v>17</v>
      </c>
      <c r="P280">
        <v>6</v>
      </c>
      <c r="Q280" t="s">
        <v>0</v>
      </c>
      <c r="R280">
        <v>1.3</v>
      </c>
      <c r="S280" t="s">
        <v>152</v>
      </c>
      <c r="T280">
        <v>1</v>
      </c>
      <c r="U280" t="s">
        <v>153</v>
      </c>
      <c r="V280">
        <v>2</v>
      </c>
      <c r="W280" t="s">
        <v>151</v>
      </c>
      <c r="X280">
        <v>264</v>
      </c>
      <c r="Y280" t="s">
        <v>1</v>
      </c>
      <c r="Z280" t="s">
        <v>157</v>
      </c>
      <c r="AA280" t="s">
        <v>5</v>
      </c>
      <c r="AB280">
        <v>1</v>
      </c>
      <c r="AC280" t="s">
        <v>4</v>
      </c>
      <c r="AD280">
        <v>0</v>
      </c>
    </row>
    <row r="281" spans="1:30" x14ac:dyDescent="0.25">
      <c r="A281" t="str">
        <f t="shared" si="4"/>
        <v>feynman_I_14_3_860</v>
      </c>
      <c r="B281" t="s">
        <v>73</v>
      </c>
      <c r="C281" t="s">
        <v>189</v>
      </c>
      <c r="D281">
        <v>7200</v>
      </c>
      <c r="E281" t="s">
        <v>190</v>
      </c>
      <c r="F281">
        <v>1000000</v>
      </c>
      <c r="G281" t="s">
        <v>191</v>
      </c>
      <c r="H281">
        <v>860</v>
      </c>
      <c r="I281" t="s">
        <v>192</v>
      </c>
      <c r="J281">
        <v>1E-3</v>
      </c>
      <c r="K281" t="s">
        <v>3</v>
      </c>
      <c r="L281">
        <v>1</v>
      </c>
      <c r="M281" t="s">
        <v>2</v>
      </c>
      <c r="N281">
        <v>0</v>
      </c>
      <c r="O281" t="s">
        <v>17</v>
      </c>
      <c r="P281">
        <v>8</v>
      </c>
      <c r="Q281" t="s">
        <v>0</v>
      </c>
      <c r="R281">
        <v>3.1</v>
      </c>
      <c r="S281" t="s">
        <v>152</v>
      </c>
      <c r="T281">
        <v>1</v>
      </c>
      <c r="U281" t="s">
        <v>153</v>
      </c>
      <c r="V281">
        <v>3</v>
      </c>
      <c r="W281" t="s">
        <v>151</v>
      </c>
      <c r="X281">
        <v>660</v>
      </c>
      <c r="Y281" t="s">
        <v>1</v>
      </c>
      <c r="Z281" t="s">
        <v>207</v>
      </c>
      <c r="AA281" t="s">
        <v>5</v>
      </c>
      <c r="AB281">
        <v>1</v>
      </c>
      <c r="AC281" t="s">
        <v>4</v>
      </c>
      <c r="AD281">
        <v>0</v>
      </c>
    </row>
    <row r="282" spans="1:30" x14ac:dyDescent="0.25">
      <c r="A282" t="str">
        <f t="shared" si="4"/>
        <v>feynman_II_37_1_860</v>
      </c>
      <c r="B282" t="s">
        <v>75</v>
      </c>
      <c r="C282" t="s">
        <v>189</v>
      </c>
      <c r="D282">
        <v>7200</v>
      </c>
      <c r="E282" t="s">
        <v>190</v>
      </c>
      <c r="F282">
        <v>1000000</v>
      </c>
      <c r="G282" t="s">
        <v>191</v>
      </c>
      <c r="H282">
        <v>860</v>
      </c>
      <c r="I282" t="s">
        <v>192</v>
      </c>
      <c r="J282">
        <v>1E-3</v>
      </c>
      <c r="K282" t="s">
        <v>3</v>
      </c>
      <c r="L282">
        <v>1</v>
      </c>
      <c r="M282" t="s">
        <v>2</v>
      </c>
      <c r="N282">
        <v>0</v>
      </c>
      <c r="O282" t="s">
        <v>17</v>
      </c>
      <c r="P282">
        <v>14</v>
      </c>
      <c r="Q282" t="s">
        <v>0</v>
      </c>
      <c r="R282">
        <v>6.7</v>
      </c>
      <c r="S282" t="s">
        <v>152</v>
      </c>
      <c r="T282">
        <v>1</v>
      </c>
      <c r="U282" t="s">
        <v>153</v>
      </c>
      <c r="V282">
        <v>4</v>
      </c>
      <c r="W282" t="s">
        <v>151</v>
      </c>
      <c r="X282">
        <v>1331</v>
      </c>
      <c r="Y282" t="s">
        <v>1</v>
      </c>
      <c r="Z282" t="s">
        <v>164</v>
      </c>
      <c r="AA282" t="s">
        <v>5</v>
      </c>
      <c r="AB282">
        <v>1</v>
      </c>
      <c r="AC282" t="s">
        <v>4</v>
      </c>
      <c r="AD282">
        <v>0</v>
      </c>
    </row>
    <row r="283" spans="1:30" x14ac:dyDescent="0.25">
      <c r="A283" t="str">
        <f t="shared" si="4"/>
        <v>feynman_II_38_3_860</v>
      </c>
      <c r="B283" t="s">
        <v>101</v>
      </c>
      <c r="C283" t="s">
        <v>189</v>
      </c>
      <c r="D283">
        <v>7200</v>
      </c>
      <c r="E283" t="s">
        <v>190</v>
      </c>
      <c r="F283">
        <v>1000000</v>
      </c>
      <c r="G283" t="s">
        <v>191</v>
      </c>
      <c r="H283">
        <v>860</v>
      </c>
      <c r="I283" t="s">
        <v>192</v>
      </c>
      <c r="J283">
        <v>1E-3</v>
      </c>
      <c r="K283" t="s">
        <v>3</v>
      </c>
      <c r="L283">
        <v>1</v>
      </c>
      <c r="M283" t="s">
        <v>2</v>
      </c>
      <c r="N283">
        <v>0</v>
      </c>
      <c r="O283" t="s">
        <v>17</v>
      </c>
      <c r="P283">
        <v>12</v>
      </c>
      <c r="Q283" t="s">
        <v>0</v>
      </c>
      <c r="R283">
        <v>7.9</v>
      </c>
      <c r="S283" t="s">
        <v>152</v>
      </c>
      <c r="T283">
        <v>1</v>
      </c>
      <c r="U283" t="s">
        <v>153</v>
      </c>
      <c r="V283">
        <v>4</v>
      </c>
      <c r="W283" t="s">
        <v>151</v>
      </c>
      <c r="X283">
        <v>1559</v>
      </c>
      <c r="Y283" t="s">
        <v>1</v>
      </c>
      <c r="Z283" t="s">
        <v>203</v>
      </c>
      <c r="AA283" t="s">
        <v>5</v>
      </c>
      <c r="AB283">
        <v>1</v>
      </c>
      <c r="AC283" t="s">
        <v>4</v>
      </c>
      <c r="AD283">
        <v>0</v>
      </c>
    </row>
    <row r="284" spans="1:30" x14ac:dyDescent="0.25">
      <c r="A284" t="str">
        <f t="shared" si="4"/>
        <v>feynman_I_18_4_15795</v>
      </c>
      <c r="B284" t="s">
        <v>85</v>
      </c>
      <c r="C284" t="s">
        <v>189</v>
      </c>
      <c r="D284">
        <v>7200</v>
      </c>
      <c r="E284" t="s">
        <v>190</v>
      </c>
      <c r="F284">
        <v>1000000</v>
      </c>
      <c r="G284" t="s">
        <v>191</v>
      </c>
      <c r="H284">
        <v>15795</v>
      </c>
      <c r="I284" t="s">
        <v>192</v>
      </c>
      <c r="J284">
        <v>1E-3</v>
      </c>
      <c r="K284" t="s">
        <v>3</v>
      </c>
      <c r="L284">
        <v>0.92343209999999998</v>
      </c>
      <c r="M284" t="s">
        <v>2</v>
      </c>
      <c r="N284">
        <v>0.23507349999999999</v>
      </c>
      <c r="O284" t="s">
        <v>17</v>
      </c>
      <c r="P284">
        <v>8</v>
      </c>
      <c r="Q284" t="s">
        <v>0</v>
      </c>
      <c r="R284">
        <v>2004.5</v>
      </c>
      <c r="S284" t="s">
        <v>152</v>
      </c>
      <c r="T284">
        <v>10</v>
      </c>
      <c r="U284" t="s">
        <v>153</v>
      </c>
      <c r="V284">
        <v>112</v>
      </c>
      <c r="W284" t="s">
        <v>151</v>
      </c>
      <c r="X284">
        <v>22493</v>
      </c>
      <c r="Y284" t="s">
        <v>1</v>
      </c>
      <c r="Z284" t="s">
        <v>555</v>
      </c>
      <c r="AA284" t="s">
        <v>5</v>
      </c>
      <c r="AB284">
        <v>0.92435389999999995</v>
      </c>
      <c r="AC284" t="s">
        <v>4</v>
      </c>
      <c r="AD284">
        <v>0.23400090000000001</v>
      </c>
    </row>
    <row r="285" spans="1:30" x14ac:dyDescent="0.25">
      <c r="A285" t="str">
        <f t="shared" si="4"/>
        <v>feynman_I_14_4_860</v>
      </c>
      <c r="B285" t="s">
        <v>41</v>
      </c>
      <c r="C285" t="s">
        <v>189</v>
      </c>
      <c r="D285">
        <v>7200</v>
      </c>
      <c r="E285" t="s">
        <v>190</v>
      </c>
      <c r="F285">
        <v>1000000</v>
      </c>
      <c r="G285" t="s">
        <v>191</v>
      </c>
      <c r="H285">
        <v>860</v>
      </c>
      <c r="I285" t="s">
        <v>192</v>
      </c>
      <c r="J285">
        <v>1E-3</v>
      </c>
      <c r="K285" t="s">
        <v>3</v>
      </c>
      <c r="L285">
        <v>1</v>
      </c>
      <c r="M285" t="s">
        <v>2</v>
      </c>
      <c r="N285">
        <v>0</v>
      </c>
      <c r="O285" t="s">
        <v>17</v>
      </c>
      <c r="P285">
        <v>8</v>
      </c>
      <c r="Q285" t="s">
        <v>0</v>
      </c>
      <c r="R285">
        <v>2.7</v>
      </c>
      <c r="S285" t="s">
        <v>152</v>
      </c>
      <c r="T285">
        <v>1</v>
      </c>
      <c r="U285" t="s">
        <v>153</v>
      </c>
      <c r="V285">
        <v>3</v>
      </c>
      <c r="W285" t="s">
        <v>151</v>
      </c>
      <c r="X285">
        <v>603</v>
      </c>
      <c r="Y285" t="s">
        <v>1</v>
      </c>
      <c r="Z285" t="s">
        <v>205</v>
      </c>
      <c r="AA285" t="s">
        <v>5</v>
      </c>
      <c r="AB285">
        <v>1</v>
      </c>
      <c r="AC285" t="s">
        <v>4</v>
      </c>
      <c r="AD285">
        <v>0</v>
      </c>
    </row>
    <row r="286" spans="1:30" x14ac:dyDescent="0.25">
      <c r="A286" t="str">
        <f t="shared" si="4"/>
        <v>feynman_II_34_2a_860</v>
      </c>
      <c r="B286" t="s">
        <v>66</v>
      </c>
      <c r="C286" t="s">
        <v>189</v>
      </c>
      <c r="D286">
        <v>7200</v>
      </c>
      <c r="E286" t="s">
        <v>190</v>
      </c>
      <c r="F286">
        <v>1000000</v>
      </c>
      <c r="G286" t="s">
        <v>191</v>
      </c>
      <c r="H286">
        <v>860</v>
      </c>
      <c r="I286" t="s">
        <v>192</v>
      </c>
      <c r="J286">
        <v>1E-3</v>
      </c>
      <c r="K286" t="s">
        <v>3</v>
      </c>
      <c r="L286">
        <v>1</v>
      </c>
      <c r="M286" t="s">
        <v>2</v>
      </c>
      <c r="N286">
        <v>0</v>
      </c>
      <c r="O286" t="s">
        <v>17</v>
      </c>
      <c r="P286">
        <v>10</v>
      </c>
      <c r="Q286" t="s">
        <v>0</v>
      </c>
      <c r="R286">
        <v>3.9</v>
      </c>
      <c r="S286" t="s">
        <v>152</v>
      </c>
      <c r="T286">
        <v>1</v>
      </c>
      <c r="U286" t="s">
        <v>153</v>
      </c>
      <c r="V286">
        <v>3</v>
      </c>
      <c r="W286" t="s">
        <v>151</v>
      </c>
      <c r="X286">
        <v>827</v>
      </c>
      <c r="Y286" t="s">
        <v>1</v>
      </c>
      <c r="Z286" t="s">
        <v>161</v>
      </c>
      <c r="AA286" t="s">
        <v>5</v>
      </c>
      <c r="AB286">
        <v>1</v>
      </c>
      <c r="AC286" t="s">
        <v>4</v>
      </c>
      <c r="AD286">
        <v>0</v>
      </c>
    </row>
    <row r="287" spans="1:30" x14ac:dyDescent="0.25">
      <c r="A287" t="str">
        <f t="shared" si="4"/>
        <v>feynman_III_21_20_860</v>
      </c>
      <c r="B287" t="s">
        <v>109</v>
      </c>
      <c r="C287" t="s">
        <v>189</v>
      </c>
      <c r="D287">
        <v>7200</v>
      </c>
      <c r="E287" t="s">
        <v>190</v>
      </c>
      <c r="F287">
        <v>1000000</v>
      </c>
      <c r="G287" t="s">
        <v>191</v>
      </c>
      <c r="H287">
        <v>860</v>
      </c>
      <c r="I287" t="s">
        <v>192</v>
      </c>
      <c r="J287">
        <v>1E-3</v>
      </c>
      <c r="K287" t="s">
        <v>3</v>
      </c>
      <c r="L287">
        <v>1</v>
      </c>
      <c r="M287" t="s">
        <v>2</v>
      </c>
      <c r="N287">
        <v>0</v>
      </c>
      <c r="O287" t="s">
        <v>17</v>
      </c>
      <c r="P287">
        <v>12</v>
      </c>
      <c r="Q287" t="s">
        <v>0</v>
      </c>
      <c r="R287">
        <v>7</v>
      </c>
      <c r="S287" t="s">
        <v>152</v>
      </c>
      <c r="T287">
        <v>1</v>
      </c>
      <c r="U287" t="s">
        <v>153</v>
      </c>
      <c r="V287">
        <v>4</v>
      </c>
      <c r="W287" t="s">
        <v>151</v>
      </c>
      <c r="X287">
        <v>1547</v>
      </c>
      <c r="Y287" t="s">
        <v>1</v>
      </c>
      <c r="Z287" t="s">
        <v>209</v>
      </c>
      <c r="AA287" t="s">
        <v>5</v>
      </c>
      <c r="AB287">
        <v>1</v>
      </c>
      <c r="AC287" t="s">
        <v>4</v>
      </c>
      <c r="AD287">
        <v>0</v>
      </c>
    </row>
    <row r="288" spans="1:30" x14ac:dyDescent="0.25">
      <c r="A288" t="str">
        <f t="shared" si="4"/>
        <v>strogatz_lv2_860</v>
      </c>
      <c r="B288" t="s">
        <v>27</v>
      </c>
      <c r="C288" t="s">
        <v>189</v>
      </c>
      <c r="D288">
        <v>7200</v>
      </c>
      <c r="E288" t="s">
        <v>190</v>
      </c>
      <c r="F288">
        <v>1000000</v>
      </c>
      <c r="G288" t="s">
        <v>191</v>
      </c>
      <c r="H288">
        <v>860</v>
      </c>
      <c r="I288" t="s">
        <v>192</v>
      </c>
      <c r="J288">
        <v>1E-3</v>
      </c>
      <c r="K288" t="s">
        <v>3</v>
      </c>
      <c r="L288">
        <v>1</v>
      </c>
      <c r="M288" t="s">
        <v>2</v>
      </c>
      <c r="N288">
        <v>0</v>
      </c>
      <c r="O288" t="s">
        <v>17</v>
      </c>
      <c r="P288">
        <v>16</v>
      </c>
      <c r="Q288" t="s">
        <v>0</v>
      </c>
      <c r="R288">
        <v>107.2</v>
      </c>
      <c r="S288" t="s">
        <v>152</v>
      </c>
      <c r="T288">
        <v>6</v>
      </c>
      <c r="U288" t="s">
        <v>153</v>
      </c>
      <c r="V288">
        <v>78</v>
      </c>
      <c r="W288" t="s">
        <v>151</v>
      </c>
      <c r="X288">
        <v>50092</v>
      </c>
      <c r="Y288" t="s">
        <v>1</v>
      </c>
      <c r="Z288" t="s">
        <v>429</v>
      </c>
      <c r="AA288" t="s">
        <v>5</v>
      </c>
      <c r="AB288">
        <v>1</v>
      </c>
      <c r="AC288" t="s">
        <v>4</v>
      </c>
      <c r="AD288">
        <v>0</v>
      </c>
    </row>
    <row r="289" spans="1:30" x14ac:dyDescent="0.25">
      <c r="A289" t="str">
        <f t="shared" si="4"/>
        <v>feynman_II_34_29b_860</v>
      </c>
      <c r="B289" t="s">
        <v>133</v>
      </c>
      <c r="C289" t="s">
        <v>189</v>
      </c>
      <c r="D289">
        <v>7200</v>
      </c>
      <c r="E289" t="s">
        <v>190</v>
      </c>
      <c r="F289">
        <v>1000000</v>
      </c>
      <c r="G289" t="s">
        <v>191</v>
      </c>
      <c r="H289">
        <v>860</v>
      </c>
      <c r="I289" t="s">
        <v>192</v>
      </c>
      <c r="J289">
        <v>1E-3</v>
      </c>
      <c r="K289" t="s">
        <v>3</v>
      </c>
      <c r="L289">
        <v>1</v>
      </c>
      <c r="M289" t="s">
        <v>2</v>
      </c>
      <c r="N289">
        <v>0</v>
      </c>
      <c r="O289" t="s">
        <v>17</v>
      </c>
      <c r="P289">
        <v>14</v>
      </c>
      <c r="Q289" t="s">
        <v>0</v>
      </c>
      <c r="R289">
        <v>13.3</v>
      </c>
      <c r="S289" t="s">
        <v>152</v>
      </c>
      <c r="T289">
        <v>1</v>
      </c>
      <c r="U289" t="s">
        <v>153</v>
      </c>
      <c r="V289">
        <v>5</v>
      </c>
      <c r="W289" t="s">
        <v>151</v>
      </c>
      <c r="X289">
        <v>2588</v>
      </c>
      <c r="Y289" t="s">
        <v>1</v>
      </c>
      <c r="Z289" t="s">
        <v>214</v>
      </c>
      <c r="AA289" t="s">
        <v>5</v>
      </c>
      <c r="AB289">
        <v>1</v>
      </c>
      <c r="AC289" t="s">
        <v>4</v>
      </c>
      <c r="AD289">
        <v>0</v>
      </c>
    </row>
    <row r="290" spans="1:30" x14ac:dyDescent="0.25">
      <c r="A290" t="str">
        <f t="shared" si="4"/>
        <v>feynman_I_11_19_860</v>
      </c>
      <c r="B290" t="s">
        <v>138</v>
      </c>
      <c r="C290" t="s">
        <v>189</v>
      </c>
      <c r="D290">
        <v>7200</v>
      </c>
      <c r="E290" t="s">
        <v>190</v>
      </c>
      <c r="F290">
        <v>1000000</v>
      </c>
      <c r="G290" t="s">
        <v>191</v>
      </c>
      <c r="H290">
        <v>860</v>
      </c>
      <c r="I290" t="s">
        <v>192</v>
      </c>
      <c r="J290">
        <v>1E-3</v>
      </c>
      <c r="K290" t="s">
        <v>3</v>
      </c>
      <c r="L290">
        <v>1</v>
      </c>
      <c r="M290" t="s">
        <v>2</v>
      </c>
      <c r="N290">
        <v>0</v>
      </c>
      <c r="O290" t="s">
        <v>17</v>
      </c>
      <c r="P290">
        <v>18</v>
      </c>
      <c r="Q290" t="s">
        <v>0</v>
      </c>
      <c r="R290">
        <v>18.100000000000001</v>
      </c>
      <c r="S290" t="s">
        <v>152</v>
      </c>
      <c r="T290">
        <v>1</v>
      </c>
      <c r="U290" t="s">
        <v>153</v>
      </c>
      <c r="V290">
        <v>6</v>
      </c>
      <c r="W290" t="s">
        <v>151</v>
      </c>
      <c r="X290">
        <v>3278</v>
      </c>
      <c r="Y290" t="s">
        <v>1</v>
      </c>
      <c r="Z290" t="s">
        <v>188</v>
      </c>
      <c r="AA290" t="s">
        <v>5</v>
      </c>
      <c r="AB290">
        <v>1</v>
      </c>
      <c r="AC290" t="s">
        <v>4</v>
      </c>
      <c r="AD290">
        <v>0</v>
      </c>
    </row>
    <row r="291" spans="1:30" x14ac:dyDescent="0.25">
      <c r="A291" t="str">
        <f t="shared" si="4"/>
        <v>feynman_I_24_6_860</v>
      </c>
      <c r="B291" t="s">
        <v>106</v>
      </c>
      <c r="C291" t="s">
        <v>189</v>
      </c>
      <c r="D291">
        <v>7200</v>
      </c>
      <c r="E291" t="s">
        <v>190</v>
      </c>
      <c r="F291">
        <v>1000000</v>
      </c>
      <c r="G291" t="s">
        <v>191</v>
      </c>
      <c r="H291">
        <v>860</v>
      </c>
      <c r="I291" t="s">
        <v>192</v>
      </c>
      <c r="J291">
        <v>1E-3</v>
      </c>
      <c r="K291" t="s">
        <v>3</v>
      </c>
      <c r="L291">
        <v>1</v>
      </c>
      <c r="M291" t="s">
        <v>2</v>
      </c>
      <c r="N291">
        <v>0</v>
      </c>
      <c r="O291" t="s">
        <v>17</v>
      </c>
      <c r="P291">
        <v>24</v>
      </c>
      <c r="Q291" t="s">
        <v>0</v>
      </c>
      <c r="R291">
        <v>43</v>
      </c>
      <c r="S291" t="s">
        <v>152</v>
      </c>
      <c r="T291">
        <v>1</v>
      </c>
      <c r="U291" t="s">
        <v>153</v>
      </c>
      <c r="V291">
        <v>8</v>
      </c>
      <c r="W291" t="s">
        <v>151</v>
      </c>
      <c r="X291">
        <v>6795</v>
      </c>
      <c r="Y291" t="s">
        <v>1</v>
      </c>
      <c r="Z291" t="s">
        <v>184</v>
      </c>
      <c r="AA291" t="s">
        <v>5</v>
      </c>
      <c r="AB291">
        <v>1</v>
      </c>
      <c r="AC291" t="s">
        <v>4</v>
      </c>
      <c r="AD291">
        <v>0</v>
      </c>
    </row>
    <row r="292" spans="1:30" x14ac:dyDescent="0.25">
      <c r="A292" t="str">
        <f t="shared" si="4"/>
        <v>feynman_III_19_51_860</v>
      </c>
      <c r="B292" t="s">
        <v>135</v>
      </c>
      <c r="C292" t="s">
        <v>189</v>
      </c>
      <c r="D292">
        <v>7200</v>
      </c>
      <c r="E292" t="s">
        <v>190</v>
      </c>
      <c r="F292">
        <v>1000000</v>
      </c>
      <c r="G292" t="s">
        <v>191</v>
      </c>
      <c r="H292">
        <v>860</v>
      </c>
      <c r="I292" t="s">
        <v>192</v>
      </c>
      <c r="J292">
        <v>1E-3</v>
      </c>
      <c r="K292" t="s">
        <v>3</v>
      </c>
      <c r="L292">
        <v>1</v>
      </c>
      <c r="M292" t="s">
        <v>2</v>
      </c>
      <c r="N292">
        <v>0</v>
      </c>
      <c r="O292" t="s">
        <v>17</v>
      </c>
      <c r="P292">
        <v>20</v>
      </c>
      <c r="Q292" t="s">
        <v>0</v>
      </c>
      <c r="R292">
        <v>32.6</v>
      </c>
      <c r="S292" t="s">
        <v>152</v>
      </c>
      <c r="T292">
        <v>1</v>
      </c>
      <c r="U292" t="s">
        <v>153</v>
      </c>
      <c r="V292">
        <v>7</v>
      </c>
      <c r="W292" t="s">
        <v>151</v>
      </c>
      <c r="X292">
        <v>6025</v>
      </c>
      <c r="Y292" t="s">
        <v>1</v>
      </c>
      <c r="Z292" t="s">
        <v>430</v>
      </c>
      <c r="AA292" t="s">
        <v>5</v>
      </c>
      <c r="AB292">
        <v>1</v>
      </c>
      <c r="AC292" t="s">
        <v>4</v>
      </c>
      <c r="AD292">
        <v>0</v>
      </c>
    </row>
    <row r="293" spans="1:30" x14ac:dyDescent="0.25">
      <c r="A293" t="str">
        <f t="shared" si="4"/>
        <v>feynman_III_15_12_860</v>
      </c>
      <c r="B293" t="s">
        <v>67</v>
      </c>
      <c r="C293" t="s">
        <v>189</v>
      </c>
      <c r="D293">
        <v>7200</v>
      </c>
      <c r="E293" t="s">
        <v>190</v>
      </c>
      <c r="F293">
        <v>1000000</v>
      </c>
      <c r="G293" t="s">
        <v>191</v>
      </c>
      <c r="H293">
        <v>860</v>
      </c>
      <c r="I293" t="s">
        <v>192</v>
      </c>
      <c r="J293">
        <v>1E-3</v>
      </c>
      <c r="K293" t="s">
        <v>3</v>
      </c>
      <c r="L293">
        <v>1</v>
      </c>
      <c r="M293" t="s">
        <v>2</v>
      </c>
      <c r="N293">
        <v>0</v>
      </c>
      <c r="O293" t="s">
        <v>17</v>
      </c>
      <c r="P293">
        <v>15</v>
      </c>
      <c r="Q293" t="s">
        <v>0</v>
      </c>
      <c r="R293">
        <v>221.7</v>
      </c>
      <c r="S293" t="s">
        <v>152</v>
      </c>
      <c r="T293">
        <v>6</v>
      </c>
      <c r="U293" t="s">
        <v>153</v>
      </c>
      <c r="V293">
        <v>76</v>
      </c>
      <c r="W293" t="s">
        <v>151</v>
      </c>
      <c r="X293">
        <v>38254</v>
      </c>
      <c r="Y293" t="s">
        <v>1</v>
      </c>
      <c r="Z293" t="s">
        <v>556</v>
      </c>
      <c r="AA293" t="s">
        <v>5</v>
      </c>
      <c r="AB293">
        <v>1</v>
      </c>
      <c r="AC293" t="s">
        <v>4</v>
      </c>
      <c r="AD293">
        <v>0</v>
      </c>
    </row>
    <row r="294" spans="1:30" x14ac:dyDescent="0.25">
      <c r="A294" t="str">
        <f t="shared" si="4"/>
        <v>feynman_I_32_5_860</v>
      </c>
      <c r="B294" t="s">
        <v>108</v>
      </c>
      <c r="C294" t="s">
        <v>189</v>
      </c>
      <c r="D294">
        <v>7200</v>
      </c>
      <c r="E294" t="s">
        <v>190</v>
      </c>
      <c r="F294">
        <v>1000000</v>
      </c>
      <c r="G294" t="s">
        <v>191</v>
      </c>
      <c r="H294">
        <v>860</v>
      </c>
      <c r="I294" t="s">
        <v>192</v>
      </c>
      <c r="J294">
        <v>1E-3</v>
      </c>
      <c r="K294" t="s">
        <v>3</v>
      </c>
      <c r="L294">
        <v>1</v>
      </c>
      <c r="M294" t="s">
        <v>2</v>
      </c>
      <c r="N294">
        <v>0</v>
      </c>
      <c r="O294" t="s">
        <v>17</v>
      </c>
      <c r="P294">
        <v>18</v>
      </c>
      <c r="Q294" t="s">
        <v>0</v>
      </c>
      <c r="R294">
        <v>486.7</v>
      </c>
      <c r="S294" t="s">
        <v>152</v>
      </c>
      <c r="T294">
        <v>4</v>
      </c>
      <c r="U294" t="s">
        <v>153</v>
      </c>
      <c r="V294">
        <v>65</v>
      </c>
      <c r="W294" t="s">
        <v>151</v>
      </c>
      <c r="X294">
        <v>83404</v>
      </c>
      <c r="Y294" t="s">
        <v>1</v>
      </c>
      <c r="Z294" t="s">
        <v>432</v>
      </c>
      <c r="AA294" t="s">
        <v>5</v>
      </c>
      <c r="AB294">
        <v>1</v>
      </c>
      <c r="AC294" t="s">
        <v>4</v>
      </c>
      <c r="AD294">
        <v>0</v>
      </c>
    </row>
    <row r="295" spans="1:30" x14ac:dyDescent="0.25">
      <c r="A295" t="str">
        <f t="shared" si="4"/>
        <v>feynman_I_18_14_860</v>
      </c>
      <c r="B295" t="s">
        <v>111</v>
      </c>
      <c r="C295" t="s">
        <v>189</v>
      </c>
      <c r="D295">
        <v>7200</v>
      </c>
      <c r="E295" t="s">
        <v>190</v>
      </c>
      <c r="F295">
        <v>1000000</v>
      </c>
      <c r="G295" t="s">
        <v>191</v>
      </c>
      <c r="H295">
        <v>860</v>
      </c>
      <c r="I295" t="s">
        <v>192</v>
      </c>
      <c r="J295">
        <v>1E-3</v>
      </c>
      <c r="K295" t="s">
        <v>3</v>
      </c>
      <c r="L295">
        <v>1</v>
      </c>
      <c r="M295" t="s">
        <v>2</v>
      </c>
      <c r="N295">
        <v>0</v>
      </c>
      <c r="O295" t="s">
        <v>17</v>
      </c>
      <c r="P295">
        <v>11</v>
      </c>
      <c r="Q295" t="s">
        <v>0</v>
      </c>
      <c r="R295">
        <v>7.9</v>
      </c>
      <c r="S295" t="s">
        <v>152</v>
      </c>
      <c r="T295">
        <v>1</v>
      </c>
      <c r="U295" t="s">
        <v>153</v>
      </c>
      <c r="V295">
        <v>5</v>
      </c>
      <c r="W295" t="s">
        <v>151</v>
      </c>
      <c r="X295">
        <v>1651</v>
      </c>
      <c r="Y295" t="s">
        <v>1</v>
      </c>
      <c r="Z295" t="s">
        <v>212</v>
      </c>
      <c r="AA295" t="s">
        <v>5</v>
      </c>
      <c r="AB295">
        <v>1</v>
      </c>
      <c r="AC295" t="s">
        <v>4</v>
      </c>
      <c r="AD295">
        <v>0</v>
      </c>
    </row>
    <row r="296" spans="1:30" x14ac:dyDescent="0.25">
      <c r="A296" t="str">
        <f t="shared" si="4"/>
        <v>feynman_II_6_15b_860</v>
      </c>
      <c r="B296" t="s">
        <v>115</v>
      </c>
      <c r="C296" t="s">
        <v>189</v>
      </c>
      <c r="D296">
        <v>7200</v>
      </c>
      <c r="E296" t="s">
        <v>190</v>
      </c>
      <c r="F296">
        <v>1000000</v>
      </c>
      <c r="G296" t="s">
        <v>191</v>
      </c>
      <c r="H296">
        <v>860</v>
      </c>
      <c r="I296" t="s">
        <v>192</v>
      </c>
      <c r="J296">
        <v>1E-3</v>
      </c>
      <c r="K296" t="s">
        <v>3</v>
      </c>
      <c r="L296">
        <v>0.99946480000000004</v>
      </c>
      <c r="M296" t="s">
        <v>2</v>
      </c>
      <c r="N296">
        <v>6.9340000000000005E-4</v>
      </c>
      <c r="O296" t="s">
        <v>17</v>
      </c>
      <c r="P296">
        <v>19</v>
      </c>
      <c r="Q296" t="s">
        <v>0</v>
      </c>
      <c r="R296">
        <v>6473.5</v>
      </c>
      <c r="S296" t="s">
        <v>152</v>
      </c>
      <c r="T296">
        <v>4</v>
      </c>
      <c r="U296" t="s">
        <v>153</v>
      </c>
      <c r="V296">
        <v>686</v>
      </c>
      <c r="W296" t="s">
        <v>151</v>
      </c>
      <c r="X296">
        <v>1000201</v>
      </c>
      <c r="Y296" t="s">
        <v>1</v>
      </c>
      <c r="Z296" t="s">
        <v>557</v>
      </c>
      <c r="AA296" t="s">
        <v>5</v>
      </c>
      <c r="AB296">
        <v>0.9994594</v>
      </c>
      <c r="AC296" t="s">
        <v>4</v>
      </c>
      <c r="AD296">
        <v>6.8320000000000002E-4</v>
      </c>
    </row>
    <row r="297" spans="1:30" x14ac:dyDescent="0.25">
      <c r="A297" t="str">
        <f t="shared" si="4"/>
        <v>feynman_test_1_860</v>
      </c>
      <c r="B297" t="s">
        <v>147</v>
      </c>
      <c r="C297" t="s">
        <v>189</v>
      </c>
      <c r="D297">
        <v>7200</v>
      </c>
      <c r="E297" t="s">
        <v>190</v>
      </c>
      <c r="F297">
        <v>1000000</v>
      </c>
      <c r="G297" t="s">
        <v>191</v>
      </c>
      <c r="H297">
        <v>860</v>
      </c>
      <c r="I297" t="s">
        <v>192</v>
      </c>
      <c r="J297">
        <v>1E-3</v>
      </c>
      <c r="K297" t="s">
        <v>3</v>
      </c>
      <c r="L297">
        <v>0.99999740000000004</v>
      </c>
      <c r="M297" t="s">
        <v>2</v>
      </c>
      <c r="N297">
        <v>1.9148499999999999E-2</v>
      </c>
      <c r="O297" t="s">
        <v>17</v>
      </c>
      <c r="P297">
        <v>95</v>
      </c>
      <c r="Q297" t="s">
        <v>0</v>
      </c>
      <c r="R297">
        <v>7201.9</v>
      </c>
      <c r="S297" t="s">
        <v>152</v>
      </c>
      <c r="T297">
        <v>5</v>
      </c>
      <c r="U297" t="s">
        <v>153</v>
      </c>
      <c r="V297">
        <v>158</v>
      </c>
      <c r="W297" t="s">
        <v>151</v>
      </c>
      <c r="X297">
        <v>758064</v>
      </c>
      <c r="Y297" t="s">
        <v>1</v>
      </c>
      <c r="Z297" t="s">
        <v>558</v>
      </c>
      <c r="AA297" t="s">
        <v>5</v>
      </c>
      <c r="AB297">
        <v>0.99999729999999998</v>
      </c>
      <c r="AC297" t="s">
        <v>4</v>
      </c>
      <c r="AD297">
        <v>1.8945699999999999E-2</v>
      </c>
    </row>
    <row r="298" spans="1:30" x14ac:dyDescent="0.25">
      <c r="A298" t="str">
        <f t="shared" si="4"/>
        <v>feynman_I_15_3t_15795</v>
      </c>
      <c r="B298" t="s">
        <v>92</v>
      </c>
      <c r="C298" t="s">
        <v>189</v>
      </c>
      <c r="D298">
        <v>7200</v>
      </c>
      <c r="E298" t="s">
        <v>190</v>
      </c>
      <c r="F298">
        <v>1000000</v>
      </c>
      <c r="G298" t="s">
        <v>191</v>
      </c>
      <c r="H298">
        <v>15795</v>
      </c>
      <c r="I298" t="s">
        <v>192</v>
      </c>
      <c r="J298">
        <v>1E-3</v>
      </c>
      <c r="K298" t="s">
        <v>3</v>
      </c>
      <c r="L298">
        <v>0.99994130000000003</v>
      </c>
      <c r="M298" t="s">
        <v>2</v>
      </c>
      <c r="N298">
        <v>9.2738999999999999E-3</v>
      </c>
      <c r="O298" t="s">
        <v>17</v>
      </c>
      <c r="P298">
        <v>28</v>
      </c>
      <c r="Q298" t="s">
        <v>0</v>
      </c>
      <c r="R298">
        <v>7201.6</v>
      </c>
      <c r="S298" t="s">
        <v>152</v>
      </c>
      <c r="T298">
        <v>10</v>
      </c>
      <c r="U298" t="s">
        <v>153</v>
      </c>
      <c r="V298">
        <v>704</v>
      </c>
      <c r="W298" t="s">
        <v>151</v>
      </c>
      <c r="X298">
        <v>706151</v>
      </c>
      <c r="Y298" t="s">
        <v>1</v>
      </c>
      <c r="Z298" t="s">
        <v>559</v>
      </c>
      <c r="AA298" t="s">
        <v>5</v>
      </c>
      <c r="AB298">
        <v>0.99994159999999999</v>
      </c>
      <c r="AC298" t="s">
        <v>4</v>
      </c>
      <c r="AD298">
        <v>9.2271000000000002E-3</v>
      </c>
    </row>
    <row r="299" spans="1:30" x14ac:dyDescent="0.25">
      <c r="A299" t="str">
        <f t="shared" si="4"/>
        <v>feynman_I_39_1_860</v>
      </c>
      <c r="B299" t="s">
        <v>39</v>
      </c>
      <c r="C299" t="s">
        <v>189</v>
      </c>
      <c r="D299">
        <v>7200</v>
      </c>
      <c r="E299" t="s">
        <v>190</v>
      </c>
      <c r="F299">
        <v>1000000</v>
      </c>
      <c r="G299" t="s">
        <v>191</v>
      </c>
      <c r="H299">
        <v>860</v>
      </c>
      <c r="I299" t="s">
        <v>192</v>
      </c>
      <c r="J299">
        <v>1E-3</v>
      </c>
      <c r="K299" t="s">
        <v>3</v>
      </c>
      <c r="L299">
        <v>1</v>
      </c>
      <c r="M299" t="s">
        <v>2</v>
      </c>
      <c r="N299">
        <v>0</v>
      </c>
      <c r="O299" t="s">
        <v>17</v>
      </c>
      <c r="P299">
        <v>6</v>
      </c>
      <c r="Q299" t="s">
        <v>0</v>
      </c>
      <c r="R299">
        <v>1.3</v>
      </c>
      <c r="S299" t="s">
        <v>152</v>
      </c>
      <c r="T299">
        <v>1</v>
      </c>
      <c r="U299" t="s">
        <v>153</v>
      </c>
      <c r="V299">
        <v>2</v>
      </c>
      <c r="W299" t="s">
        <v>151</v>
      </c>
      <c r="X299">
        <v>265</v>
      </c>
      <c r="Y299" t="s">
        <v>1</v>
      </c>
      <c r="Z299" t="s">
        <v>158</v>
      </c>
      <c r="AA299" t="s">
        <v>5</v>
      </c>
      <c r="AB299">
        <v>1</v>
      </c>
      <c r="AC299" t="s">
        <v>4</v>
      </c>
      <c r="AD299">
        <v>0</v>
      </c>
    </row>
    <row r="300" spans="1:30" x14ac:dyDescent="0.25">
      <c r="A300" t="str">
        <f t="shared" si="4"/>
        <v>feynman_I_43_31_860</v>
      </c>
      <c r="B300" t="s">
        <v>72</v>
      </c>
      <c r="C300" t="s">
        <v>189</v>
      </c>
      <c r="D300">
        <v>7200</v>
      </c>
      <c r="E300" t="s">
        <v>190</v>
      </c>
      <c r="F300">
        <v>1000000</v>
      </c>
      <c r="G300" t="s">
        <v>191</v>
      </c>
      <c r="H300">
        <v>860</v>
      </c>
      <c r="I300" t="s">
        <v>192</v>
      </c>
      <c r="J300">
        <v>1E-3</v>
      </c>
      <c r="K300" t="s">
        <v>3</v>
      </c>
      <c r="L300">
        <v>1</v>
      </c>
      <c r="M300" t="s">
        <v>2</v>
      </c>
      <c r="N300">
        <v>0</v>
      </c>
      <c r="O300" t="s">
        <v>17</v>
      </c>
      <c r="P300">
        <v>8</v>
      </c>
      <c r="Q300" t="s">
        <v>0</v>
      </c>
      <c r="R300">
        <v>3.1</v>
      </c>
      <c r="S300" t="s">
        <v>152</v>
      </c>
      <c r="T300">
        <v>1</v>
      </c>
      <c r="U300" t="s">
        <v>153</v>
      </c>
      <c r="V300">
        <v>3</v>
      </c>
      <c r="W300" t="s">
        <v>151</v>
      </c>
      <c r="X300">
        <v>660</v>
      </c>
      <c r="Y300" t="s">
        <v>1</v>
      </c>
      <c r="Z300" t="s">
        <v>207</v>
      </c>
      <c r="AA300" t="s">
        <v>5</v>
      </c>
      <c r="AB300">
        <v>1</v>
      </c>
      <c r="AC300" t="s">
        <v>4</v>
      </c>
      <c r="AD300">
        <v>0</v>
      </c>
    </row>
    <row r="301" spans="1:30" x14ac:dyDescent="0.25">
      <c r="A301" t="str">
        <f t="shared" si="4"/>
        <v>strogatz_glider1_860</v>
      </c>
      <c r="B301" t="s">
        <v>25</v>
      </c>
      <c r="C301" t="s">
        <v>189</v>
      </c>
      <c r="D301">
        <v>7200</v>
      </c>
      <c r="E301" t="s">
        <v>190</v>
      </c>
      <c r="F301">
        <v>1000000</v>
      </c>
      <c r="G301" t="s">
        <v>191</v>
      </c>
      <c r="H301">
        <v>860</v>
      </c>
      <c r="I301" t="s">
        <v>192</v>
      </c>
      <c r="J301">
        <v>1E-3</v>
      </c>
      <c r="K301" t="s">
        <v>3</v>
      </c>
      <c r="L301">
        <v>1</v>
      </c>
      <c r="M301" t="s">
        <v>2</v>
      </c>
      <c r="N301">
        <v>0</v>
      </c>
      <c r="O301" t="s">
        <v>17</v>
      </c>
      <c r="P301">
        <v>11</v>
      </c>
      <c r="Q301" t="s">
        <v>0</v>
      </c>
      <c r="R301">
        <v>1.9</v>
      </c>
      <c r="S301" t="s">
        <v>152</v>
      </c>
      <c r="T301">
        <v>1</v>
      </c>
      <c r="U301" t="s">
        <v>153</v>
      </c>
      <c r="V301">
        <v>6</v>
      </c>
      <c r="W301" t="s">
        <v>151</v>
      </c>
      <c r="X301">
        <v>1286</v>
      </c>
      <c r="Y301" t="s">
        <v>1</v>
      </c>
      <c r="Z301" t="s">
        <v>419</v>
      </c>
      <c r="AA301" t="s">
        <v>5</v>
      </c>
      <c r="AB301">
        <v>1</v>
      </c>
      <c r="AC301" t="s">
        <v>4</v>
      </c>
      <c r="AD301">
        <v>0</v>
      </c>
    </row>
    <row r="302" spans="1:30" x14ac:dyDescent="0.25">
      <c r="A302" t="str">
        <f t="shared" si="4"/>
        <v>feynman_I_47_23_860</v>
      </c>
      <c r="B302" t="s">
        <v>54</v>
      </c>
      <c r="C302" t="s">
        <v>189</v>
      </c>
      <c r="D302">
        <v>7200</v>
      </c>
      <c r="E302" t="s">
        <v>190</v>
      </c>
      <c r="F302">
        <v>1000000</v>
      </c>
      <c r="G302" t="s">
        <v>191</v>
      </c>
      <c r="H302">
        <v>860</v>
      </c>
      <c r="I302" t="s">
        <v>192</v>
      </c>
      <c r="J302">
        <v>1E-3</v>
      </c>
      <c r="K302" t="s">
        <v>3</v>
      </c>
      <c r="L302">
        <v>1</v>
      </c>
      <c r="M302" t="s">
        <v>2</v>
      </c>
      <c r="N302">
        <v>0</v>
      </c>
      <c r="O302" t="s">
        <v>17</v>
      </c>
      <c r="P302">
        <v>12</v>
      </c>
      <c r="Q302" t="s">
        <v>0</v>
      </c>
      <c r="R302">
        <v>9.3000000000000007</v>
      </c>
      <c r="S302" t="s">
        <v>152</v>
      </c>
      <c r="T302">
        <v>1</v>
      </c>
      <c r="U302" t="s">
        <v>153</v>
      </c>
      <c r="V302">
        <v>5</v>
      </c>
      <c r="W302" t="s">
        <v>151</v>
      </c>
      <c r="X302">
        <v>1795</v>
      </c>
      <c r="Y302" t="s">
        <v>1</v>
      </c>
      <c r="Z302" t="s">
        <v>422</v>
      </c>
      <c r="AA302" t="s">
        <v>5</v>
      </c>
      <c r="AB302">
        <v>1</v>
      </c>
      <c r="AC302" t="s">
        <v>4</v>
      </c>
      <c r="AD302">
        <v>0</v>
      </c>
    </row>
    <row r="303" spans="1:30" x14ac:dyDescent="0.25">
      <c r="A303" t="str">
        <f t="shared" si="4"/>
        <v>feynman_I_43_43_860</v>
      </c>
      <c r="B303" t="s">
        <v>90</v>
      </c>
      <c r="C303" t="s">
        <v>189</v>
      </c>
      <c r="D303">
        <v>7200</v>
      </c>
      <c r="E303" t="s">
        <v>190</v>
      </c>
      <c r="F303">
        <v>1000000</v>
      </c>
      <c r="G303" t="s">
        <v>191</v>
      </c>
      <c r="H303">
        <v>860</v>
      </c>
      <c r="I303" t="s">
        <v>192</v>
      </c>
      <c r="J303">
        <v>1E-3</v>
      </c>
      <c r="K303" t="s">
        <v>3</v>
      </c>
      <c r="L303">
        <v>1</v>
      </c>
      <c r="M303" t="s">
        <v>2</v>
      </c>
      <c r="N303">
        <v>0</v>
      </c>
      <c r="O303" t="s">
        <v>17</v>
      </c>
      <c r="P303">
        <v>16</v>
      </c>
      <c r="Q303" t="s">
        <v>0</v>
      </c>
      <c r="R303">
        <v>15.1</v>
      </c>
      <c r="S303" t="s">
        <v>152</v>
      </c>
      <c r="T303">
        <v>1</v>
      </c>
      <c r="U303" t="s">
        <v>153</v>
      </c>
      <c r="V303">
        <v>5</v>
      </c>
      <c r="W303" t="s">
        <v>151</v>
      </c>
      <c r="X303">
        <v>2868</v>
      </c>
      <c r="Y303" t="s">
        <v>1</v>
      </c>
      <c r="Z303" t="s">
        <v>560</v>
      </c>
      <c r="AA303" t="s">
        <v>5</v>
      </c>
      <c r="AB303">
        <v>1</v>
      </c>
      <c r="AC303" t="s">
        <v>4</v>
      </c>
      <c r="AD303">
        <v>0</v>
      </c>
    </row>
    <row r="304" spans="1:30" x14ac:dyDescent="0.25">
      <c r="A304" t="str">
        <f t="shared" si="4"/>
        <v>strogatz_glider2_860</v>
      </c>
      <c r="B304" t="s">
        <v>19</v>
      </c>
      <c r="C304" t="s">
        <v>189</v>
      </c>
      <c r="D304">
        <v>7200</v>
      </c>
      <c r="E304" t="s">
        <v>190</v>
      </c>
      <c r="F304">
        <v>1000000</v>
      </c>
      <c r="G304" t="s">
        <v>191</v>
      </c>
      <c r="H304">
        <v>860</v>
      </c>
      <c r="I304" t="s">
        <v>192</v>
      </c>
      <c r="J304">
        <v>1E-3</v>
      </c>
      <c r="K304" t="s">
        <v>3</v>
      </c>
      <c r="L304">
        <v>1</v>
      </c>
      <c r="M304" t="s">
        <v>2</v>
      </c>
      <c r="N304">
        <v>0</v>
      </c>
      <c r="O304" t="s">
        <v>17</v>
      </c>
      <c r="P304">
        <v>15</v>
      </c>
      <c r="Q304" t="s">
        <v>0</v>
      </c>
      <c r="R304">
        <v>37.299999999999997</v>
      </c>
      <c r="S304" t="s">
        <v>152</v>
      </c>
      <c r="T304">
        <v>6</v>
      </c>
      <c r="U304" t="s">
        <v>153</v>
      </c>
      <c r="V304">
        <v>36</v>
      </c>
      <c r="W304" t="s">
        <v>151</v>
      </c>
      <c r="X304">
        <v>18035</v>
      </c>
      <c r="Y304" t="s">
        <v>1</v>
      </c>
      <c r="Z304" t="s">
        <v>497</v>
      </c>
      <c r="AA304" t="s">
        <v>5</v>
      </c>
      <c r="AB304">
        <v>1</v>
      </c>
      <c r="AC304" t="s">
        <v>4</v>
      </c>
      <c r="AD304">
        <v>0</v>
      </c>
    </row>
    <row r="305" spans="1:30" x14ac:dyDescent="0.25">
      <c r="A305" t="str">
        <f t="shared" si="4"/>
        <v>feynman_test_3_15795</v>
      </c>
      <c r="B305" t="s">
        <v>86</v>
      </c>
      <c r="C305" t="s">
        <v>189</v>
      </c>
      <c r="D305">
        <v>7200</v>
      </c>
      <c r="E305" t="s">
        <v>190</v>
      </c>
      <c r="F305">
        <v>1000000</v>
      </c>
      <c r="G305" t="s">
        <v>191</v>
      </c>
      <c r="H305">
        <v>15795</v>
      </c>
      <c r="I305" t="s">
        <v>192</v>
      </c>
      <c r="J305">
        <v>1E-3</v>
      </c>
      <c r="K305" t="s">
        <v>3</v>
      </c>
      <c r="L305">
        <v>0.95013429999999999</v>
      </c>
      <c r="M305" t="s">
        <v>2</v>
      </c>
      <c r="N305">
        <v>0.41112569999999998</v>
      </c>
      <c r="O305" t="s">
        <v>17</v>
      </c>
      <c r="P305">
        <v>10</v>
      </c>
      <c r="Q305" t="s">
        <v>0</v>
      </c>
      <c r="R305">
        <v>7248.4</v>
      </c>
      <c r="S305" t="s">
        <v>152</v>
      </c>
      <c r="T305">
        <v>9</v>
      </c>
      <c r="U305" t="s">
        <v>153</v>
      </c>
      <c r="V305">
        <v>293</v>
      </c>
      <c r="W305" t="s">
        <v>151</v>
      </c>
      <c r="X305">
        <v>120208</v>
      </c>
      <c r="Y305" t="s">
        <v>1</v>
      </c>
      <c r="Z305" t="s">
        <v>561</v>
      </c>
      <c r="AA305" t="s">
        <v>5</v>
      </c>
      <c r="AB305">
        <v>0.95199619999999996</v>
      </c>
      <c r="AC305" t="s">
        <v>4</v>
      </c>
      <c r="AD305">
        <v>0.40316390000000002</v>
      </c>
    </row>
    <row r="306" spans="1:30" x14ac:dyDescent="0.25">
      <c r="A306" t="str">
        <f t="shared" si="4"/>
        <v>feynman_test_18_860</v>
      </c>
      <c r="B306" t="s">
        <v>123</v>
      </c>
      <c r="C306" t="s">
        <v>189</v>
      </c>
      <c r="D306">
        <v>7200</v>
      </c>
      <c r="E306" t="s">
        <v>190</v>
      </c>
      <c r="F306">
        <v>1000000</v>
      </c>
      <c r="G306" t="s">
        <v>191</v>
      </c>
      <c r="H306">
        <v>860</v>
      </c>
      <c r="I306" t="s">
        <v>192</v>
      </c>
      <c r="J306">
        <v>1E-3</v>
      </c>
      <c r="K306" t="s">
        <v>3</v>
      </c>
      <c r="L306">
        <v>1</v>
      </c>
      <c r="M306" t="s">
        <v>2</v>
      </c>
      <c r="N306">
        <v>0</v>
      </c>
      <c r="O306" t="s">
        <v>17</v>
      </c>
      <c r="P306">
        <v>26</v>
      </c>
      <c r="Q306" t="s">
        <v>0</v>
      </c>
      <c r="R306">
        <v>441.7</v>
      </c>
      <c r="S306" t="s">
        <v>152</v>
      </c>
      <c r="T306">
        <v>3</v>
      </c>
      <c r="U306" t="s">
        <v>153</v>
      </c>
      <c r="V306">
        <v>20</v>
      </c>
      <c r="W306" t="s">
        <v>151</v>
      </c>
      <c r="X306">
        <v>52004</v>
      </c>
      <c r="Y306" t="s">
        <v>1</v>
      </c>
      <c r="Z306" t="s">
        <v>179</v>
      </c>
      <c r="AA306" t="s">
        <v>5</v>
      </c>
      <c r="AB306">
        <v>1</v>
      </c>
      <c r="AC306" t="s">
        <v>4</v>
      </c>
      <c r="AD306">
        <v>0</v>
      </c>
    </row>
    <row r="307" spans="1:30" x14ac:dyDescent="0.25">
      <c r="A307" t="str">
        <f t="shared" si="4"/>
        <v>feynman_test_8_15795</v>
      </c>
      <c r="B307" t="s">
        <v>87</v>
      </c>
      <c r="C307" t="s">
        <v>189</v>
      </c>
      <c r="D307">
        <v>7200</v>
      </c>
      <c r="E307" t="s">
        <v>190</v>
      </c>
      <c r="F307">
        <v>1000000</v>
      </c>
      <c r="G307" t="s">
        <v>191</v>
      </c>
      <c r="H307">
        <v>15795</v>
      </c>
      <c r="I307" t="s">
        <v>192</v>
      </c>
      <c r="J307">
        <v>1E-3</v>
      </c>
      <c r="K307" t="s">
        <v>3</v>
      </c>
      <c r="L307">
        <v>0.99577510000000002</v>
      </c>
      <c r="M307" t="s">
        <v>2</v>
      </c>
      <c r="N307">
        <v>2.92351E-2</v>
      </c>
      <c r="O307" t="s">
        <v>17</v>
      </c>
      <c r="P307">
        <v>35</v>
      </c>
      <c r="Q307" t="s">
        <v>0</v>
      </c>
      <c r="R307">
        <v>7200.1</v>
      </c>
      <c r="S307" t="s">
        <v>152</v>
      </c>
      <c r="T307">
        <v>15</v>
      </c>
      <c r="U307" t="s">
        <v>153</v>
      </c>
      <c r="V307">
        <v>574</v>
      </c>
      <c r="W307" t="s">
        <v>151</v>
      </c>
      <c r="X307">
        <v>950245</v>
      </c>
      <c r="Y307" t="s">
        <v>1</v>
      </c>
      <c r="Z307" t="s">
        <v>562</v>
      </c>
      <c r="AA307" t="s">
        <v>5</v>
      </c>
      <c r="AB307">
        <v>0.99575610000000003</v>
      </c>
      <c r="AC307" t="s">
        <v>4</v>
      </c>
      <c r="AD307">
        <v>2.9308600000000001E-2</v>
      </c>
    </row>
    <row r="308" spans="1:30" x14ac:dyDescent="0.25">
      <c r="A308" t="str">
        <f t="shared" si="4"/>
        <v>feynman_I_12_11_860</v>
      </c>
      <c r="B308" t="s">
        <v>130</v>
      </c>
      <c r="C308" t="s">
        <v>189</v>
      </c>
      <c r="D308">
        <v>7200</v>
      </c>
      <c r="E308" t="s">
        <v>190</v>
      </c>
      <c r="F308">
        <v>1000000</v>
      </c>
      <c r="G308" t="s">
        <v>191</v>
      </c>
      <c r="H308">
        <v>860</v>
      </c>
      <c r="I308" t="s">
        <v>192</v>
      </c>
      <c r="J308">
        <v>1E-3</v>
      </c>
      <c r="K308" t="s">
        <v>3</v>
      </c>
      <c r="L308">
        <v>1</v>
      </c>
      <c r="M308" t="s">
        <v>2</v>
      </c>
      <c r="N308">
        <v>0</v>
      </c>
      <c r="O308" t="s">
        <v>17</v>
      </c>
      <c r="P308">
        <v>17</v>
      </c>
      <c r="Q308" t="s">
        <v>0</v>
      </c>
      <c r="R308">
        <v>21</v>
      </c>
      <c r="S308" t="s">
        <v>152</v>
      </c>
      <c r="T308">
        <v>1</v>
      </c>
      <c r="U308" t="s">
        <v>153</v>
      </c>
      <c r="V308">
        <v>7</v>
      </c>
      <c r="W308" t="s">
        <v>151</v>
      </c>
      <c r="X308">
        <v>4007</v>
      </c>
      <c r="Y308" t="s">
        <v>1</v>
      </c>
      <c r="Z308" t="s">
        <v>169</v>
      </c>
      <c r="AA308" t="s">
        <v>5</v>
      </c>
      <c r="AB308">
        <v>1</v>
      </c>
      <c r="AC308" t="s">
        <v>4</v>
      </c>
      <c r="AD308">
        <v>0</v>
      </c>
    </row>
    <row r="309" spans="1:30" x14ac:dyDescent="0.25">
      <c r="A309" t="str">
        <f t="shared" si="4"/>
        <v>feynman_I_10_7_15795</v>
      </c>
      <c r="B309" t="s">
        <v>57</v>
      </c>
      <c r="C309" t="s">
        <v>189</v>
      </c>
      <c r="D309">
        <v>7200</v>
      </c>
      <c r="E309" t="s">
        <v>190</v>
      </c>
      <c r="F309">
        <v>1000000</v>
      </c>
      <c r="G309" t="s">
        <v>191</v>
      </c>
      <c r="H309">
        <v>15795</v>
      </c>
      <c r="I309" t="s">
        <v>192</v>
      </c>
      <c r="J309">
        <v>1E-3</v>
      </c>
      <c r="K309" t="s">
        <v>3</v>
      </c>
      <c r="L309">
        <v>0.99999939999999998</v>
      </c>
      <c r="M309" t="s">
        <v>2</v>
      </c>
      <c r="N309">
        <v>9.2250000000000003E-4</v>
      </c>
      <c r="O309" t="s">
        <v>17</v>
      </c>
      <c r="P309">
        <v>22</v>
      </c>
      <c r="Q309" t="s">
        <v>0</v>
      </c>
      <c r="R309">
        <v>7203.7</v>
      </c>
      <c r="S309" t="s">
        <v>152</v>
      </c>
      <c r="T309">
        <v>8</v>
      </c>
      <c r="U309" t="s">
        <v>153</v>
      </c>
      <c r="V309">
        <v>882</v>
      </c>
      <c r="W309" t="s">
        <v>151</v>
      </c>
      <c r="X309">
        <v>589983</v>
      </c>
      <c r="Y309" t="s">
        <v>1</v>
      </c>
      <c r="Z309" t="s">
        <v>563</v>
      </c>
      <c r="AA309" t="s">
        <v>5</v>
      </c>
      <c r="AB309">
        <v>0.99999939999999998</v>
      </c>
      <c r="AC309" t="s">
        <v>4</v>
      </c>
      <c r="AD309">
        <v>9.1790000000000003E-4</v>
      </c>
    </row>
    <row r="310" spans="1:30" x14ac:dyDescent="0.25">
      <c r="A310" t="str">
        <f t="shared" si="4"/>
        <v>feynman_I_12_5_860</v>
      </c>
      <c r="B310" t="s">
        <v>36</v>
      </c>
      <c r="C310" t="s">
        <v>189</v>
      </c>
      <c r="D310">
        <v>7200</v>
      </c>
      <c r="E310" t="s">
        <v>190</v>
      </c>
      <c r="F310">
        <v>1000000</v>
      </c>
      <c r="G310" t="s">
        <v>191</v>
      </c>
      <c r="H310">
        <v>860</v>
      </c>
      <c r="I310" t="s">
        <v>192</v>
      </c>
      <c r="J310">
        <v>1E-3</v>
      </c>
      <c r="K310" t="s">
        <v>3</v>
      </c>
      <c r="L310">
        <v>1</v>
      </c>
      <c r="M310" t="s">
        <v>2</v>
      </c>
      <c r="N310">
        <v>0</v>
      </c>
      <c r="O310" t="s">
        <v>17</v>
      </c>
      <c r="P310">
        <v>6</v>
      </c>
      <c r="Q310" t="s">
        <v>0</v>
      </c>
      <c r="R310">
        <v>1.2</v>
      </c>
      <c r="S310" t="s">
        <v>152</v>
      </c>
      <c r="T310">
        <v>1</v>
      </c>
      <c r="U310" t="s">
        <v>153</v>
      </c>
      <c r="V310">
        <v>2</v>
      </c>
      <c r="W310" t="s">
        <v>151</v>
      </c>
      <c r="X310">
        <v>264</v>
      </c>
      <c r="Y310" t="s">
        <v>1</v>
      </c>
      <c r="Z310" t="s">
        <v>157</v>
      </c>
      <c r="AA310" t="s">
        <v>5</v>
      </c>
      <c r="AB310">
        <v>1</v>
      </c>
      <c r="AC310" t="s">
        <v>4</v>
      </c>
      <c r="AD310">
        <v>0</v>
      </c>
    </row>
    <row r="311" spans="1:30" x14ac:dyDescent="0.25">
      <c r="A311" t="str">
        <f t="shared" si="4"/>
        <v>feynman_II_3_24_860</v>
      </c>
      <c r="B311" t="s">
        <v>46</v>
      </c>
      <c r="C311" t="s">
        <v>189</v>
      </c>
      <c r="D311">
        <v>7200</v>
      </c>
      <c r="E311" t="s">
        <v>190</v>
      </c>
      <c r="F311">
        <v>1000000</v>
      </c>
      <c r="G311" t="s">
        <v>191</v>
      </c>
      <c r="H311">
        <v>860</v>
      </c>
      <c r="I311" t="s">
        <v>192</v>
      </c>
      <c r="J311">
        <v>1E-3</v>
      </c>
      <c r="K311" t="s">
        <v>3</v>
      </c>
      <c r="L311">
        <v>1</v>
      </c>
      <c r="M311" t="s">
        <v>2</v>
      </c>
      <c r="N311">
        <v>0</v>
      </c>
      <c r="O311" t="s">
        <v>17</v>
      </c>
      <c r="P311">
        <v>8</v>
      </c>
      <c r="Q311" t="s">
        <v>0</v>
      </c>
      <c r="R311">
        <v>3</v>
      </c>
      <c r="S311" t="s">
        <v>152</v>
      </c>
      <c r="T311">
        <v>1</v>
      </c>
      <c r="U311" t="s">
        <v>153</v>
      </c>
      <c r="V311">
        <v>3</v>
      </c>
      <c r="W311" t="s">
        <v>151</v>
      </c>
      <c r="X311">
        <v>693</v>
      </c>
      <c r="Y311" t="s">
        <v>1</v>
      </c>
      <c r="Z311" t="s">
        <v>418</v>
      </c>
      <c r="AA311" t="s">
        <v>5</v>
      </c>
      <c r="AB311">
        <v>1</v>
      </c>
      <c r="AC311" t="s">
        <v>4</v>
      </c>
      <c r="AD311">
        <v>0</v>
      </c>
    </row>
    <row r="312" spans="1:30" x14ac:dyDescent="0.25">
      <c r="A312" t="str">
        <f t="shared" si="4"/>
        <v>feynman_I_18_12_860</v>
      </c>
      <c r="B312" t="s">
        <v>78</v>
      </c>
      <c r="C312" t="s">
        <v>189</v>
      </c>
      <c r="D312">
        <v>7200</v>
      </c>
      <c r="E312" t="s">
        <v>190</v>
      </c>
      <c r="F312">
        <v>1000000</v>
      </c>
      <c r="G312" t="s">
        <v>191</v>
      </c>
      <c r="H312">
        <v>860</v>
      </c>
      <c r="I312" t="s">
        <v>192</v>
      </c>
      <c r="J312">
        <v>1E-3</v>
      </c>
      <c r="K312" t="s">
        <v>3</v>
      </c>
      <c r="L312">
        <v>1</v>
      </c>
      <c r="M312" t="s">
        <v>2</v>
      </c>
      <c r="N312">
        <v>0</v>
      </c>
      <c r="O312" t="s">
        <v>17</v>
      </c>
      <c r="P312">
        <v>9</v>
      </c>
      <c r="Q312" t="s">
        <v>0</v>
      </c>
      <c r="R312">
        <v>4.4000000000000004</v>
      </c>
      <c r="S312" t="s">
        <v>152</v>
      </c>
      <c r="T312">
        <v>1</v>
      </c>
      <c r="U312" t="s">
        <v>153</v>
      </c>
      <c r="V312">
        <v>4</v>
      </c>
      <c r="W312" t="s">
        <v>151</v>
      </c>
      <c r="X312">
        <v>925</v>
      </c>
      <c r="Y312" t="s">
        <v>1</v>
      </c>
      <c r="Z312" t="s">
        <v>186</v>
      </c>
      <c r="AA312" t="s">
        <v>5</v>
      </c>
      <c r="AB312">
        <v>1</v>
      </c>
      <c r="AC312" t="s">
        <v>4</v>
      </c>
      <c r="AD312">
        <v>0</v>
      </c>
    </row>
    <row r="313" spans="1:30" x14ac:dyDescent="0.25">
      <c r="A313" t="str">
        <f t="shared" si="4"/>
        <v>feynman_I_43_16_860</v>
      </c>
      <c r="B313" t="s">
        <v>100</v>
      </c>
      <c r="C313" t="s">
        <v>189</v>
      </c>
      <c r="D313">
        <v>7200</v>
      </c>
      <c r="E313" t="s">
        <v>190</v>
      </c>
      <c r="F313">
        <v>1000000</v>
      </c>
      <c r="G313" t="s">
        <v>191</v>
      </c>
      <c r="H313">
        <v>860</v>
      </c>
      <c r="I313" t="s">
        <v>192</v>
      </c>
      <c r="J313">
        <v>1E-3</v>
      </c>
      <c r="K313" t="s">
        <v>3</v>
      </c>
      <c r="L313">
        <v>1</v>
      </c>
      <c r="M313" t="s">
        <v>2</v>
      </c>
      <c r="N313">
        <v>0</v>
      </c>
      <c r="O313" t="s">
        <v>17</v>
      </c>
      <c r="P313">
        <v>12</v>
      </c>
      <c r="Q313" t="s">
        <v>0</v>
      </c>
      <c r="R313">
        <v>7.5</v>
      </c>
      <c r="S313" t="s">
        <v>152</v>
      </c>
      <c r="T313">
        <v>1</v>
      </c>
      <c r="U313" t="s">
        <v>153</v>
      </c>
      <c r="V313">
        <v>4</v>
      </c>
      <c r="W313" t="s">
        <v>151</v>
      </c>
      <c r="X313">
        <v>1559</v>
      </c>
      <c r="Y313" t="s">
        <v>1</v>
      </c>
      <c r="Z313" t="s">
        <v>177</v>
      </c>
      <c r="AA313" t="s">
        <v>5</v>
      </c>
      <c r="AB313">
        <v>1</v>
      </c>
      <c r="AC313" t="s">
        <v>4</v>
      </c>
      <c r="AD313">
        <v>0</v>
      </c>
    </row>
    <row r="314" spans="1:30" x14ac:dyDescent="0.25">
      <c r="A314" t="str">
        <f t="shared" si="4"/>
        <v>feynman_I_34_1_860</v>
      </c>
      <c r="B314" t="s">
        <v>52</v>
      </c>
      <c r="C314" t="s">
        <v>189</v>
      </c>
      <c r="D314">
        <v>7200</v>
      </c>
      <c r="E314" t="s">
        <v>190</v>
      </c>
      <c r="F314">
        <v>1000000</v>
      </c>
      <c r="G314" t="s">
        <v>191</v>
      </c>
      <c r="H314">
        <v>860</v>
      </c>
      <c r="I314" t="s">
        <v>192</v>
      </c>
      <c r="J314">
        <v>1E-3</v>
      </c>
      <c r="K314" t="s">
        <v>3</v>
      </c>
      <c r="L314">
        <v>1</v>
      </c>
      <c r="M314" t="s">
        <v>2</v>
      </c>
      <c r="N314">
        <v>0</v>
      </c>
      <c r="O314" t="s">
        <v>17</v>
      </c>
      <c r="P314">
        <v>18</v>
      </c>
      <c r="Q314" t="s">
        <v>0</v>
      </c>
      <c r="R314">
        <v>11.8</v>
      </c>
      <c r="S314" t="s">
        <v>152</v>
      </c>
      <c r="T314">
        <v>1</v>
      </c>
      <c r="U314" t="s">
        <v>153</v>
      </c>
      <c r="V314">
        <v>5</v>
      </c>
      <c r="W314" t="s">
        <v>151</v>
      </c>
      <c r="X314">
        <v>2131</v>
      </c>
      <c r="Y314" t="s">
        <v>1</v>
      </c>
      <c r="Z314" t="s">
        <v>235</v>
      </c>
      <c r="AA314" t="s">
        <v>5</v>
      </c>
      <c r="AB314">
        <v>1</v>
      </c>
      <c r="AC314" t="s">
        <v>4</v>
      </c>
      <c r="AD314">
        <v>0</v>
      </c>
    </row>
    <row r="315" spans="1:30" x14ac:dyDescent="0.25">
      <c r="A315" t="str">
        <f t="shared" si="4"/>
        <v>feynman_II_11_20_860</v>
      </c>
      <c r="B315" t="s">
        <v>122</v>
      </c>
      <c r="C315" t="s">
        <v>189</v>
      </c>
      <c r="D315">
        <v>7200</v>
      </c>
      <c r="E315" t="s">
        <v>190</v>
      </c>
      <c r="F315">
        <v>1000000</v>
      </c>
      <c r="G315" t="s">
        <v>191</v>
      </c>
      <c r="H315">
        <v>860</v>
      </c>
      <c r="I315" t="s">
        <v>192</v>
      </c>
      <c r="J315">
        <v>1E-3</v>
      </c>
      <c r="K315" t="s">
        <v>3</v>
      </c>
      <c r="L315">
        <v>1</v>
      </c>
      <c r="M315" t="s">
        <v>2</v>
      </c>
      <c r="N315">
        <v>0</v>
      </c>
      <c r="O315" t="s">
        <v>17</v>
      </c>
      <c r="P315">
        <v>18</v>
      </c>
      <c r="Q315" t="s">
        <v>0</v>
      </c>
      <c r="R315">
        <v>23.5</v>
      </c>
      <c r="S315" t="s">
        <v>152</v>
      </c>
      <c r="T315">
        <v>1</v>
      </c>
      <c r="U315" t="s">
        <v>153</v>
      </c>
      <c r="V315">
        <v>6</v>
      </c>
      <c r="W315" t="s">
        <v>151</v>
      </c>
      <c r="X315">
        <v>4421</v>
      </c>
      <c r="Y315" t="s">
        <v>1</v>
      </c>
      <c r="Z315" t="s">
        <v>171</v>
      </c>
      <c r="AA315" t="s">
        <v>5</v>
      </c>
      <c r="AB315">
        <v>1</v>
      </c>
      <c r="AC315" t="s">
        <v>4</v>
      </c>
      <c r="AD315">
        <v>0</v>
      </c>
    </row>
    <row r="316" spans="1:30" x14ac:dyDescent="0.25">
      <c r="A316" t="str">
        <f t="shared" si="4"/>
        <v>strogatz_lv1_860</v>
      </c>
      <c r="B316" t="s">
        <v>29</v>
      </c>
      <c r="C316" t="s">
        <v>189</v>
      </c>
      <c r="D316">
        <v>7200</v>
      </c>
      <c r="E316" t="s">
        <v>190</v>
      </c>
      <c r="F316">
        <v>1000000</v>
      </c>
      <c r="G316" t="s">
        <v>191</v>
      </c>
      <c r="H316">
        <v>860</v>
      </c>
      <c r="I316" t="s">
        <v>192</v>
      </c>
      <c r="J316">
        <v>1E-3</v>
      </c>
      <c r="K316" t="s">
        <v>3</v>
      </c>
      <c r="L316">
        <v>1</v>
      </c>
      <c r="M316" t="s">
        <v>2</v>
      </c>
      <c r="N316">
        <v>0</v>
      </c>
      <c r="O316" t="s">
        <v>17</v>
      </c>
      <c r="P316">
        <v>16</v>
      </c>
      <c r="Q316" t="s">
        <v>0</v>
      </c>
      <c r="R316">
        <v>121.3</v>
      </c>
      <c r="S316" t="s">
        <v>152</v>
      </c>
      <c r="T316">
        <v>4</v>
      </c>
      <c r="U316" t="s">
        <v>153</v>
      </c>
      <c r="V316">
        <v>99</v>
      </c>
      <c r="W316" t="s">
        <v>151</v>
      </c>
      <c r="X316">
        <v>55201</v>
      </c>
      <c r="Y316" t="s">
        <v>1</v>
      </c>
      <c r="Z316" t="s">
        <v>564</v>
      </c>
      <c r="AA316" t="s">
        <v>5</v>
      </c>
      <c r="AB316">
        <v>1</v>
      </c>
      <c r="AC316" t="s">
        <v>4</v>
      </c>
      <c r="AD316">
        <v>0</v>
      </c>
    </row>
    <row r="317" spans="1:30" x14ac:dyDescent="0.25">
      <c r="A317" t="str">
        <f t="shared" si="4"/>
        <v>strogatz_vdp1_860</v>
      </c>
      <c r="B317" t="s">
        <v>30</v>
      </c>
      <c r="C317" t="s">
        <v>189</v>
      </c>
      <c r="D317">
        <v>7200</v>
      </c>
      <c r="E317" t="s">
        <v>190</v>
      </c>
      <c r="F317">
        <v>1000000</v>
      </c>
      <c r="G317" t="s">
        <v>191</v>
      </c>
      <c r="H317">
        <v>860</v>
      </c>
      <c r="I317" t="s">
        <v>192</v>
      </c>
      <c r="J317">
        <v>1E-3</v>
      </c>
      <c r="K317" t="s">
        <v>3</v>
      </c>
      <c r="L317">
        <v>1</v>
      </c>
      <c r="M317" t="s">
        <v>2</v>
      </c>
      <c r="N317">
        <v>0</v>
      </c>
      <c r="O317" t="s">
        <v>17</v>
      </c>
      <c r="P317">
        <v>14</v>
      </c>
      <c r="Q317" t="s">
        <v>0</v>
      </c>
      <c r="R317">
        <v>327.5</v>
      </c>
      <c r="S317" t="s">
        <v>152</v>
      </c>
      <c r="T317">
        <v>4</v>
      </c>
      <c r="U317" t="s">
        <v>153</v>
      </c>
      <c r="V317">
        <v>119</v>
      </c>
      <c r="W317" t="s">
        <v>151</v>
      </c>
      <c r="X317">
        <v>120502</v>
      </c>
      <c r="Y317" t="s">
        <v>1</v>
      </c>
      <c r="Z317" t="s">
        <v>565</v>
      </c>
      <c r="AA317" t="s">
        <v>5</v>
      </c>
      <c r="AB317">
        <v>1</v>
      </c>
      <c r="AC317" t="s">
        <v>4</v>
      </c>
      <c r="AD317">
        <v>0</v>
      </c>
    </row>
    <row r="318" spans="1:30" x14ac:dyDescent="0.25">
      <c r="A318" t="str">
        <f t="shared" si="4"/>
        <v>feynman_test_17_860</v>
      </c>
      <c r="B318" t="s">
        <v>145</v>
      </c>
      <c r="C318" t="s">
        <v>189</v>
      </c>
      <c r="D318">
        <v>7200</v>
      </c>
      <c r="E318" t="s">
        <v>190</v>
      </c>
      <c r="F318">
        <v>1000000</v>
      </c>
      <c r="G318" t="s">
        <v>191</v>
      </c>
      <c r="H318">
        <v>860</v>
      </c>
      <c r="I318" t="s">
        <v>192</v>
      </c>
      <c r="J318">
        <v>1E-3</v>
      </c>
      <c r="K318" t="s">
        <v>3</v>
      </c>
      <c r="L318">
        <v>1</v>
      </c>
      <c r="M318" t="s">
        <v>2</v>
      </c>
      <c r="N318">
        <v>4.9901300000000003E-2</v>
      </c>
      <c r="O318" t="s">
        <v>17</v>
      </c>
      <c r="P318">
        <v>57</v>
      </c>
      <c r="Q318" t="s">
        <v>0</v>
      </c>
      <c r="R318">
        <v>7201.5</v>
      </c>
      <c r="S318" t="s">
        <v>152</v>
      </c>
      <c r="T318">
        <v>3</v>
      </c>
      <c r="U318" t="s">
        <v>153</v>
      </c>
      <c r="V318">
        <v>214</v>
      </c>
      <c r="W318" t="s">
        <v>151</v>
      </c>
      <c r="X318">
        <v>804968</v>
      </c>
      <c r="Y318" t="s">
        <v>1</v>
      </c>
      <c r="Z318" t="s">
        <v>566</v>
      </c>
      <c r="AA318" t="s">
        <v>5</v>
      </c>
      <c r="AB318">
        <v>1</v>
      </c>
      <c r="AC318" t="s">
        <v>4</v>
      </c>
      <c r="AD318">
        <v>5.0035400000000001E-2</v>
      </c>
    </row>
    <row r="319" spans="1:30" x14ac:dyDescent="0.25">
      <c r="A319" t="str">
        <f t="shared" si="4"/>
        <v>feynman_I_27_6_860</v>
      </c>
      <c r="B319" t="s">
        <v>60</v>
      </c>
      <c r="C319" t="s">
        <v>189</v>
      </c>
      <c r="D319">
        <v>7200</v>
      </c>
      <c r="E319" t="s">
        <v>190</v>
      </c>
      <c r="F319">
        <v>1000000</v>
      </c>
      <c r="G319" t="s">
        <v>191</v>
      </c>
      <c r="H319">
        <v>860</v>
      </c>
      <c r="I319" t="s">
        <v>192</v>
      </c>
      <c r="J319">
        <v>1E-3</v>
      </c>
      <c r="K319" t="s">
        <v>3</v>
      </c>
      <c r="L319">
        <v>1</v>
      </c>
      <c r="M319" t="s">
        <v>2</v>
      </c>
      <c r="N319">
        <v>0</v>
      </c>
      <c r="O319" t="s">
        <v>17</v>
      </c>
      <c r="P319">
        <v>14</v>
      </c>
      <c r="Q319" t="s">
        <v>0</v>
      </c>
      <c r="R319">
        <v>16.3</v>
      </c>
      <c r="S319" t="s">
        <v>152</v>
      </c>
      <c r="T319">
        <v>1</v>
      </c>
      <c r="U319" t="s">
        <v>153</v>
      </c>
      <c r="V319">
        <v>5</v>
      </c>
      <c r="W319" t="s">
        <v>151</v>
      </c>
      <c r="X319">
        <v>2891</v>
      </c>
      <c r="Y319" t="s">
        <v>1</v>
      </c>
      <c r="Z319" t="s">
        <v>278</v>
      </c>
      <c r="AA319" t="s">
        <v>5</v>
      </c>
      <c r="AB319">
        <v>1</v>
      </c>
      <c r="AC319" t="s">
        <v>4</v>
      </c>
      <c r="AD319">
        <v>0</v>
      </c>
    </row>
    <row r="320" spans="1:30" x14ac:dyDescent="0.25">
      <c r="A320" t="str">
        <f t="shared" si="4"/>
        <v>strogatz_bacres2_860</v>
      </c>
      <c r="B320" t="s">
        <v>22</v>
      </c>
      <c r="C320" t="s">
        <v>189</v>
      </c>
      <c r="D320">
        <v>7200</v>
      </c>
      <c r="E320" t="s">
        <v>190</v>
      </c>
      <c r="F320">
        <v>1000000</v>
      </c>
      <c r="G320" t="s">
        <v>191</v>
      </c>
      <c r="H320">
        <v>860</v>
      </c>
      <c r="I320" t="s">
        <v>192</v>
      </c>
      <c r="J320">
        <v>1E-3</v>
      </c>
      <c r="K320" t="s">
        <v>3</v>
      </c>
      <c r="L320">
        <v>0.99985679999999999</v>
      </c>
      <c r="M320" t="s">
        <v>2</v>
      </c>
      <c r="N320">
        <v>2.5842299999999999E-2</v>
      </c>
      <c r="O320" t="s">
        <v>17</v>
      </c>
      <c r="P320">
        <v>12</v>
      </c>
      <c r="Q320" t="s">
        <v>0</v>
      </c>
      <c r="R320">
        <v>430.6</v>
      </c>
      <c r="S320" t="s">
        <v>152</v>
      </c>
      <c r="T320">
        <v>3</v>
      </c>
      <c r="U320" t="s">
        <v>153</v>
      </c>
      <c r="V320">
        <v>426</v>
      </c>
      <c r="W320" t="s">
        <v>151</v>
      </c>
      <c r="X320">
        <v>200032</v>
      </c>
      <c r="Y320" t="s">
        <v>1</v>
      </c>
      <c r="Z320" t="s">
        <v>567</v>
      </c>
      <c r="AA320" t="s">
        <v>5</v>
      </c>
      <c r="AB320">
        <v>0.99999629999999995</v>
      </c>
      <c r="AC320" t="s">
        <v>4</v>
      </c>
      <c r="AD320">
        <v>4.2472999999999999E-3</v>
      </c>
    </row>
    <row r="321" spans="1:30" x14ac:dyDescent="0.25">
      <c r="A321" t="str">
        <f t="shared" si="4"/>
        <v>feynman_I_40_1_860</v>
      </c>
      <c r="B321" t="s">
        <v>144</v>
      </c>
      <c r="C321" t="s">
        <v>189</v>
      </c>
      <c r="D321">
        <v>7200</v>
      </c>
      <c r="E321" t="s">
        <v>190</v>
      </c>
      <c r="F321">
        <v>1000000</v>
      </c>
      <c r="G321" t="s">
        <v>191</v>
      </c>
      <c r="H321">
        <v>860</v>
      </c>
      <c r="I321" t="s">
        <v>192</v>
      </c>
      <c r="J321">
        <v>1E-3</v>
      </c>
      <c r="K321" t="s">
        <v>3</v>
      </c>
      <c r="L321">
        <v>0.96473589999999998</v>
      </c>
      <c r="M321" t="s">
        <v>2</v>
      </c>
      <c r="N321">
        <v>0.1223426</v>
      </c>
      <c r="O321" t="s">
        <v>17</v>
      </c>
      <c r="P321">
        <v>31</v>
      </c>
      <c r="Q321" t="s">
        <v>0</v>
      </c>
      <c r="R321">
        <v>7215.9</v>
      </c>
      <c r="S321" t="s">
        <v>152</v>
      </c>
      <c r="T321">
        <v>8</v>
      </c>
      <c r="U321" t="s">
        <v>153</v>
      </c>
      <c r="V321">
        <v>274</v>
      </c>
      <c r="W321" t="s">
        <v>151</v>
      </c>
      <c r="X321">
        <v>371913</v>
      </c>
      <c r="Y321" t="s">
        <v>1</v>
      </c>
      <c r="Z321" t="s">
        <v>568</v>
      </c>
      <c r="AA321" t="s">
        <v>5</v>
      </c>
      <c r="AB321">
        <v>0.96627050000000003</v>
      </c>
      <c r="AC321" t="s">
        <v>4</v>
      </c>
      <c r="AD321">
        <v>0.120134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8D913-B484-4A0F-A106-987FDAAE6FC8}">
  <dimension ref="A1:CH418"/>
  <sheetViews>
    <sheetView tabSelected="1" topLeftCell="H391" workbookViewId="0">
      <selection activeCell="T409" sqref="T409"/>
    </sheetView>
  </sheetViews>
  <sheetFormatPr defaultRowHeight="15" x14ac:dyDescent="0.25"/>
  <cols>
    <col min="1" max="1" width="19.5703125" bestFit="1" customWidth="1"/>
    <col min="2" max="2" width="30" bestFit="1" customWidth="1"/>
  </cols>
  <sheetData>
    <row r="1" spans="1:34" x14ac:dyDescent="0.25">
      <c r="A1" t="str">
        <f>CONCATENATE(B1, "_", H1)</f>
        <v>strogatz_vdp2_23654</v>
      </c>
      <c r="B1" t="s">
        <v>18</v>
      </c>
      <c r="C1" t="s">
        <v>189</v>
      </c>
      <c r="D1">
        <v>7200</v>
      </c>
      <c r="E1" t="s">
        <v>190</v>
      </c>
      <c r="F1">
        <v>1000000</v>
      </c>
      <c r="G1" t="s">
        <v>191</v>
      </c>
      <c r="H1">
        <v>23654</v>
      </c>
      <c r="I1" t="s">
        <v>192</v>
      </c>
      <c r="J1">
        <v>1E-3</v>
      </c>
      <c r="K1" t="s">
        <v>3</v>
      </c>
      <c r="L1">
        <v>1</v>
      </c>
      <c r="M1" t="s">
        <v>2</v>
      </c>
      <c r="N1">
        <v>0</v>
      </c>
      <c r="O1" t="s">
        <v>17</v>
      </c>
      <c r="P1">
        <v>4</v>
      </c>
      <c r="Q1" t="s">
        <v>0</v>
      </c>
      <c r="R1">
        <v>0.2</v>
      </c>
      <c r="S1" t="s">
        <v>152</v>
      </c>
      <c r="T1">
        <v>1</v>
      </c>
      <c r="U1" t="s">
        <v>153</v>
      </c>
      <c r="V1">
        <v>2</v>
      </c>
      <c r="W1" t="s">
        <v>151</v>
      </c>
      <c r="X1">
        <v>162</v>
      </c>
      <c r="Y1" t="s">
        <v>1</v>
      </c>
      <c r="Z1" t="s">
        <v>837</v>
      </c>
      <c r="AA1" t="s">
        <v>838</v>
      </c>
      <c r="AB1" t="e" cm="1">
        <f t="array" ref="AB1">-0.1*x0</f>
        <v>#NAME?</v>
      </c>
      <c r="AC1" t="s">
        <v>5</v>
      </c>
      <c r="AD1">
        <v>1</v>
      </c>
      <c r="AE1" t="s">
        <v>4</v>
      </c>
      <c r="AF1">
        <v>0</v>
      </c>
    </row>
    <row r="2" spans="1:34" x14ac:dyDescent="0.25">
      <c r="A2" t="str">
        <f t="shared" ref="A2:A65" si="0">CONCATENATE(B2, "_", H2)</f>
        <v>strogatz_glider1_23654</v>
      </c>
      <c r="B2" t="s">
        <v>25</v>
      </c>
      <c r="C2" t="s">
        <v>189</v>
      </c>
      <c r="D2">
        <v>7200</v>
      </c>
      <c r="E2" t="s">
        <v>190</v>
      </c>
      <c r="F2">
        <v>1000000</v>
      </c>
      <c r="G2" t="s">
        <v>191</v>
      </c>
      <c r="H2">
        <v>23654</v>
      </c>
      <c r="I2" t="s">
        <v>192</v>
      </c>
      <c r="J2">
        <v>1E-3</v>
      </c>
      <c r="K2" t="s">
        <v>3</v>
      </c>
      <c r="L2">
        <v>1</v>
      </c>
      <c r="M2" t="s">
        <v>2</v>
      </c>
      <c r="N2">
        <v>0</v>
      </c>
      <c r="O2" t="s">
        <v>17</v>
      </c>
      <c r="P2">
        <v>11</v>
      </c>
      <c r="Q2" t="s">
        <v>0</v>
      </c>
      <c r="R2">
        <v>2.1</v>
      </c>
      <c r="S2" t="s">
        <v>152</v>
      </c>
      <c r="T2">
        <v>1</v>
      </c>
      <c r="U2" t="s">
        <v>153</v>
      </c>
      <c r="V2">
        <v>6</v>
      </c>
      <c r="W2" t="s">
        <v>151</v>
      </c>
      <c r="X2">
        <v>1392</v>
      </c>
      <c r="Y2" t="s">
        <v>1</v>
      </c>
      <c r="Z2" t="s">
        <v>839</v>
      </c>
      <c r="AA2" t="s">
        <v>838</v>
      </c>
      <c r="AB2" t="s">
        <v>840</v>
      </c>
      <c r="AC2" t="s">
        <v>569</v>
      </c>
      <c r="AD2" t="s">
        <v>570</v>
      </c>
      <c r="AE2" t="s">
        <v>5</v>
      </c>
      <c r="AF2">
        <v>1</v>
      </c>
      <c r="AG2" t="s">
        <v>4</v>
      </c>
      <c r="AH2">
        <v>0</v>
      </c>
    </row>
    <row r="3" spans="1:34" x14ac:dyDescent="0.25">
      <c r="A3" t="str">
        <f t="shared" si="0"/>
        <v>feynman_I_39_1_23654</v>
      </c>
      <c r="B3" t="s">
        <v>39</v>
      </c>
      <c r="C3" t="s">
        <v>189</v>
      </c>
      <c r="D3">
        <v>7200</v>
      </c>
      <c r="E3" t="s">
        <v>190</v>
      </c>
      <c r="F3">
        <v>1000000</v>
      </c>
      <c r="G3" t="s">
        <v>191</v>
      </c>
      <c r="H3">
        <v>23654</v>
      </c>
      <c r="I3" t="s">
        <v>192</v>
      </c>
      <c r="J3">
        <v>1E-3</v>
      </c>
      <c r="K3" t="s">
        <v>3</v>
      </c>
      <c r="L3">
        <v>1</v>
      </c>
      <c r="M3" t="s">
        <v>2</v>
      </c>
      <c r="N3">
        <v>0</v>
      </c>
      <c r="O3" t="s">
        <v>17</v>
      </c>
      <c r="P3">
        <v>6</v>
      </c>
      <c r="Q3" t="s">
        <v>0</v>
      </c>
      <c r="R3">
        <v>1.6</v>
      </c>
      <c r="S3" t="s">
        <v>152</v>
      </c>
      <c r="T3">
        <v>1</v>
      </c>
      <c r="U3" t="s">
        <v>153</v>
      </c>
      <c r="V3">
        <v>2</v>
      </c>
      <c r="W3" t="s">
        <v>151</v>
      </c>
      <c r="X3">
        <v>350</v>
      </c>
      <c r="Y3" t="s">
        <v>1</v>
      </c>
      <c r="Z3" t="s">
        <v>841</v>
      </c>
      <c r="AA3" t="s">
        <v>838</v>
      </c>
      <c r="AB3" t="s">
        <v>842</v>
      </c>
      <c r="AC3" t="s">
        <v>5</v>
      </c>
      <c r="AD3">
        <v>1</v>
      </c>
      <c r="AE3" t="s">
        <v>4</v>
      </c>
      <c r="AF3">
        <v>0</v>
      </c>
    </row>
    <row r="4" spans="1:34" x14ac:dyDescent="0.25">
      <c r="A4" t="str">
        <f t="shared" si="0"/>
        <v>feynman_III_12_43_23654</v>
      </c>
      <c r="B4" t="s">
        <v>33</v>
      </c>
      <c r="C4" t="s">
        <v>189</v>
      </c>
      <c r="D4">
        <v>7200</v>
      </c>
      <c r="E4" t="s">
        <v>190</v>
      </c>
      <c r="F4">
        <v>1000000</v>
      </c>
      <c r="G4" t="s">
        <v>191</v>
      </c>
      <c r="H4">
        <v>23654</v>
      </c>
      <c r="I4" t="s">
        <v>192</v>
      </c>
      <c r="J4">
        <v>1E-3</v>
      </c>
      <c r="K4" t="s">
        <v>3</v>
      </c>
      <c r="L4">
        <v>1</v>
      </c>
      <c r="M4" t="s">
        <v>2</v>
      </c>
      <c r="N4">
        <v>0</v>
      </c>
      <c r="O4" t="s">
        <v>17</v>
      </c>
      <c r="P4">
        <v>6</v>
      </c>
      <c r="Q4" t="s">
        <v>0</v>
      </c>
      <c r="R4">
        <v>1.7</v>
      </c>
      <c r="S4" t="s">
        <v>152</v>
      </c>
      <c r="T4">
        <v>1</v>
      </c>
      <c r="U4" t="s">
        <v>153</v>
      </c>
      <c r="V4">
        <v>2</v>
      </c>
      <c r="W4" t="s">
        <v>151</v>
      </c>
      <c r="X4">
        <v>350</v>
      </c>
      <c r="Y4" t="s">
        <v>1</v>
      </c>
      <c r="Z4" t="s">
        <v>843</v>
      </c>
      <c r="AA4" t="s">
        <v>838</v>
      </c>
      <c r="AB4" t="s">
        <v>844</v>
      </c>
      <c r="AC4" t="s">
        <v>5</v>
      </c>
      <c r="AD4">
        <v>1</v>
      </c>
      <c r="AE4" t="s">
        <v>4</v>
      </c>
      <c r="AF4">
        <v>0</v>
      </c>
    </row>
    <row r="5" spans="1:34" x14ac:dyDescent="0.25">
      <c r="A5" t="str">
        <f t="shared" si="0"/>
        <v>feynman_I_12_1_23654</v>
      </c>
      <c r="B5" t="s">
        <v>37</v>
      </c>
      <c r="C5" t="s">
        <v>189</v>
      </c>
      <c r="D5">
        <v>7200</v>
      </c>
      <c r="E5" t="s">
        <v>190</v>
      </c>
      <c r="F5">
        <v>1000000</v>
      </c>
      <c r="G5" t="s">
        <v>191</v>
      </c>
      <c r="H5">
        <v>23654</v>
      </c>
      <c r="I5" t="s">
        <v>192</v>
      </c>
      <c r="J5">
        <v>1E-3</v>
      </c>
      <c r="K5" t="s">
        <v>3</v>
      </c>
      <c r="L5">
        <v>1</v>
      </c>
      <c r="M5" t="s">
        <v>2</v>
      </c>
      <c r="N5">
        <v>0</v>
      </c>
      <c r="O5" t="s">
        <v>17</v>
      </c>
      <c r="P5">
        <v>6</v>
      </c>
      <c r="Q5" t="s">
        <v>0</v>
      </c>
      <c r="R5">
        <v>1.7</v>
      </c>
      <c r="S5" t="s">
        <v>152</v>
      </c>
      <c r="T5">
        <v>1</v>
      </c>
      <c r="U5" t="s">
        <v>153</v>
      </c>
      <c r="V5">
        <v>2</v>
      </c>
      <c r="W5" t="s">
        <v>151</v>
      </c>
      <c r="X5">
        <v>349</v>
      </c>
      <c r="Y5" t="s">
        <v>1</v>
      </c>
      <c r="Z5" t="s">
        <v>845</v>
      </c>
      <c r="AA5" t="s">
        <v>838</v>
      </c>
      <c r="AB5" t="s">
        <v>846</v>
      </c>
      <c r="AC5" t="s">
        <v>5</v>
      </c>
      <c r="AD5">
        <v>1</v>
      </c>
      <c r="AE5" t="s">
        <v>4</v>
      </c>
      <c r="AF5">
        <v>0</v>
      </c>
    </row>
    <row r="6" spans="1:34" x14ac:dyDescent="0.25">
      <c r="A6" t="str">
        <f t="shared" si="0"/>
        <v>feynman_I_12_5_23654</v>
      </c>
      <c r="B6" t="s">
        <v>36</v>
      </c>
      <c r="C6" t="s">
        <v>189</v>
      </c>
      <c r="D6">
        <v>7200</v>
      </c>
      <c r="E6" t="s">
        <v>190</v>
      </c>
      <c r="F6">
        <v>1000000</v>
      </c>
      <c r="G6" t="s">
        <v>191</v>
      </c>
      <c r="H6">
        <v>23654</v>
      </c>
      <c r="I6" t="s">
        <v>192</v>
      </c>
      <c r="J6">
        <v>1E-3</v>
      </c>
      <c r="K6" t="s">
        <v>3</v>
      </c>
      <c r="L6">
        <v>1</v>
      </c>
      <c r="M6" t="s">
        <v>2</v>
      </c>
      <c r="N6">
        <v>0</v>
      </c>
      <c r="O6" t="s">
        <v>17</v>
      </c>
      <c r="P6">
        <v>6</v>
      </c>
      <c r="Q6" t="s">
        <v>0</v>
      </c>
      <c r="R6">
        <v>1.7</v>
      </c>
      <c r="S6" t="s">
        <v>152</v>
      </c>
      <c r="T6">
        <v>1</v>
      </c>
      <c r="U6" t="s">
        <v>153</v>
      </c>
      <c r="V6">
        <v>2</v>
      </c>
      <c r="W6" t="s">
        <v>151</v>
      </c>
      <c r="X6">
        <v>349</v>
      </c>
      <c r="Y6" t="s">
        <v>1</v>
      </c>
      <c r="Z6" t="s">
        <v>845</v>
      </c>
      <c r="AA6" t="s">
        <v>838</v>
      </c>
      <c r="AB6" t="s">
        <v>846</v>
      </c>
      <c r="AC6" t="s">
        <v>5</v>
      </c>
      <c r="AD6">
        <v>1</v>
      </c>
      <c r="AE6" t="s">
        <v>4</v>
      </c>
      <c r="AF6">
        <v>0</v>
      </c>
    </row>
    <row r="7" spans="1:34" x14ac:dyDescent="0.25">
      <c r="A7" t="str">
        <f t="shared" si="0"/>
        <v>feynman_I_34_27_23654</v>
      </c>
      <c r="B7" t="s">
        <v>34</v>
      </c>
      <c r="C7" t="s">
        <v>189</v>
      </c>
      <c r="D7">
        <v>7200</v>
      </c>
      <c r="E7" t="s">
        <v>190</v>
      </c>
      <c r="F7">
        <v>1000000</v>
      </c>
      <c r="G7" t="s">
        <v>191</v>
      </c>
      <c r="H7">
        <v>23654</v>
      </c>
      <c r="I7" t="s">
        <v>192</v>
      </c>
      <c r="J7">
        <v>1E-3</v>
      </c>
      <c r="K7" t="s">
        <v>3</v>
      </c>
      <c r="L7">
        <v>1</v>
      </c>
      <c r="M7" t="s">
        <v>2</v>
      </c>
      <c r="N7">
        <v>0</v>
      </c>
      <c r="O7" t="s">
        <v>17</v>
      </c>
      <c r="P7">
        <v>6</v>
      </c>
      <c r="Q7" t="s">
        <v>0</v>
      </c>
      <c r="R7">
        <v>1.8</v>
      </c>
      <c r="S7" t="s">
        <v>152</v>
      </c>
      <c r="T7">
        <v>1</v>
      </c>
      <c r="U7" t="s">
        <v>153</v>
      </c>
      <c r="V7">
        <v>2</v>
      </c>
      <c r="W7" t="s">
        <v>151</v>
      </c>
      <c r="X7">
        <v>350</v>
      </c>
      <c r="Y7" t="s">
        <v>1</v>
      </c>
      <c r="Z7" t="s">
        <v>843</v>
      </c>
      <c r="AA7" t="s">
        <v>838</v>
      </c>
      <c r="AB7" t="s">
        <v>844</v>
      </c>
      <c r="AC7" t="s">
        <v>5</v>
      </c>
      <c r="AD7">
        <v>1</v>
      </c>
      <c r="AE7" t="s">
        <v>4</v>
      </c>
      <c r="AF7">
        <v>0</v>
      </c>
    </row>
    <row r="8" spans="1:34" x14ac:dyDescent="0.25">
      <c r="A8" t="str">
        <f t="shared" si="0"/>
        <v>feynman_I_25_13_23654</v>
      </c>
      <c r="B8" t="s">
        <v>35</v>
      </c>
      <c r="C8" t="s">
        <v>189</v>
      </c>
      <c r="D8">
        <v>7200</v>
      </c>
      <c r="E8" t="s">
        <v>190</v>
      </c>
      <c r="F8">
        <v>1000000</v>
      </c>
      <c r="G8" t="s">
        <v>191</v>
      </c>
      <c r="H8">
        <v>23654</v>
      </c>
      <c r="I8" t="s">
        <v>192</v>
      </c>
      <c r="J8">
        <v>1E-3</v>
      </c>
      <c r="K8" t="s">
        <v>3</v>
      </c>
      <c r="L8">
        <v>1</v>
      </c>
      <c r="M8" t="s">
        <v>2</v>
      </c>
      <c r="N8">
        <v>0</v>
      </c>
      <c r="O8" t="s">
        <v>17</v>
      </c>
      <c r="P8">
        <v>8</v>
      </c>
      <c r="Q8" t="s">
        <v>0</v>
      </c>
      <c r="R8">
        <v>2.2000000000000002</v>
      </c>
      <c r="S8" t="s">
        <v>152</v>
      </c>
      <c r="T8">
        <v>1</v>
      </c>
      <c r="U8" t="s">
        <v>153</v>
      </c>
      <c r="V8">
        <v>2</v>
      </c>
      <c r="W8" t="s">
        <v>151</v>
      </c>
      <c r="X8">
        <v>445</v>
      </c>
      <c r="Y8" t="s">
        <v>1</v>
      </c>
      <c r="Z8" t="s">
        <v>847</v>
      </c>
      <c r="AA8" t="s">
        <v>838</v>
      </c>
      <c r="AB8" t="s">
        <v>848</v>
      </c>
      <c r="AC8" t="s">
        <v>5</v>
      </c>
      <c r="AD8">
        <v>1</v>
      </c>
      <c r="AE8" t="s">
        <v>4</v>
      </c>
      <c r="AF8">
        <v>0</v>
      </c>
    </row>
    <row r="9" spans="1:34" x14ac:dyDescent="0.25">
      <c r="A9" t="str">
        <f t="shared" si="0"/>
        <v>feynman_I_29_4_23654</v>
      </c>
      <c r="B9" t="s">
        <v>38</v>
      </c>
      <c r="C9" t="s">
        <v>189</v>
      </c>
      <c r="D9">
        <v>7200</v>
      </c>
      <c r="E9" t="s">
        <v>190</v>
      </c>
      <c r="F9">
        <v>1000000</v>
      </c>
      <c r="G9" t="s">
        <v>191</v>
      </c>
      <c r="H9">
        <v>23654</v>
      </c>
      <c r="I9" t="s">
        <v>192</v>
      </c>
      <c r="J9">
        <v>1E-3</v>
      </c>
      <c r="K9" t="s">
        <v>3</v>
      </c>
      <c r="L9">
        <v>1</v>
      </c>
      <c r="M9" t="s">
        <v>2</v>
      </c>
      <c r="N9">
        <v>0</v>
      </c>
      <c r="O9" t="s">
        <v>17</v>
      </c>
      <c r="P9">
        <v>8</v>
      </c>
      <c r="Q9" t="s">
        <v>0</v>
      </c>
      <c r="R9">
        <v>2.4</v>
      </c>
      <c r="S9" t="s">
        <v>152</v>
      </c>
      <c r="T9">
        <v>1</v>
      </c>
      <c r="U9" t="s">
        <v>153</v>
      </c>
      <c r="V9">
        <v>2</v>
      </c>
      <c r="W9" t="s">
        <v>151</v>
      </c>
      <c r="X9">
        <v>445</v>
      </c>
      <c r="Y9" t="s">
        <v>1</v>
      </c>
      <c r="Z9" t="s">
        <v>847</v>
      </c>
      <c r="AA9" t="s">
        <v>838</v>
      </c>
      <c r="AB9" t="s">
        <v>848</v>
      </c>
      <c r="AC9" t="s">
        <v>5</v>
      </c>
      <c r="AD9">
        <v>1</v>
      </c>
      <c r="AE9" t="s">
        <v>4</v>
      </c>
      <c r="AF9">
        <v>0</v>
      </c>
    </row>
    <row r="10" spans="1:34" x14ac:dyDescent="0.25">
      <c r="A10" t="str">
        <f t="shared" si="0"/>
        <v>feynman_I_14_4_23654</v>
      </c>
      <c r="B10" t="s">
        <v>41</v>
      </c>
      <c r="C10" t="s">
        <v>189</v>
      </c>
      <c r="D10">
        <v>7200</v>
      </c>
      <c r="E10" t="s">
        <v>190</v>
      </c>
      <c r="F10">
        <v>1000000</v>
      </c>
      <c r="G10" t="s">
        <v>191</v>
      </c>
      <c r="H10">
        <v>23654</v>
      </c>
      <c r="I10" t="s">
        <v>192</v>
      </c>
      <c r="J10">
        <v>1E-3</v>
      </c>
      <c r="K10" t="s">
        <v>3</v>
      </c>
      <c r="L10">
        <v>1</v>
      </c>
      <c r="M10" t="s">
        <v>2</v>
      </c>
      <c r="N10">
        <v>0</v>
      </c>
      <c r="O10" t="s">
        <v>17</v>
      </c>
      <c r="P10">
        <v>8</v>
      </c>
      <c r="Q10" t="s">
        <v>0</v>
      </c>
      <c r="R10">
        <v>3</v>
      </c>
      <c r="S10" t="s">
        <v>152</v>
      </c>
      <c r="T10">
        <v>1</v>
      </c>
      <c r="U10" t="s">
        <v>153</v>
      </c>
      <c r="V10">
        <v>3</v>
      </c>
      <c r="W10" t="s">
        <v>151</v>
      </c>
      <c r="X10">
        <v>632</v>
      </c>
      <c r="Y10" t="s">
        <v>1</v>
      </c>
      <c r="Z10" t="s">
        <v>849</v>
      </c>
      <c r="AA10" t="s">
        <v>838</v>
      </c>
      <c r="AB10" t="s">
        <v>850</v>
      </c>
      <c r="AC10" t="s">
        <v>5</v>
      </c>
      <c r="AD10">
        <v>1</v>
      </c>
      <c r="AE10" t="s">
        <v>4</v>
      </c>
      <c r="AF10">
        <v>0</v>
      </c>
    </row>
    <row r="11" spans="1:34" x14ac:dyDescent="0.25">
      <c r="A11" t="str">
        <f t="shared" si="0"/>
        <v>feynman_II_8_31_23654</v>
      </c>
      <c r="B11" t="s">
        <v>42</v>
      </c>
      <c r="C11" t="s">
        <v>189</v>
      </c>
      <c r="D11">
        <v>7200</v>
      </c>
      <c r="E11" t="s">
        <v>190</v>
      </c>
      <c r="F11">
        <v>1000000</v>
      </c>
      <c r="G11" t="s">
        <v>191</v>
      </c>
      <c r="H11">
        <v>23654</v>
      </c>
      <c r="I11" t="s">
        <v>192</v>
      </c>
      <c r="J11">
        <v>1E-3</v>
      </c>
      <c r="K11" t="s">
        <v>3</v>
      </c>
      <c r="L11">
        <v>1</v>
      </c>
      <c r="M11" t="s">
        <v>2</v>
      </c>
      <c r="N11">
        <v>0</v>
      </c>
      <c r="O11" t="s">
        <v>17</v>
      </c>
      <c r="P11">
        <v>8</v>
      </c>
      <c r="Q11" t="s">
        <v>0</v>
      </c>
      <c r="R11">
        <v>3.4</v>
      </c>
      <c r="S11" t="s">
        <v>152</v>
      </c>
      <c r="T11">
        <v>1</v>
      </c>
      <c r="U11" t="s">
        <v>153</v>
      </c>
      <c r="V11">
        <v>3</v>
      </c>
      <c r="W11" t="s">
        <v>151</v>
      </c>
      <c r="X11">
        <v>632</v>
      </c>
      <c r="Y11" t="s">
        <v>1</v>
      </c>
      <c r="Z11" t="s">
        <v>849</v>
      </c>
      <c r="AA11" t="s">
        <v>838</v>
      </c>
      <c r="AB11" t="s">
        <v>850</v>
      </c>
      <c r="AC11" t="s">
        <v>5</v>
      </c>
      <c r="AD11">
        <v>1</v>
      </c>
      <c r="AE11" t="s">
        <v>4</v>
      </c>
      <c r="AF11">
        <v>0</v>
      </c>
    </row>
    <row r="12" spans="1:34" x14ac:dyDescent="0.25">
      <c r="A12" t="str">
        <f t="shared" si="0"/>
        <v>feynman_I_14_3_23654</v>
      </c>
      <c r="B12" t="s">
        <v>73</v>
      </c>
      <c r="C12" t="s">
        <v>189</v>
      </c>
      <c r="D12">
        <v>7200</v>
      </c>
      <c r="E12" t="s">
        <v>190</v>
      </c>
      <c r="F12">
        <v>1000000</v>
      </c>
      <c r="G12" t="s">
        <v>191</v>
      </c>
      <c r="H12">
        <v>23654</v>
      </c>
      <c r="I12" t="s">
        <v>192</v>
      </c>
      <c r="J12">
        <v>1E-3</v>
      </c>
      <c r="K12" t="s">
        <v>3</v>
      </c>
      <c r="L12">
        <v>1</v>
      </c>
      <c r="M12" t="s">
        <v>2</v>
      </c>
      <c r="N12">
        <v>0</v>
      </c>
      <c r="O12" t="s">
        <v>17</v>
      </c>
      <c r="P12">
        <v>8</v>
      </c>
      <c r="Q12" t="s">
        <v>0</v>
      </c>
      <c r="R12">
        <v>3.8</v>
      </c>
      <c r="S12" t="s">
        <v>152</v>
      </c>
      <c r="T12">
        <v>1</v>
      </c>
      <c r="U12" t="s">
        <v>153</v>
      </c>
      <c r="V12">
        <v>3</v>
      </c>
      <c r="W12" t="s">
        <v>151</v>
      </c>
      <c r="X12">
        <v>758</v>
      </c>
      <c r="Y12" t="s">
        <v>1</v>
      </c>
      <c r="Z12" t="s">
        <v>851</v>
      </c>
      <c r="AA12" t="s">
        <v>838</v>
      </c>
      <c r="AB12" t="s">
        <v>852</v>
      </c>
      <c r="AC12" t="s">
        <v>5</v>
      </c>
      <c r="AD12">
        <v>1</v>
      </c>
      <c r="AE12" t="s">
        <v>4</v>
      </c>
      <c r="AF12">
        <v>0</v>
      </c>
    </row>
    <row r="13" spans="1:34" x14ac:dyDescent="0.25">
      <c r="A13" t="str">
        <f t="shared" si="0"/>
        <v>feynman_II_27_18_23654</v>
      </c>
      <c r="B13" t="s">
        <v>43</v>
      </c>
      <c r="C13" t="s">
        <v>189</v>
      </c>
      <c r="D13">
        <v>7200</v>
      </c>
      <c r="E13" t="s">
        <v>190</v>
      </c>
      <c r="F13">
        <v>1000000</v>
      </c>
      <c r="G13" t="s">
        <v>191</v>
      </c>
      <c r="H13">
        <v>23654</v>
      </c>
      <c r="I13" t="s">
        <v>192</v>
      </c>
      <c r="J13">
        <v>1E-3</v>
      </c>
      <c r="K13" t="s">
        <v>3</v>
      </c>
      <c r="L13">
        <v>1</v>
      </c>
      <c r="M13" t="s">
        <v>2</v>
      </c>
      <c r="N13">
        <v>0</v>
      </c>
      <c r="O13" t="s">
        <v>17</v>
      </c>
      <c r="P13">
        <v>8</v>
      </c>
      <c r="Q13" t="s">
        <v>0</v>
      </c>
      <c r="R13">
        <v>3.6</v>
      </c>
      <c r="S13" t="s">
        <v>152</v>
      </c>
      <c r="T13">
        <v>1</v>
      </c>
      <c r="U13" t="s">
        <v>153</v>
      </c>
      <c r="V13">
        <v>3</v>
      </c>
      <c r="W13" t="s">
        <v>151</v>
      </c>
      <c r="X13">
        <v>701</v>
      </c>
      <c r="Y13" t="s">
        <v>1</v>
      </c>
      <c r="Z13" t="s">
        <v>853</v>
      </c>
      <c r="AA13" t="s">
        <v>838</v>
      </c>
      <c r="AB13" t="s">
        <v>854</v>
      </c>
      <c r="AC13" t="s">
        <v>5</v>
      </c>
      <c r="AD13">
        <v>1</v>
      </c>
      <c r="AE13" t="s">
        <v>4</v>
      </c>
      <c r="AF13">
        <v>0</v>
      </c>
    </row>
    <row r="14" spans="1:34" x14ac:dyDescent="0.25">
      <c r="A14" t="str">
        <f t="shared" si="0"/>
        <v>feynman_II_34_2_23654</v>
      </c>
      <c r="B14" t="s">
        <v>63</v>
      </c>
      <c r="C14" t="s">
        <v>189</v>
      </c>
      <c r="D14">
        <v>7200</v>
      </c>
      <c r="E14" t="s">
        <v>190</v>
      </c>
      <c r="F14">
        <v>1000000</v>
      </c>
      <c r="G14" t="s">
        <v>191</v>
      </c>
      <c r="H14">
        <v>23654</v>
      </c>
      <c r="I14" t="s">
        <v>192</v>
      </c>
      <c r="J14">
        <v>1E-3</v>
      </c>
      <c r="K14" t="s">
        <v>3</v>
      </c>
      <c r="L14">
        <v>1</v>
      </c>
      <c r="M14" t="s">
        <v>2</v>
      </c>
      <c r="N14">
        <v>0</v>
      </c>
      <c r="O14" t="s">
        <v>17</v>
      </c>
      <c r="P14">
        <v>8</v>
      </c>
      <c r="Q14" t="s">
        <v>0</v>
      </c>
      <c r="R14">
        <v>4</v>
      </c>
      <c r="S14" t="s">
        <v>152</v>
      </c>
      <c r="T14">
        <v>1</v>
      </c>
      <c r="U14" t="s">
        <v>153</v>
      </c>
      <c r="V14">
        <v>3</v>
      </c>
      <c r="W14" t="s">
        <v>151</v>
      </c>
      <c r="X14">
        <v>755</v>
      </c>
      <c r="Y14" t="s">
        <v>1</v>
      </c>
      <c r="Z14" t="s">
        <v>855</v>
      </c>
      <c r="AA14" t="s">
        <v>838</v>
      </c>
      <c r="AB14" t="s">
        <v>856</v>
      </c>
      <c r="AC14" t="s">
        <v>5</v>
      </c>
      <c r="AD14">
        <v>1</v>
      </c>
      <c r="AE14" t="s">
        <v>4</v>
      </c>
      <c r="AF14">
        <v>0</v>
      </c>
    </row>
    <row r="15" spans="1:34" x14ac:dyDescent="0.25">
      <c r="A15" t="str">
        <f t="shared" si="0"/>
        <v>feynman_I_43_31_23654</v>
      </c>
      <c r="B15" t="s">
        <v>72</v>
      </c>
      <c r="C15" t="s">
        <v>189</v>
      </c>
      <c r="D15">
        <v>7200</v>
      </c>
      <c r="E15" t="s">
        <v>190</v>
      </c>
      <c r="F15">
        <v>1000000</v>
      </c>
      <c r="G15" t="s">
        <v>191</v>
      </c>
      <c r="H15">
        <v>23654</v>
      </c>
      <c r="I15" t="s">
        <v>192</v>
      </c>
      <c r="J15">
        <v>1E-3</v>
      </c>
      <c r="K15" t="s">
        <v>3</v>
      </c>
      <c r="L15">
        <v>1</v>
      </c>
      <c r="M15" t="s">
        <v>2</v>
      </c>
      <c r="N15">
        <v>0</v>
      </c>
      <c r="O15" t="s">
        <v>17</v>
      </c>
      <c r="P15">
        <v>8</v>
      </c>
      <c r="Q15" t="s">
        <v>0</v>
      </c>
      <c r="R15">
        <v>3.9</v>
      </c>
      <c r="S15" t="s">
        <v>152</v>
      </c>
      <c r="T15">
        <v>1</v>
      </c>
      <c r="U15" t="s">
        <v>153</v>
      </c>
      <c r="V15">
        <v>3</v>
      </c>
      <c r="W15" t="s">
        <v>151</v>
      </c>
      <c r="X15">
        <v>758</v>
      </c>
      <c r="Y15" t="s">
        <v>1</v>
      </c>
      <c r="Z15" t="s">
        <v>851</v>
      </c>
      <c r="AA15" t="s">
        <v>838</v>
      </c>
      <c r="AB15" t="s">
        <v>852</v>
      </c>
      <c r="AC15" t="s">
        <v>5</v>
      </c>
      <c r="AD15">
        <v>1</v>
      </c>
      <c r="AE15" t="s">
        <v>4</v>
      </c>
      <c r="AF15">
        <v>0</v>
      </c>
    </row>
    <row r="16" spans="1:34" x14ac:dyDescent="0.25">
      <c r="A16" t="str">
        <f t="shared" si="0"/>
        <v>feynman_II_3_24_23654</v>
      </c>
      <c r="B16" t="s">
        <v>46</v>
      </c>
      <c r="C16" t="s">
        <v>189</v>
      </c>
      <c r="D16">
        <v>7200</v>
      </c>
      <c r="E16" t="s">
        <v>190</v>
      </c>
      <c r="F16">
        <v>1000000</v>
      </c>
      <c r="G16" t="s">
        <v>191</v>
      </c>
      <c r="H16">
        <v>23654</v>
      </c>
      <c r="I16" t="s">
        <v>192</v>
      </c>
      <c r="J16">
        <v>1E-3</v>
      </c>
      <c r="K16" t="s">
        <v>3</v>
      </c>
      <c r="L16">
        <v>1</v>
      </c>
      <c r="M16" t="s">
        <v>2</v>
      </c>
      <c r="N16">
        <v>0</v>
      </c>
      <c r="O16" t="s">
        <v>17</v>
      </c>
      <c r="P16">
        <v>8</v>
      </c>
      <c r="Q16" t="s">
        <v>0</v>
      </c>
      <c r="R16">
        <v>4</v>
      </c>
      <c r="S16" t="s">
        <v>152</v>
      </c>
      <c r="T16">
        <v>1</v>
      </c>
      <c r="U16" t="s">
        <v>153</v>
      </c>
      <c r="V16">
        <v>3</v>
      </c>
      <c r="W16" t="s">
        <v>151</v>
      </c>
      <c r="X16">
        <v>798</v>
      </c>
      <c r="Y16" t="s">
        <v>1</v>
      </c>
      <c r="Z16" t="s">
        <v>857</v>
      </c>
      <c r="AA16" t="s">
        <v>838</v>
      </c>
      <c r="AB16" t="s">
        <v>858</v>
      </c>
      <c r="AC16" t="s">
        <v>5</v>
      </c>
      <c r="AD16">
        <v>1</v>
      </c>
      <c r="AE16" t="s">
        <v>4</v>
      </c>
      <c r="AF16">
        <v>0</v>
      </c>
    </row>
    <row r="17" spans="1:34" x14ac:dyDescent="0.25">
      <c r="A17" t="str">
        <f t="shared" si="0"/>
        <v>feynman_II_34_29a_23654</v>
      </c>
      <c r="B17" t="s">
        <v>71</v>
      </c>
      <c r="C17" t="s">
        <v>189</v>
      </c>
      <c r="D17">
        <v>7200</v>
      </c>
      <c r="E17" t="s">
        <v>190</v>
      </c>
      <c r="F17">
        <v>1000000</v>
      </c>
      <c r="G17" t="s">
        <v>191</v>
      </c>
      <c r="H17">
        <v>23654</v>
      </c>
      <c r="I17" t="s">
        <v>192</v>
      </c>
      <c r="J17">
        <v>1E-3</v>
      </c>
      <c r="K17" t="s">
        <v>3</v>
      </c>
      <c r="L17">
        <v>1</v>
      </c>
      <c r="M17" t="s">
        <v>2</v>
      </c>
      <c r="N17">
        <v>0</v>
      </c>
      <c r="O17" t="s">
        <v>17</v>
      </c>
      <c r="P17">
        <v>10</v>
      </c>
      <c r="Q17" t="s">
        <v>0</v>
      </c>
      <c r="R17">
        <v>5</v>
      </c>
      <c r="S17" t="s">
        <v>152</v>
      </c>
      <c r="T17">
        <v>1</v>
      </c>
      <c r="U17" t="s">
        <v>153</v>
      </c>
      <c r="V17">
        <v>3</v>
      </c>
      <c r="W17" t="s">
        <v>151</v>
      </c>
      <c r="X17">
        <v>945</v>
      </c>
      <c r="Y17" t="s">
        <v>1</v>
      </c>
      <c r="Z17" t="s">
        <v>859</v>
      </c>
      <c r="AA17" t="s">
        <v>838</v>
      </c>
      <c r="AB17" t="s">
        <v>860</v>
      </c>
      <c r="AC17" t="s">
        <v>5</v>
      </c>
      <c r="AD17">
        <v>1</v>
      </c>
      <c r="AE17" t="s">
        <v>4</v>
      </c>
      <c r="AF17">
        <v>0</v>
      </c>
    </row>
    <row r="18" spans="1:34" x14ac:dyDescent="0.25">
      <c r="A18" t="str">
        <f t="shared" si="0"/>
        <v>feynman_II_34_2a_23654</v>
      </c>
      <c r="B18" t="s">
        <v>66</v>
      </c>
      <c r="C18" t="s">
        <v>189</v>
      </c>
      <c r="D18">
        <v>7200</v>
      </c>
      <c r="E18" t="s">
        <v>190</v>
      </c>
      <c r="F18">
        <v>1000000</v>
      </c>
      <c r="G18" t="s">
        <v>191</v>
      </c>
      <c r="H18">
        <v>23654</v>
      </c>
      <c r="I18" t="s">
        <v>192</v>
      </c>
      <c r="J18">
        <v>1E-3</v>
      </c>
      <c r="K18" t="s">
        <v>3</v>
      </c>
      <c r="L18">
        <v>1</v>
      </c>
      <c r="M18" t="s">
        <v>2</v>
      </c>
      <c r="N18">
        <v>0</v>
      </c>
      <c r="O18" t="s">
        <v>17</v>
      </c>
      <c r="P18">
        <v>10</v>
      </c>
      <c r="Q18" t="s">
        <v>0</v>
      </c>
      <c r="R18">
        <v>4.9000000000000004</v>
      </c>
      <c r="S18" t="s">
        <v>152</v>
      </c>
      <c r="T18">
        <v>1</v>
      </c>
      <c r="U18" t="s">
        <v>153</v>
      </c>
      <c r="V18">
        <v>3</v>
      </c>
      <c r="W18" t="s">
        <v>151</v>
      </c>
      <c r="X18">
        <v>945</v>
      </c>
      <c r="Y18" t="s">
        <v>1</v>
      </c>
      <c r="Z18" t="s">
        <v>861</v>
      </c>
      <c r="AA18" t="s">
        <v>838</v>
      </c>
      <c r="AB18" t="s">
        <v>862</v>
      </c>
      <c r="AC18" t="s">
        <v>5</v>
      </c>
      <c r="AD18">
        <v>1</v>
      </c>
      <c r="AE18" t="s">
        <v>4</v>
      </c>
      <c r="AF18">
        <v>0</v>
      </c>
    </row>
    <row r="19" spans="1:34" x14ac:dyDescent="0.25">
      <c r="A19" t="str">
        <f t="shared" si="0"/>
        <v>feynman_III_7_38_23654</v>
      </c>
      <c r="B19" t="s">
        <v>76</v>
      </c>
      <c r="C19" t="s">
        <v>189</v>
      </c>
      <c r="D19">
        <v>7200</v>
      </c>
      <c r="E19" t="s">
        <v>190</v>
      </c>
      <c r="F19">
        <v>1000000</v>
      </c>
      <c r="G19" t="s">
        <v>191</v>
      </c>
      <c r="H19">
        <v>23654</v>
      </c>
      <c r="I19" t="s">
        <v>192</v>
      </c>
      <c r="J19">
        <v>1E-3</v>
      </c>
      <c r="K19" t="s">
        <v>3</v>
      </c>
      <c r="L19">
        <v>1</v>
      </c>
      <c r="M19" t="s">
        <v>2</v>
      </c>
      <c r="N19">
        <v>0</v>
      </c>
      <c r="O19" t="s">
        <v>17</v>
      </c>
      <c r="P19">
        <v>10</v>
      </c>
      <c r="Q19" t="s">
        <v>0</v>
      </c>
      <c r="R19">
        <v>5.4</v>
      </c>
      <c r="S19" t="s">
        <v>152</v>
      </c>
      <c r="T19">
        <v>1</v>
      </c>
      <c r="U19" t="s">
        <v>153</v>
      </c>
      <c r="V19">
        <v>3</v>
      </c>
      <c r="W19" t="s">
        <v>151</v>
      </c>
      <c r="X19">
        <v>1026</v>
      </c>
      <c r="Y19" t="s">
        <v>1</v>
      </c>
      <c r="Z19" t="s">
        <v>863</v>
      </c>
      <c r="AA19" t="s">
        <v>838</v>
      </c>
      <c r="AB19" t="s">
        <v>864</v>
      </c>
      <c r="AC19" t="s">
        <v>5</v>
      </c>
      <c r="AD19">
        <v>1</v>
      </c>
      <c r="AE19" t="s">
        <v>4</v>
      </c>
      <c r="AF19">
        <v>0</v>
      </c>
    </row>
    <row r="20" spans="1:34" x14ac:dyDescent="0.25">
      <c r="A20" t="str">
        <f t="shared" si="0"/>
        <v>feynman_II_4_23_23654</v>
      </c>
      <c r="B20" t="s">
        <v>81</v>
      </c>
      <c r="C20" t="s">
        <v>189</v>
      </c>
      <c r="D20">
        <v>7200</v>
      </c>
      <c r="E20" t="s">
        <v>190</v>
      </c>
      <c r="F20">
        <v>1000000</v>
      </c>
      <c r="G20" t="s">
        <v>191</v>
      </c>
      <c r="H20">
        <v>23654</v>
      </c>
      <c r="I20" t="s">
        <v>192</v>
      </c>
      <c r="J20">
        <v>1E-3</v>
      </c>
      <c r="K20" t="s">
        <v>3</v>
      </c>
      <c r="L20">
        <v>1</v>
      </c>
      <c r="M20" t="s">
        <v>2</v>
      </c>
      <c r="N20">
        <v>0</v>
      </c>
      <c r="O20" t="s">
        <v>17</v>
      </c>
      <c r="P20">
        <v>12</v>
      </c>
      <c r="Q20" t="s">
        <v>0</v>
      </c>
      <c r="R20">
        <v>6.1</v>
      </c>
      <c r="S20" t="s">
        <v>152</v>
      </c>
      <c r="T20">
        <v>1</v>
      </c>
      <c r="U20" t="s">
        <v>153</v>
      </c>
      <c r="V20">
        <v>3</v>
      </c>
      <c r="W20" t="s">
        <v>151</v>
      </c>
      <c r="X20">
        <v>1135</v>
      </c>
      <c r="Y20" t="s">
        <v>1</v>
      </c>
      <c r="Z20" t="s">
        <v>865</v>
      </c>
      <c r="AA20" t="s">
        <v>838</v>
      </c>
      <c r="AB20" t="s">
        <v>866</v>
      </c>
      <c r="AC20" t="s">
        <v>5</v>
      </c>
      <c r="AD20">
        <v>1</v>
      </c>
      <c r="AE20" t="s">
        <v>4</v>
      </c>
      <c r="AF20">
        <v>0</v>
      </c>
    </row>
    <row r="21" spans="1:34" x14ac:dyDescent="0.25">
      <c r="A21" t="str">
        <f t="shared" si="0"/>
        <v>feynman_I_18_12_23654</v>
      </c>
      <c r="B21" t="s">
        <v>78</v>
      </c>
      <c r="C21" t="s">
        <v>189</v>
      </c>
      <c r="D21">
        <v>7200</v>
      </c>
      <c r="E21" t="s">
        <v>190</v>
      </c>
      <c r="F21">
        <v>1000000</v>
      </c>
      <c r="G21" t="s">
        <v>191</v>
      </c>
      <c r="H21">
        <v>23654</v>
      </c>
      <c r="I21" t="s">
        <v>192</v>
      </c>
      <c r="J21">
        <v>1E-3</v>
      </c>
      <c r="K21" t="s">
        <v>3</v>
      </c>
      <c r="L21">
        <v>1</v>
      </c>
      <c r="M21" t="s">
        <v>2</v>
      </c>
      <c r="N21">
        <v>0</v>
      </c>
      <c r="O21" t="s">
        <v>17</v>
      </c>
      <c r="P21">
        <v>11</v>
      </c>
      <c r="Q21" t="s">
        <v>0</v>
      </c>
      <c r="R21">
        <v>7.9</v>
      </c>
      <c r="S21" t="s">
        <v>152</v>
      </c>
      <c r="T21">
        <v>1</v>
      </c>
      <c r="U21" t="s">
        <v>153</v>
      </c>
      <c r="V21">
        <v>4</v>
      </c>
      <c r="W21" t="s">
        <v>151</v>
      </c>
      <c r="X21">
        <v>1540</v>
      </c>
      <c r="Y21" t="s">
        <v>1</v>
      </c>
      <c r="Z21" t="s">
        <v>867</v>
      </c>
      <c r="AA21" t="s">
        <v>838</v>
      </c>
      <c r="AB21" t="s">
        <v>868</v>
      </c>
      <c r="AC21" t="s">
        <v>5</v>
      </c>
      <c r="AD21">
        <v>1</v>
      </c>
      <c r="AE21" t="s">
        <v>4</v>
      </c>
      <c r="AF21">
        <v>0</v>
      </c>
    </row>
    <row r="22" spans="1:34" x14ac:dyDescent="0.25">
      <c r="A22" t="str">
        <f t="shared" si="0"/>
        <v>feynman_II_38_14_23654</v>
      </c>
      <c r="B22" t="s">
        <v>40</v>
      </c>
      <c r="C22" t="s">
        <v>189</v>
      </c>
      <c r="D22">
        <v>7200</v>
      </c>
      <c r="E22" t="s">
        <v>190</v>
      </c>
      <c r="F22">
        <v>1000000</v>
      </c>
      <c r="G22" t="s">
        <v>191</v>
      </c>
      <c r="H22">
        <v>23654</v>
      </c>
      <c r="I22" t="s">
        <v>192</v>
      </c>
      <c r="J22">
        <v>1E-3</v>
      </c>
      <c r="K22" t="s">
        <v>3</v>
      </c>
      <c r="L22">
        <v>1</v>
      </c>
      <c r="M22" t="s">
        <v>2</v>
      </c>
      <c r="N22">
        <v>0</v>
      </c>
      <c r="O22" t="s">
        <v>17</v>
      </c>
      <c r="P22">
        <v>12</v>
      </c>
      <c r="Q22" t="s">
        <v>0</v>
      </c>
      <c r="R22">
        <v>5.7</v>
      </c>
      <c r="S22" t="s">
        <v>152</v>
      </c>
      <c r="T22">
        <v>1</v>
      </c>
      <c r="U22" t="s">
        <v>153</v>
      </c>
      <c r="V22">
        <v>3</v>
      </c>
      <c r="W22" t="s">
        <v>151</v>
      </c>
      <c r="X22">
        <v>1079</v>
      </c>
      <c r="Y22" t="s">
        <v>1</v>
      </c>
      <c r="Z22" t="s">
        <v>869</v>
      </c>
      <c r="AA22" t="s">
        <v>838</v>
      </c>
      <c r="AB22" t="s">
        <v>870</v>
      </c>
      <c r="AC22" t="s">
        <v>569</v>
      </c>
      <c r="AD22" t="s">
        <v>571</v>
      </c>
      <c r="AE22" t="s">
        <v>5</v>
      </c>
      <c r="AF22">
        <v>1</v>
      </c>
      <c r="AG22" t="s">
        <v>4</v>
      </c>
      <c r="AH22">
        <v>0</v>
      </c>
    </row>
    <row r="23" spans="1:34" x14ac:dyDescent="0.25">
      <c r="A23" t="str">
        <f t="shared" si="0"/>
        <v>feynman_III_15_27_23654</v>
      </c>
      <c r="B23" t="s">
        <v>59</v>
      </c>
      <c r="C23" t="s">
        <v>189</v>
      </c>
      <c r="D23">
        <v>7200</v>
      </c>
      <c r="E23" t="s">
        <v>190</v>
      </c>
      <c r="F23">
        <v>1000000</v>
      </c>
      <c r="G23" t="s">
        <v>191</v>
      </c>
      <c r="H23">
        <v>23654</v>
      </c>
      <c r="I23" t="s">
        <v>192</v>
      </c>
      <c r="J23">
        <v>1E-3</v>
      </c>
      <c r="K23" t="s">
        <v>3</v>
      </c>
      <c r="L23">
        <v>1</v>
      </c>
      <c r="M23" t="s">
        <v>2</v>
      </c>
      <c r="N23">
        <v>0</v>
      </c>
      <c r="O23" t="s">
        <v>17</v>
      </c>
      <c r="P23">
        <v>12</v>
      </c>
      <c r="Q23" t="s">
        <v>0</v>
      </c>
      <c r="R23">
        <v>6.7</v>
      </c>
      <c r="S23" t="s">
        <v>152</v>
      </c>
      <c r="T23">
        <v>1</v>
      </c>
      <c r="U23" t="s">
        <v>153</v>
      </c>
      <c r="V23">
        <v>3</v>
      </c>
      <c r="W23" t="s">
        <v>151</v>
      </c>
      <c r="X23">
        <v>1213</v>
      </c>
      <c r="Y23" t="s">
        <v>1</v>
      </c>
      <c r="Z23" t="s">
        <v>871</v>
      </c>
      <c r="AA23" t="s">
        <v>838</v>
      </c>
      <c r="AB23" t="s">
        <v>872</v>
      </c>
      <c r="AC23" t="s">
        <v>5</v>
      </c>
      <c r="AD23">
        <v>1</v>
      </c>
      <c r="AE23" t="s">
        <v>4</v>
      </c>
      <c r="AF23">
        <v>0</v>
      </c>
    </row>
    <row r="24" spans="1:34" x14ac:dyDescent="0.25">
      <c r="A24" t="str">
        <f t="shared" si="0"/>
        <v>feynman_II_37_1_23654</v>
      </c>
      <c r="B24" t="s">
        <v>75</v>
      </c>
      <c r="C24" t="s">
        <v>189</v>
      </c>
      <c r="D24">
        <v>7200</v>
      </c>
      <c r="E24" t="s">
        <v>190</v>
      </c>
      <c r="F24">
        <v>1000000</v>
      </c>
      <c r="G24" t="s">
        <v>191</v>
      </c>
      <c r="H24">
        <v>23654</v>
      </c>
      <c r="I24" t="s">
        <v>192</v>
      </c>
      <c r="J24">
        <v>1E-3</v>
      </c>
      <c r="K24" t="s">
        <v>3</v>
      </c>
      <c r="L24">
        <v>1</v>
      </c>
      <c r="M24" t="s">
        <v>2</v>
      </c>
      <c r="N24">
        <v>0</v>
      </c>
      <c r="O24" t="s">
        <v>17</v>
      </c>
      <c r="P24">
        <v>14</v>
      </c>
      <c r="Q24" t="s">
        <v>0</v>
      </c>
      <c r="R24">
        <v>7.4</v>
      </c>
      <c r="S24" t="s">
        <v>152</v>
      </c>
      <c r="T24">
        <v>1</v>
      </c>
      <c r="U24" t="s">
        <v>153</v>
      </c>
      <c r="V24">
        <v>4</v>
      </c>
      <c r="W24" t="s">
        <v>151</v>
      </c>
      <c r="X24">
        <v>1428</v>
      </c>
      <c r="Y24" t="s">
        <v>1</v>
      </c>
      <c r="Z24" t="s">
        <v>873</v>
      </c>
      <c r="AA24" t="s">
        <v>838</v>
      </c>
      <c r="AB24" t="s">
        <v>874</v>
      </c>
      <c r="AC24" t="s">
        <v>572</v>
      </c>
      <c r="AD24" t="s">
        <v>573</v>
      </c>
      <c r="AE24" t="s">
        <v>5</v>
      </c>
      <c r="AF24">
        <v>1</v>
      </c>
      <c r="AG24" t="s">
        <v>4</v>
      </c>
      <c r="AH24">
        <v>0</v>
      </c>
    </row>
    <row r="25" spans="1:34" x14ac:dyDescent="0.25">
      <c r="A25" t="str">
        <f t="shared" si="0"/>
        <v>feynman_I_47_23_23654</v>
      </c>
      <c r="B25" t="s">
        <v>54</v>
      </c>
      <c r="C25" t="s">
        <v>189</v>
      </c>
      <c r="D25">
        <v>7200</v>
      </c>
      <c r="E25" t="s">
        <v>190</v>
      </c>
      <c r="F25">
        <v>1000000</v>
      </c>
      <c r="G25" t="s">
        <v>191</v>
      </c>
      <c r="H25">
        <v>23654</v>
      </c>
      <c r="I25" t="s">
        <v>192</v>
      </c>
      <c r="J25">
        <v>1E-3</v>
      </c>
      <c r="K25" t="s">
        <v>3</v>
      </c>
      <c r="L25">
        <v>1</v>
      </c>
      <c r="M25" t="s">
        <v>2</v>
      </c>
      <c r="N25">
        <v>0</v>
      </c>
      <c r="O25" t="s">
        <v>17</v>
      </c>
      <c r="P25">
        <v>12</v>
      </c>
      <c r="Q25" t="s">
        <v>0</v>
      </c>
      <c r="R25">
        <v>8.5</v>
      </c>
      <c r="S25" t="s">
        <v>152</v>
      </c>
      <c r="T25">
        <v>1</v>
      </c>
      <c r="U25" t="s">
        <v>153</v>
      </c>
      <c r="V25">
        <v>4</v>
      </c>
      <c r="W25" t="s">
        <v>151</v>
      </c>
      <c r="X25">
        <v>1573</v>
      </c>
      <c r="Y25" t="s">
        <v>1</v>
      </c>
      <c r="Z25" t="s">
        <v>875</v>
      </c>
      <c r="AA25" t="s">
        <v>838</v>
      </c>
      <c r="AB25" t="s">
        <v>876</v>
      </c>
      <c r="AC25" t="s">
        <v>5</v>
      </c>
      <c r="AD25">
        <v>1</v>
      </c>
      <c r="AE25" t="s">
        <v>4</v>
      </c>
      <c r="AF25">
        <v>0</v>
      </c>
    </row>
    <row r="26" spans="1:34" x14ac:dyDescent="0.25">
      <c r="A26" t="str">
        <f t="shared" si="0"/>
        <v>feynman_II_38_3_23654</v>
      </c>
      <c r="B26" t="s">
        <v>101</v>
      </c>
      <c r="C26" t="s">
        <v>189</v>
      </c>
      <c r="D26">
        <v>7200</v>
      </c>
      <c r="E26" t="s">
        <v>190</v>
      </c>
      <c r="F26">
        <v>1000000</v>
      </c>
      <c r="G26" t="s">
        <v>191</v>
      </c>
      <c r="H26">
        <v>23654</v>
      </c>
      <c r="I26" t="s">
        <v>192</v>
      </c>
      <c r="J26">
        <v>1E-3</v>
      </c>
      <c r="K26" t="s">
        <v>3</v>
      </c>
      <c r="L26">
        <v>1</v>
      </c>
      <c r="M26" t="s">
        <v>2</v>
      </c>
      <c r="N26">
        <v>0</v>
      </c>
      <c r="O26" t="s">
        <v>17</v>
      </c>
      <c r="P26">
        <v>12</v>
      </c>
      <c r="Q26" t="s">
        <v>0</v>
      </c>
      <c r="R26">
        <v>9.3000000000000007</v>
      </c>
      <c r="S26" t="s">
        <v>152</v>
      </c>
      <c r="T26">
        <v>1</v>
      </c>
      <c r="U26" t="s">
        <v>153</v>
      </c>
      <c r="V26">
        <v>4</v>
      </c>
      <c r="W26" t="s">
        <v>151</v>
      </c>
      <c r="X26">
        <v>1690</v>
      </c>
      <c r="Y26" t="s">
        <v>1</v>
      </c>
      <c r="Z26" t="s">
        <v>877</v>
      </c>
      <c r="AA26" t="s">
        <v>838</v>
      </c>
      <c r="AB26" t="s">
        <v>878</v>
      </c>
      <c r="AC26" t="s">
        <v>5</v>
      </c>
      <c r="AD26">
        <v>1</v>
      </c>
      <c r="AE26" t="s">
        <v>4</v>
      </c>
      <c r="AF26">
        <v>0</v>
      </c>
    </row>
    <row r="27" spans="1:34" x14ac:dyDescent="0.25">
      <c r="A27" t="str">
        <f t="shared" si="0"/>
        <v>feynman_II_34_11_23654</v>
      </c>
      <c r="B27" t="s">
        <v>95</v>
      </c>
      <c r="C27" t="s">
        <v>189</v>
      </c>
      <c r="D27">
        <v>7200</v>
      </c>
      <c r="E27" t="s">
        <v>190</v>
      </c>
      <c r="F27">
        <v>1000000</v>
      </c>
      <c r="G27" t="s">
        <v>191</v>
      </c>
      <c r="H27">
        <v>23654</v>
      </c>
      <c r="I27" t="s">
        <v>192</v>
      </c>
      <c r="J27">
        <v>1E-3</v>
      </c>
      <c r="K27" t="s">
        <v>3</v>
      </c>
      <c r="L27">
        <v>1</v>
      </c>
      <c r="M27" t="s">
        <v>2</v>
      </c>
      <c r="N27">
        <v>0</v>
      </c>
      <c r="O27" t="s">
        <v>17</v>
      </c>
      <c r="P27">
        <v>12</v>
      </c>
      <c r="Q27" t="s">
        <v>0</v>
      </c>
      <c r="R27">
        <v>8.8000000000000007</v>
      </c>
      <c r="S27" t="s">
        <v>152</v>
      </c>
      <c r="T27">
        <v>1</v>
      </c>
      <c r="U27" t="s">
        <v>153</v>
      </c>
      <c r="V27">
        <v>4</v>
      </c>
      <c r="W27" t="s">
        <v>151</v>
      </c>
      <c r="X27">
        <v>1663</v>
      </c>
      <c r="Y27" t="s">
        <v>1</v>
      </c>
      <c r="Z27" t="s">
        <v>879</v>
      </c>
      <c r="AA27" t="s">
        <v>838</v>
      </c>
      <c r="AB27" t="s">
        <v>880</v>
      </c>
      <c r="AC27" t="s">
        <v>5</v>
      </c>
      <c r="AD27">
        <v>1</v>
      </c>
      <c r="AE27" t="s">
        <v>4</v>
      </c>
      <c r="AF27">
        <v>0</v>
      </c>
    </row>
    <row r="28" spans="1:34" x14ac:dyDescent="0.25">
      <c r="A28" t="str">
        <f t="shared" si="0"/>
        <v>feynman_I_43_16_23654</v>
      </c>
      <c r="B28" t="s">
        <v>100</v>
      </c>
      <c r="C28" t="s">
        <v>189</v>
      </c>
      <c r="D28">
        <v>7200</v>
      </c>
      <c r="E28" t="s">
        <v>190</v>
      </c>
      <c r="F28">
        <v>1000000</v>
      </c>
      <c r="G28" t="s">
        <v>191</v>
      </c>
      <c r="H28">
        <v>23654</v>
      </c>
      <c r="I28" t="s">
        <v>192</v>
      </c>
      <c r="J28">
        <v>1E-3</v>
      </c>
      <c r="K28" t="s">
        <v>3</v>
      </c>
      <c r="L28">
        <v>1</v>
      </c>
      <c r="M28" t="s">
        <v>2</v>
      </c>
      <c r="N28">
        <v>0</v>
      </c>
      <c r="O28" t="s">
        <v>17</v>
      </c>
      <c r="P28">
        <v>12</v>
      </c>
      <c r="Q28" t="s">
        <v>0</v>
      </c>
      <c r="R28">
        <v>9.1</v>
      </c>
      <c r="S28" t="s">
        <v>152</v>
      </c>
      <c r="T28">
        <v>1</v>
      </c>
      <c r="U28" t="s">
        <v>153</v>
      </c>
      <c r="V28">
        <v>4</v>
      </c>
      <c r="W28" t="s">
        <v>151</v>
      </c>
      <c r="X28">
        <v>1690</v>
      </c>
      <c r="Y28" t="s">
        <v>1</v>
      </c>
      <c r="Z28" t="s">
        <v>881</v>
      </c>
      <c r="AA28" t="s">
        <v>838</v>
      </c>
      <c r="AB28" t="s">
        <v>882</v>
      </c>
      <c r="AC28" t="s">
        <v>5</v>
      </c>
      <c r="AD28">
        <v>1</v>
      </c>
      <c r="AE28" t="s">
        <v>4</v>
      </c>
      <c r="AF28">
        <v>0</v>
      </c>
    </row>
    <row r="29" spans="1:34" x14ac:dyDescent="0.25">
      <c r="A29" t="str">
        <f t="shared" si="0"/>
        <v>feynman_I_18_14_23654</v>
      </c>
      <c r="B29" t="s">
        <v>111</v>
      </c>
      <c r="C29" t="s">
        <v>189</v>
      </c>
      <c r="D29">
        <v>7200</v>
      </c>
      <c r="E29" t="s">
        <v>190</v>
      </c>
      <c r="F29">
        <v>1000000</v>
      </c>
      <c r="G29" t="s">
        <v>191</v>
      </c>
      <c r="H29">
        <v>23654</v>
      </c>
      <c r="I29" t="s">
        <v>192</v>
      </c>
      <c r="J29">
        <v>1E-3</v>
      </c>
      <c r="K29" t="s">
        <v>3</v>
      </c>
      <c r="L29">
        <v>1</v>
      </c>
      <c r="M29" t="s">
        <v>2</v>
      </c>
      <c r="N29">
        <v>0</v>
      </c>
      <c r="O29" t="s">
        <v>17</v>
      </c>
      <c r="P29">
        <v>11</v>
      </c>
      <c r="Q29" t="s">
        <v>0</v>
      </c>
      <c r="R29">
        <v>9.6</v>
      </c>
      <c r="S29" t="s">
        <v>152</v>
      </c>
      <c r="T29">
        <v>1</v>
      </c>
      <c r="U29" t="s">
        <v>153</v>
      </c>
      <c r="V29">
        <v>5</v>
      </c>
      <c r="W29" t="s">
        <v>151</v>
      </c>
      <c r="X29">
        <v>1848</v>
      </c>
      <c r="Y29" t="s">
        <v>1</v>
      </c>
      <c r="Z29" t="s">
        <v>883</v>
      </c>
      <c r="AA29" t="s">
        <v>838</v>
      </c>
      <c r="AB29" t="s">
        <v>884</v>
      </c>
      <c r="AC29" t="s">
        <v>5</v>
      </c>
      <c r="AD29">
        <v>1</v>
      </c>
      <c r="AE29" t="s">
        <v>4</v>
      </c>
      <c r="AF29">
        <v>0</v>
      </c>
    </row>
    <row r="30" spans="1:34" x14ac:dyDescent="0.25">
      <c r="A30" t="str">
        <f t="shared" si="0"/>
        <v>feynman_I_34_8_23654</v>
      </c>
      <c r="B30" t="s">
        <v>102</v>
      </c>
      <c r="C30" t="s">
        <v>189</v>
      </c>
      <c r="D30">
        <v>7200</v>
      </c>
      <c r="E30" t="s">
        <v>190</v>
      </c>
      <c r="F30">
        <v>1000000</v>
      </c>
      <c r="G30" t="s">
        <v>191</v>
      </c>
      <c r="H30">
        <v>23654</v>
      </c>
      <c r="I30" t="s">
        <v>192</v>
      </c>
      <c r="J30">
        <v>1E-3</v>
      </c>
      <c r="K30" t="s">
        <v>3</v>
      </c>
      <c r="L30">
        <v>1</v>
      </c>
      <c r="M30" t="s">
        <v>2</v>
      </c>
      <c r="N30">
        <v>0</v>
      </c>
      <c r="O30" t="s">
        <v>17</v>
      </c>
      <c r="P30">
        <v>12</v>
      </c>
      <c r="Q30" t="s">
        <v>0</v>
      </c>
      <c r="R30">
        <v>9.6</v>
      </c>
      <c r="S30" t="s">
        <v>152</v>
      </c>
      <c r="T30">
        <v>1</v>
      </c>
      <c r="U30" t="s">
        <v>153</v>
      </c>
      <c r="V30">
        <v>4</v>
      </c>
      <c r="W30" t="s">
        <v>151</v>
      </c>
      <c r="X30">
        <v>1690</v>
      </c>
      <c r="Y30" t="s">
        <v>1</v>
      </c>
      <c r="Z30" t="s">
        <v>881</v>
      </c>
      <c r="AA30" t="s">
        <v>838</v>
      </c>
      <c r="AB30" t="s">
        <v>882</v>
      </c>
      <c r="AC30" t="s">
        <v>5</v>
      </c>
      <c r="AD30">
        <v>1</v>
      </c>
      <c r="AE30" t="s">
        <v>4</v>
      </c>
      <c r="AF30">
        <v>0</v>
      </c>
    </row>
    <row r="31" spans="1:34" x14ac:dyDescent="0.25">
      <c r="A31" t="str">
        <f t="shared" si="0"/>
        <v>feynman_III_21_20_23654</v>
      </c>
      <c r="B31" t="s">
        <v>109</v>
      </c>
      <c r="C31" t="s">
        <v>189</v>
      </c>
      <c r="D31">
        <v>7200</v>
      </c>
      <c r="E31" t="s">
        <v>190</v>
      </c>
      <c r="F31">
        <v>1000000</v>
      </c>
      <c r="G31" t="s">
        <v>191</v>
      </c>
      <c r="H31">
        <v>23654</v>
      </c>
      <c r="I31" t="s">
        <v>192</v>
      </c>
      <c r="J31">
        <v>1E-3</v>
      </c>
      <c r="K31" t="s">
        <v>3</v>
      </c>
      <c r="L31">
        <v>1</v>
      </c>
      <c r="M31" t="s">
        <v>2</v>
      </c>
      <c r="N31">
        <v>0</v>
      </c>
      <c r="O31" t="s">
        <v>17</v>
      </c>
      <c r="P31">
        <v>12</v>
      </c>
      <c r="Q31" t="s">
        <v>0</v>
      </c>
      <c r="R31">
        <v>8.8000000000000007</v>
      </c>
      <c r="S31" t="s">
        <v>152</v>
      </c>
      <c r="T31">
        <v>1</v>
      </c>
      <c r="U31" t="s">
        <v>153</v>
      </c>
      <c r="V31">
        <v>4</v>
      </c>
      <c r="W31" t="s">
        <v>151</v>
      </c>
      <c r="X31">
        <v>1678</v>
      </c>
      <c r="Y31" t="s">
        <v>1</v>
      </c>
      <c r="Z31" t="s">
        <v>885</v>
      </c>
      <c r="AA31" t="s">
        <v>838</v>
      </c>
      <c r="AB31" t="s">
        <v>886</v>
      </c>
      <c r="AC31" t="s">
        <v>5</v>
      </c>
      <c r="AD31">
        <v>1</v>
      </c>
      <c r="AE31" t="s">
        <v>4</v>
      </c>
      <c r="AF31">
        <v>0</v>
      </c>
    </row>
    <row r="32" spans="1:34" x14ac:dyDescent="0.25">
      <c r="A32" t="str">
        <f t="shared" si="0"/>
        <v>feynman_I_39_22_23654</v>
      </c>
      <c r="B32" t="s">
        <v>99</v>
      </c>
      <c r="C32" t="s">
        <v>189</v>
      </c>
      <c r="D32">
        <v>7200</v>
      </c>
      <c r="E32" t="s">
        <v>190</v>
      </c>
      <c r="F32">
        <v>1000000</v>
      </c>
      <c r="G32" t="s">
        <v>191</v>
      </c>
      <c r="H32">
        <v>23654</v>
      </c>
      <c r="I32" t="s">
        <v>192</v>
      </c>
      <c r="J32">
        <v>1E-3</v>
      </c>
      <c r="K32" t="s">
        <v>3</v>
      </c>
      <c r="L32">
        <v>1</v>
      </c>
      <c r="M32" t="s">
        <v>2</v>
      </c>
      <c r="N32">
        <v>0</v>
      </c>
      <c r="O32" t="s">
        <v>17</v>
      </c>
      <c r="P32">
        <v>12</v>
      </c>
      <c r="Q32" t="s">
        <v>0</v>
      </c>
      <c r="R32">
        <v>9.4</v>
      </c>
      <c r="S32" t="s">
        <v>152</v>
      </c>
      <c r="T32">
        <v>1</v>
      </c>
      <c r="U32" t="s">
        <v>153</v>
      </c>
      <c r="V32">
        <v>4</v>
      </c>
      <c r="W32" t="s">
        <v>151</v>
      </c>
      <c r="X32">
        <v>1776</v>
      </c>
      <c r="Y32" t="s">
        <v>1</v>
      </c>
      <c r="Z32" t="s">
        <v>877</v>
      </c>
      <c r="AA32" t="s">
        <v>838</v>
      </c>
      <c r="AB32" t="s">
        <v>878</v>
      </c>
      <c r="AC32" t="s">
        <v>5</v>
      </c>
      <c r="AD32">
        <v>1</v>
      </c>
      <c r="AE32" t="s">
        <v>4</v>
      </c>
      <c r="AF32">
        <v>0</v>
      </c>
    </row>
    <row r="33" spans="1:36" x14ac:dyDescent="0.25">
      <c r="A33" t="str">
        <f t="shared" si="0"/>
        <v>feynman_I_12_4_23654</v>
      </c>
      <c r="B33" t="s">
        <v>83</v>
      </c>
      <c r="C33" t="s">
        <v>189</v>
      </c>
      <c r="D33">
        <v>7200</v>
      </c>
      <c r="E33" t="s">
        <v>190</v>
      </c>
      <c r="F33">
        <v>1000000</v>
      </c>
      <c r="G33" t="s">
        <v>191</v>
      </c>
      <c r="H33">
        <v>23654</v>
      </c>
      <c r="I33" t="s">
        <v>192</v>
      </c>
      <c r="J33">
        <v>1E-3</v>
      </c>
      <c r="K33" t="s">
        <v>3</v>
      </c>
      <c r="L33">
        <v>1</v>
      </c>
      <c r="M33" t="s">
        <v>2</v>
      </c>
      <c r="N33">
        <v>0</v>
      </c>
      <c r="O33" t="s">
        <v>17</v>
      </c>
      <c r="P33">
        <v>12</v>
      </c>
      <c r="Q33" t="s">
        <v>0</v>
      </c>
      <c r="R33">
        <v>12.4</v>
      </c>
      <c r="S33" t="s">
        <v>152</v>
      </c>
      <c r="T33">
        <v>1</v>
      </c>
      <c r="U33" t="s">
        <v>153</v>
      </c>
      <c r="V33">
        <v>4</v>
      </c>
      <c r="W33" t="s">
        <v>151</v>
      </c>
      <c r="X33">
        <v>2246</v>
      </c>
      <c r="Y33" t="s">
        <v>1</v>
      </c>
      <c r="Z33" t="s">
        <v>887</v>
      </c>
      <c r="AA33" t="s">
        <v>838</v>
      </c>
      <c r="AB33" t="s">
        <v>888</v>
      </c>
      <c r="AC33" t="s">
        <v>5</v>
      </c>
      <c r="AD33">
        <v>1</v>
      </c>
      <c r="AE33" t="s">
        <v>4</v>
      </c>
      <c r="AF33">
        <v>0</v>
      </c>
    </row>
    <row r="34" spans="1:36" x14ac:dyDescent="0.25">
      <c r="A34" t="str">
        <f t="shared" si="0"/>
        <v>feynman_I_39_11_23654</v>
      </c>
      <c r="B34" t="s">
        <v>53</v>
      </c>
      <c r="C34" t="s">
        <v>189</v>
      </c>
      <c r="D34">
        <v>7200</v>
      </c>
      <c r="E34" t="s">
        <v>190</v>
      </c>
      <c r="F34">
        <v>1000000</v>
      </c>
      <c r="G34" t="s">
        <v>191</v>
      </c>
      <c r="H34">
        <v>23654</v>
      </c>
      <c r="I34" t="s">
        <v>192</v>
      </c>
      <c r="J34">
        <v>1E-3</v>
      </c>
      <c r="K34" t="s">
        <v>3</v>
      </c>
      <c r="L34">
        <v>1</v>
      </c>
      <c r="M34" t="s">
        <v>2</v>
      </c>
      <c r="N34">
        <v>0</v>
      </c>
      <c r="O34" t="s">
        <v>17</v>
      </c>
      <c r="P34">
        <v>14</v>
      </c>
      <c r="Q34" t="s">
        <v>0</v>
      </c>
      <c r="R34">
        <v>10</v>
      </c>
      <c r="S34" t="s">
        <v>152</v>
      </c>
      <c r="T34">
        <v>1</v>
      </c>
      <c r="U34" t="s">
        <v>153</v>
      </c>
      <c r="V34">
        <v>4</v>
      </c>
      <c r="W34" t="s">
        <v>151</v>
      </c>
      <c r="X34">
        <v>1895</v>
      </c>
      <c r="Y34" t="s">
        <v>1</v>
      </c>
      <c r="Z34" t="s">
        <v>889</v>
      </c>
      <c r="AA34" t="s">
        <v>838</v>
      </c>
      <c r="AB34" t="s">
        <v>890</v>
      </c>
      <c r="AC34" t="s">
        <v>569</v>
      </c>
      <c r="AD34" t="s">
        <v>574</v>
      </c>
      <c r="AE34" t="s">
        <v>5</v>
      </c>
      <c r="AF34">
        <v>1</v>
      </c>
      <c r="AG34" t="s">
        <v>4</v>
      </c>
      <c r="AH34">
        <v>0</v>
      </c>
    </row>
    <row r="35" spans="1:36" x14ac:dyDescent="0.25">
      <c r="A35" t="str">
        <f t="shared" si="0"/>
        <v>feynman_II_10_9_23654</v>
      </c>
      <c r="B35" t="s">
        <v>68</v>
      </c>
      <c r="C35" t="s">
        <v>189</v>
      </c>
      <c r="D35">
        <v>7200</v>
      </c>
      <c r="E35" t="s">
        <v>190</v>
      </c>
      <c r="F35">
        <v>1000000</v>
      </c>
      <c r="G35" t="s">
        <v>191</v>
      </c>
      <c r="H35">
        <v>23654</v>
      </c>
      <c r="I35" t="s">
        <v>192</v>
      </c>
      <c r="J35">
        <v>1E-3</v>
      </c>
      <c r="K35" t="s">
        <v>3</v>
      </c>
      <c r="L35">
        <v>1</v>
      </c>
      <c r="M35" t="s">
        <v>2</v>
      </c>
      <c r="N35">
        <v>0</v>
      </c>
      <c r="O35" t="s">
        <v>17</v>
      </c>
      <c r="P35">
        <v>16</v>
      </c>
      <c r="Q35" t="s">
        <v>0</v>
      </c>
      <c r="R35">
        <v>11.1</v>
      </c>
      <c r="S35" t="s">
        <v>152</v>
      </c>
      <c r="T35">
        <v>1</v>
      </c>
      <c r="U35" t="s">
        <v>153</v>
      </c>
      <c r="V35">
        <v>4</v>
      </c>
      <c r="W35" t="s">
        <v>151</v>
      </c>
      <c r="X35">
        <v>1986</v>
      </c>
      <c r="Y35" t="s">
        <v>1</v>
      </c>
      <c r="Z35" t="s">
        <v>891</v>
      </c>
      <c r="AA35" t="s">
        <v>838</v>
      </c>
      <c r="AB35" t="s">
        <v>892</v>
      </c>
      <c r="AC35" t="s">
        <v>569</v>
      </c>
      <c r="AD35" t="s">
        <v>575</v>
      </c>
      <c r="AE35" t="s">
        <v>5</v>
      </c>
      <c r="AF35">
        <v>1</v>
      </c>
      <c r="AG35" t="s">
        <v>4</v>
      </c>
      <c r="AH35">
        <v>0</v>
      </c>
    </row>
    <row r="36" spans="1:36" x14ac:dyDescent="0.25">
      <c r="A36" t="str">
        <f t="shared" si="0"/>
        <v>feynman_III_15_14_23654</v>
      </c>
      <c r="B36" t="s">
        <v>84</v>
      </c>
      <c r="C36" t="s">
        <v>189</v>
      </c>
      <c r="D36">
        <v>7200</v>
      </c>
      <c r="E36" t="s">
        <v>190</v>
      </c>
      <c r="F36">
        <v>1000000</v>
      </c>
      <c r="G36" t="s">
        <v>191</v>
      </c>
      <c r="H36">
        <v>23654</v>
      </c>
      <c r="I36" t="s">
        <v>192</v>
      </c>
      <c r="J36">
        <v>1E-3</v>
      </c>
      <c r="K36" t="s">
        <v>3</v>
      </c>
      <c r="L36">
        <v>1</v>
      </c>
      <c r="M36" t="s">
        <v>2</v>
      </c>
      <c r="N36">
        <v>0</v>
      </c>
      <c r="O36" t="s">
        <v>17</v>
      </c>
      <c r="P36">
        <v>14</v>
      </c>
      <c r="Q36" t="s">
        <v>0</v>
      </c>
      <c r="R36">
        <v>13.9</v>
      </c>
      <c r="S36" t="s">
        <v>152</v>
      </c>
      <c r="T36">
        <v>1</v>
      </c>
      <c r="U36" t="s">
        <v>153</v>
      </c>
      <c r="V36">
        <v>5</v>
      </c>
      <c r="W36" t="s">
        <v>151</v>
      </c>
      <c r="X36">
        <v>2496</v>
      </c>
      <c r="Y36" t="s">
        <v>1</v>
      </c>
      <c r="Z36" t="s">
        <v>893</v>
      </c>
      <c r="AA36" t="s">
        <v>838</v>
      </c>
      <c r="AB36" t="s">
        <v>894</v>
      </c>
      <c r="AC36" t="s">
        <v>5</v>
      </c>
      <c r="AD36">
        <v>1</v>
      </c>
      <c r="AE36" t="s">
        <v>4</v>
      </c>
      <c r="AF36">
        <v>0</v>
      </c>
    </row>
    <row r="37" spans="1:36" x14ac:dyDescent="0.25">
      <c r="A37" t="str">
        <f t="shared" si="0"/>
        <v>feynman_I_34_1_23654</v>
      </c>
      <c r="B37" t="s">
        <v>52</v>
      </c>
      <c r="C37" t="s">
        <v>189</v>
      </c>
      <c r="D37">
        <v>7200</v>
      </c>
      <c r="E37" t="s">
        <v>190</v>
      </c>
      <c r="F37">
        <v>1000000</v>
      </c>
      <c r="G37" t="s">
        <v>191</v>
      </c>
      <c r="H37">
        <v>23654</v>
      </c>
      <c r="I37" t="s">
        <v>192</v>
      </c>
      <c r="J37">
        <v>1E-3</v>
      </c>
      <c r="K37" t="s">
        <v>3</v>
      </c>
      <c r="L37">
        <v>1</v>
      </c>
      <c r="M37" t="s">
        <v>2</v>
      </c>
      <c r="N37">
        <v>0</v>
      </c>
      <c r="O37" t="s">
        <v>17</v>
      </c>
      <c r="P37">
        <v>18</v>
      </c>
      <c r="Q37" t="s">
        <v>0</v>
      </c>
      <c r="R37">
        <v>14.4</v>
      </c>
      <c r="S37" t="s">
        <v>152</v>
      </c>
      <c r="T37">
        <v>1</v>
      </c>
      <c r="U37" t="s">
        <v>153</v>
      </c>
      <c r="V37">
        <v>5</v>
      </c>
      <c r="W37" t="s">
        <v>151</v>
      </c>
      <c r="X37">
        <v>2313</v>
      </c>
      <c r="Y37" t="s">
        <v>1</v>
      </c>
      <c r="Z37" t="s">
        <v>895</v>
      </c>
      <c r="AA37" t="s">
        <v>838</v>
      </c>
      <c r="AB37" t="s">
        <v>896</v>
      </c>
      <c r="AC37" t="s">
        <v>569</v>
      </c>
      <c r="AD37" t="s">
        <v>576</v>
      </c>
      <c r="AE37" t="s">
        <v>572</v>
      </c>
      <c r="AF37" t="s">
        <v>577</v>
      </c>
      <c r="AG37" t="s">
        <v>5</v>
      </c>
      <c r="AH37">
        <v>1</v>
      </c>
      <c r="AI37" t="s">
        <v>4</v>
      </c>
      <c r="AJ37">
        <v>0</v>
      </c>
    </row>
    <row r="38" spans="1:36" x14ac:dyDescent="0.25">
      <c r="A38" t="str">
        <f t="shared" si="0"/>
        <v>feynman_III_13_18_23654</v>
      </c>
      <c r="B38" t="s">
        <v>114</v>
      </c>
      <c r="C38" t="s">
        <v>189</v>
      </c>
      <c r="D38">
        <v>7200</v>
      </c>
      <c r="E38" t="s">
        <v>190</v>
      </c>
      <c r="F38">
        <v>1000000</v>
      </c>
      <c r="G38" t="s">
        <v>191</v>
      </c>
      <c r="H38">
        <v>23654</v>
      </c>
      <c r="I38" t="s">
        <v>192</v>
      </c>
      <c r="J38">
        <v>1E-3</v>
      </c>
      <c r="K38" t="s">
        <v>3</v>
      </c>
      <c r="L38">
        <v>1</v>
      </c>
      <c r="M38" t="s">
        <v>2</v>
      </c>
      <c r="N38">
        <v>0</v>
      </c>
      <c r="O38" t="s">
        <v>17</v>
      </c>
      <c r="P38">
        <v>14</v>
      </c>
      <c r="Q38" t="s">
        <v>0</v>
      </c>
      <c r="R38">
        <v>14.3</v>
      </c>
      <c r="S38" t="s">
        <v>152</v>
      </c>
      <c r="T38">
        <v>1</v>
      </c>
      <c r="U38" t="s">
        <v>153</v>
      </c>
      <c r="V38">
        <v>5</v>
      </c>
      <c r="W38" t="s">
        <v>151</v>
      </c>
      <c r="X38">
        <v>2623</v>
      </c>
      <c r="Y38" t="s">
        <v>1</v>
      </c>
      <c r="Z38" t="s">
        <v>897</v>
      </c>
      <c r="AA38" t="s">
        <v>838</v>
      </c>
      <c r="AB38" t="s">
        <v>898</v>
      </c>
      <c r="AC38" t="s">
        <v>5</v>
      </c>
      <c r="AD38">
        <v>1</v>
      </c>
      <c r="AE38" t="s">
        <v>4</v>
      </c>
      <c r="AF38">
        <v>0</v>
      </c>
    </row>
    <row r="39" spans="1:36" x14ac:dyDescent="0.25">
      <c r="A39" t="str">
        <f t="shared" si="0"/>
        <v>feynman_II_34_29b_23654</v>
      </c>
      <c r="B39" t="s">
        <v>133</v>
      </c>
      <c r="C39" t="s">
        <v>189</v>
      </c>
      <c r="D39">
        <v>7200</v>
      </c>
      <c r="E39" t="s">
        <v>190</v>
      </c>
      <c r="F39">
        <v>1000000</v>
      </c>
      <c r="G39" t="s">
        <v>191</v>
      </c>
      <c r="H39">
        <v>23654</v>
      </c>
      <c r="I39" t="s">
        <v>192</v>
      </c>
      <c r="J39">
        <v>1E-3</v>
      </c>
      <c r="K39" t="s">
        <v>3</v>
      </c>
      <c r="L39">
        <v>1</v>
      </c>
      <c r="M39" t="s">
        <v>2</v>
      </c>
      <c r="N39">
        <v>0</v>
      </c>
      <c r="O39" t="s">
        <v>17</v>
      </c>
      <c r="P39">
        <v>14</v>
      </c>
      <c r="Q39" t="s">
        <v>0</v>
      </c>
      <c r="R39">
        <v>15.1</v>
      </c>
      <c r="S39" t="s">
        <v>152</v>
      </c>
      <c r="T39">
        <v>1</v>
      </c>
      <c r="U39" t="s">
        <v>153</v>
      </c>
      <c r="V39">
        <v>5</v>
      </c>
      <c r="W39" t="s">
        <v>151</v>
      </c>
      <c r="X39">
        <v>2825</v>
      </c>
      <c r="Y39" t="s">
        <v>1</v>
      </c>
      <c r="Z39" t="s">
        <v>899</v>
      </c>
      <c r="AA39" t="s">
        <v>838</v>
      </c>
      <c r="AB39" t="s">
        <v>900</v>
      </c>
      <c r="AC39" t="s">
        <v>5</v>
      </c>
      <c r="AD39">
        <v>1</v>
      </c>
      <c r="AE39" t="s">
        <v>4</v>
      </c>
      <c r="AF39">
        <v>0</v>
      </c>
    </row>
    <row r="40" spans="1:36" x14ac:dyDescent="0.25">
      <c r="A40" t="str">
        <f t="shared" si="0"/>
        <v>strogatz_glider2_23654</v>
      </c>
      <c r="B40" t="s">
        <v>19</v>
      </c>
      <c r="C40" t="s">
        <v>189</v>
      </c>
      <c r="D40">
        <v>7200</v>
      </c>
      <c r="E40" t="s">
        <v>190</v>
      </c>
      <c r="F40">
        <v>1000000</v>
      </c>
      <c r="G40" t="s">
        <v>191</v>
      </c>
      <c r="H40">
        <v>23654</v>
      </c>
      <c r="I40" t="s">
        <v>192</v>
      </c>
      <c r="J40">
        <v>1E-3</v>
      </c>
      <c r="K40" t="s">
        <v>3</v>
      </c>
      <c r="L40">
        <v>1</v>
      </c>
      <c r="M40" t="s">
        <v>2</v>
      </c>
      <c r="N40">
        <v>0</v>
      </c>
      <c r="O40" t="s">
        <v>17</v>
      </c>
      <c r="P40">
        <v>13</v>
      </c>
      <c r="Q40" t="s">
        <v>0</v>
      </c>
      <c r="R40">
        <v>27.2</v>
      </c>
      <c r="S40" t="s">
        <v>152</v>
      </c>
      <c r="T40">
        <v>2</v>
      </c>
      <c r="U40" t="s">
        <v>153</v>
      </c>
      <c r="V40">
        <v>57</v>
      </c>
      <c r="W40" t="s">
        <v>151</v>
      </c>
      <c r="X40">
        <v>16306</v>
      </c>
      <c r="Y40" t="s">
        <v>1</v>
      </c>
      <c r="Z40" t="s">
        <v>901</v>
      </c>
      <c r="AA40" t="s">
        <v>838</v>
      </c>
      <c r="AB40" t="s">
        <v>902</v>
      </c>
      <c r="AC40" t="s">
        <v>572</v>
      </c>
      <c r="AD40" t="s">
        <v>578</v>
      </c>
      <c r="AE40" t="s">
        <v>5</v>
      </c>
      <c r="AF40">
        <v>1</v>
      </c>
      <c r="AG40" t="s">
        <v>4</v>
      </c>
      <c r="AH40">
        <v>0</v>
      </c>
    </row>
    <row r="41" spans="1:36" x14ac:dyDescent="0.25">
      <c r="A41" t="str">
        <f t="shared" si="0"/>
        <v>feynman_I_27_6_23654</v>
      </c>
      <c r="B41" t="s">
        <v>60</v>
      </c>
      <c r="C41" t="s">
        <v>189</v>
      </c>
      <c r="D41">
        <v>7200</v>
      </c>
      <c r="E41" t="s">
        <v>190</v>
      </c>
      <c r="F41">
        <v>1000000</v>
      </c>
      <c r="G41" t="s">
        <v>191</v>
      </c>
      <c r="H41">
        <v>23654</v>
      </c>
      <c r="I41" t="s">
        <v>192</v>
      </c>
      <c r="J41">
        <v>1E-3</v>
      </c>
      <c r="K41" t="s">
        <v>3</v>
      </c>
      <c r="L41">
        <v>1</v>
      </c>
      <c r="M41" t="s">
        <v>2</v>
      </c>
      <c r="N41">
        <v>0</v>
      </c>
      <c r="O41" t="s">
        <v>17</v>
      </c>
      <c r="P41">
        <v>14</v>
      </c>
      <c r="Q41" t="s">
        <v>0</v>
      </c>
      <c r="R41">
        <v>18.7</v>
      </c>
      <c r="S41" t="s">
        <v>152</v>
      </c>
      <c r="T41">
        <v>1</v>
      </c>
      <c r="U41" t="s">
        <v>153</v>
      </c>
      <c r="V41">
        <v>5</v>
      </c>
      <c r="W41" t="s">
        <v>151</v>
      </c>
      <c r="X41">
        <v>3009</v>
      </c>
      <c r="Y41" t="s">
        <v>1</v>
      </c>
      <c r="Z41" t="s">
        <v>903</v>
      </c>
      <c r="AA41" t="s">
        <v>838</v>
      </c>
      <c r="AB41" t="s">
        <v>904</v>
      </c>
      <c r="AC41" t="s">
        <v>572</v>
      </c>
      <c r="AD41" t="s">
        <v>579</v>
      </c>
      <c r="AE41" t="s">
        <v>5</v>
      </c>
      <c r="AF41">
        <v>1</v>
      </c>
      <c r="AG41" t="s">
        <v>4</v>
      </c>
      <c r="AH41">
        <v>0</v>
      </c>
    </row>
    <row r="42" spans="1:36" x14ac:dyDescent="0.25">
      <c r="A42" t="str">
        <f t="shared" si="0"/>
        <v>feynman_I_11_19_23654</v>
      </c>
      <c r="B42" t="s">
        <v>138</v>
      </c>
      <c r="C42" t="s">
        <v>189</v>
      </c>
      <c r="D42">
        <v>7200</v>
      </c>
      <c r="E42" t="s">
        <v>190</v>
      </c>
      <c r="F42">
        <v>1000000</v>
      </c>
      <c r="G42" t="s">
        <v>191</v>
      </c>
      <c r="H42">
        <v>23654</v>
      </c>
      <c r="I42" t="s">
        <v>192</v>
      </c>
      <c r="J42">
        <v>1E-3</v>
      </c>
      <c r="K42" t="s">
        <v>3</v>
      </c>
      <c r="L42">
        <v>1</v>
      </c>
      <c r="M42" t="s">
        <v>2</v>
      </c>
      <c r="N42">
        <v>0</v>
      </c>
      <c r="O42" t="s">
        <v>17</v>
      </c>
      <c r="P42">
        <v>18</v>
      </c>
      <c r="Q42" t="s">
        <v>0</v>
      </c>
      <c r="R42">
        <v>20.2</v>
      </c>
      <c r="S42" t="s">
        <v>152</v>
      </c>
      <c r="T42">
        <v>1</v>
      </c>
      <c r="U42" t="s">
        <v>153</v>
      </c>
      <c r="V42">
        <v>6</v>
      </c>
      <c r="W42" t="s">
        <v>151</v>
      </c>
      <c r="X42">
        <v>3229</v>
      </c>
      <c r="Y42" t="s">
        <v>1</v>
      </c>
      <c r="Z42" t="s">
        <v>905</v>
      </c>
      <c r="AA42" t="s">
        <v>838</v>
      </c>
      <c r="AB42" t="s">
        <v>906</v>
      </c>
      <c r="AC42" t="s">
        <v>572</v>
      </c>
      <c r="AD42" t="s">
        <v>580</v>
      </c>
      <c r="AE42" t="s">
        <v>572</v>
      </c>
      <c r="AF42" t="s">
        <v>581</v>
      </c>
      <c r="AG42" t="s">
        <v>5</v>
      </c>
      <c r="AH42">
        <v>1</v>
      </c>
      <c r="AI42" t="s">
        <v>4</v>
      </c>
      <c r="AJ42">
        <v>0</v>
      </c>
    </row>
    <row r="43" spans="1:36" x14ac:dyDescent="0.25">
      <c r="A43" t="str">
        <f t="shared" si="0"/>
        <v>feynman_II_15_5_23654</v>
      </c>
      <c r="B43" t="s">
        <v>69</v>
      </c>
      <c r="C43" t="s">
        <v>189</v>
      </c>
      <c r="D43">
        <v>7200</v>
      </c>
      <c r="E43" t="s">
        <v>190</v>
      </c>
      <c r="F43">
        <v>1000000</v>
      </c>
      <c r="G43" t="s">
        <v>191</v>
      </c>
      <c r="H43">
        <v>23654</v>
      </c>
      <c r="I43" t="s">
        <v>192</v>
      </c>
      <c r="J43">
        <v>1E-3</v>
      </c>
      <c r="K43" t="s">
        <v>3</v>
      </c>
      <c r="L43">
        <v>1</v>
      </c>
      <c r="M43" t="s">
        <v>2</v>
      </c>
      <c r="N43">
        <v>0</v>
      </c>
      <c r="O43" t="s">
        <v>17</v>
      </c>
      <c r="P43">
        <v>9</v>
      </c>
      <c r="Q43" t="s">
        <v>0</v>
      </c>
      <c r="R43">
        <v>26.4</v>
      </c>
      <c r="S43" t="s">
        <v>152</v>
      </c>
      <c r="T43">
        <v>1</v>
      </c>
      <c r="U43" t="s">
        <v>153</v>
      </c>
      <c r="V43">
        <v>9</v>
      </c>
      <c r="W43" t="s">
        <v>151</v>
      </c>
      <c r="X43">
        <v>4388</v>
      </c>
      <c r="Y43" t="s">
        <v>1</v>
      </c>
      <c r="Z43" t="s">
        <v>907</v>
      </c>
      <c r="AA43" t="s">
        <v>838</v>
      </c>
      <c r="AB43" t="e" cm="1">
        <f t="array" ref="AB43">-1*x0*X1*COS(X2)</f>
        <v>#NAME?</v>
      </c>
      <c r="AC43" t="s">
        <v>5</v>
      </c>
      <c r="AD43">
        <v>1</v>
      </c>
      <c r="AE43" t="s">
        <v>4</v>
      </c>
      <c r="AF43">
        <v>0</v>
      </c>
    </row>
    <row r="44" spans="1:36" x14ac:dyDescent="0.25">
      <c r="A44" t="str">
        <f t="shared" si="0"/>
        <v>feynman_I_38_12_23654</v>
      </c>
      <c r="B44" t="s">
        <v>104</v>
      </c>
      <c r="C44" t="s">
        <v>189</v>
      </c>
      <c r="D44">
        <v>7200</v>
      </c>
      <c r="E44" t="s">
        <v>190</v>
      </c>
      <c r="F44">
        <v>1000000</v>
      </c>
      <c r="G44" t="s">
        <v>191</v>
      </c>
      <c r="H44">
        <v>23654</v>
      </c>
      <c r="I44" t="s">
        <v>192</v>
      </c>
      <c r="J44">
        <v>1E-3</v>
      </c>
      <c r="K44" t="s">
        <v>3</v>
      </c>
      <c r="L44">
        <v>1</v>
      </c>
      <c r="M44" t="s">
        <v>2</v>
      </c>
      <c r="N44">
        <v>0</v>
      </c>
      <c r="O44" t="s">
        <v>17</v>
      </c>
      <c r="P44">
        <v>16</v>
      </c>
      <c r="Q44" t="s">
        <v>0</v>
      </c>
      <c r="R44">
        <v>22</v>
      </c>
      <c r="S44" t="s">
        <v>152</v>
      </c>
      <c r="T44">
        <v>1</v>
      </c>
      <c r="U44" t="s">
        <v>153</v>
      </c>
      <c r="V44">
        <v>6</v>
      </c>
      <c r="W44" t="s">
        <v>151</v>
      </c>
      <c r="X44">
        <v>3889</v>
      </c>
      <c r="Y44" t="s">
        <v>1</v>
      </c>
      <c r="Z44" t="s">
        <v>908</v>
      </c>
      <c r="AA44" t="s">
        <v>838</v>
      </c>
      <c r="AB44" t="s">
        <v>909</v>
      </c>
      <c r="AC44" t="s">
        <v>5</v>
      </c>
      <c r="AD44">
        <v>1</v>
      </c>
      <c r="AE44" t="s">
        <v>4</v>
      </c>
      <c r="AF44">
        <v>0</v>
      </c>
    </row>
    <row r="45" spans="1:36" x14ac:dyDescent="0.25">
      <c r="A45" t="str">
        <f t="shared" si="0"/>
        <v>feynman_I_12_11_23654</v>
      </c>
      <c r="B45" t="s">
        <v>130</v>
      </c>
      <c r="C45" t="s">
        <v>189</v>
      </c>
      <c r="D45">
        <v>7200</v>
      </c>
      <c r="E45" t="s">
        <v>190</v>
      </c>
      <c r="F45">
        <v>1000000</v>
      </c>
      <c r="G45" t="s">
        <v>191</v>
      </c>
      <c r="H45">
        <v>23654</v>
      </c>
      <c r="I45" t="s">
        <v>192</v>
      </c>
      <c r="J45">
        <v>1E-3</v>
      </c>
      <c r="K45" t="s">
        <v>3</v>
      </c>
      <c r="L45">
        <v>1</v>
      </c>
      <c r="M45" t="s">
        <v>2</v>
      </c>
      <c r="N45">
        <v>0</v>
      </c>
      <c r="O45" t="s">
        <v>17</v>
      </c>
      <c r="P45">
        <v>19</v>
      </c>
      <c r="Q45" t="s">
        <v>0</v>
      </c>
      <c r="R45">
        <v>31.1</v>
      </c>
      <c r="S45" t="s">
        <v>152</v>
      </c>
      <c r="T45">
        <v>1</v>
      </c>
      <c r="U45" t="s">
        <v>153</v>
      </c>
      <c r="V45">
        <v>7</v>
      </c>
      <c r="W45" t="s">
        <v>151</v>
      </c>
      <c r="X45">
        <v>5229</v>
      </c>
      <c r="Y45" t="s">
        <v>1</v>
      </c>
      <c r="Z45" t="s">
        <v>910</v>
      </c>
      <c r="AA45" t="s">
        <v>838</v>
      </c>
      <c r="AB45" t="s">
        <v>911</v>
      </c>
      <c r="AC45" t="s">
        <v>572</v>
      </c>
      <c r="AD45" t="s">
        <v>582</v>
      </c>
      <c r="AE45" t="s">
        <v>5</v>
      </c>
      <c r="AF45">
        <v>1</v>
      </c>
      <c r="AG45" t="s">
        <v>4</v>
      </c>
      <c r="AH45">
        <v>0</v>
      </c>
    </row>
    <row r="46" spans="1:36" x14ac:dyDescent="0.25">
      <c r="A46" t="str">
        <f t="shared" si="0"/>
        <v>feynman_I_32_5_23654</v>
      </c>
      <c r="B46" t="s">
        <v>108</v>
      </c>
      <c r="C46" t="s">
        <v>189</v>
      </c>
      <c r="D46">
        <v>7200</v>
      </c>
      <c r="E46" t="s">
        <v>190</v>
      </c>
      <c r="F46">
        <v>1000000</v>
      </c>
      <c r="G46" t="s">
        <v>191</v>
      </c>
      <c r="H46">
        <v>23654</v>
      </c>
      <c r="I46" t="s">
        <v>192</v>
      </c>
      <c r="J46">
        <v>1E-3</v>
      </c>
      <c r="K46" t="s">
        <v>3</v>
      </c>
      <c r="L46">
        <v>1</v>
      </c>
      <c r="M46" t="s">
        <v>2</v>
      </c>
      <c r="N46">
        <v>0</v>
      </c>
      <c r="O46" t="s">
        <v>17</v>
      </c>
      <c r="P46">
        <v>18</v>
      </c>
      <c r="Q46" t="s">
        <v>0</v>
      </c>
      <c r="R46">
        <v>29.9</v>
      </c>
      <c r="S46" t="s">
        <v>152</v>
      </c>
      <c r="T46">
        <v>1</v>
      </c>
      <c r="U46" t="s">
        <v>153</v>
      </c>
      <c r="V46">
        <v>7</v>
      </c>
      <c r="W46" t="s">
        <v>151</v>
      </c>
      <c r="X46">
        <v>5002</v>
      </c>
      <c r="Y46" t="s">
        <v>1</v>
      </c>
      <c r="Z46" t="s">
        <v>912</v>
      </c>
      <c r="AA46" t="s">
        <v>838</v>
      </c>
      <c r="AB46" t="s">
        <v>913</v>
      </c>
      <c r="AC46" t="s">
        <v>5</v>
      </c>
      <c r="AD46">
        <v>1</v>
      </c>
      <c r="AE46" t="s">
        <v>4</v>
      </c>
      <c r="AF46">
        <v>0</v>
      </c>
    </row>
    <row r="47" spans="1:36" x14ac:dyDescent="0.25">
      <c r="A47" t="str">
        <f t="shared" si="0"/>
        <v>feynman_II_27_16_23654</v>
      </c>
      <c r="B47" t="s">
        <v>79</v>
      </c>
      <c r="C47" t="s">
        <v>189</v>
      </c>
      <c r="D47">
        <v>7200</v>
      </c>
      <c r="E47" t="s">
        <v>190</v>
      </c>
      <c r="F47">
        <v>1000000</v>
      </c>
      <c r="G47" t="s">
        <v>191</v>
      </c>
      <c r="H47">
        <v>23654</v>
      </c>
      <c r="I47" t="s">
        <v>192</v>
      </c>
      <c r="J47">
        <v>1E-3</v>
      </c>
      <c r="K47" t="s">
        <v>3</v>
      </c>
      <c r="L47">
        <v>1</v>
      </c>
      <c r="M47" t="s">
        <v>2</v>
      </c>
      <c r="N47">
        <v>0</v>
      </c>
      <c r="O47" t="s">
        <v>17</v>
      </c>
      <c r="P47">
        <v>10</v>
      </c>
      <c r="Q47" t="s">
        <v>0</v>
      </c>
      <c r="R47">
        <v>26.6</v>
      </c>
      <c r="S47" t="s">
        <v>152</v>
      </c>
      <c r="T47">
        <v>1</v>
      </c>
      <c r="U47" t="s">
        <v>153</v>
      </c>
      <c r="V47">
        <v>7</v>
      </c>
      <c r="W47" t="s">
        <v>151</v>
      </c>
      <c r="X47">
        <v>4051</v>
      </c>
      <c r="Y47" t="s">
        <v>1</v>
      </c>
      <c r="Z47" t="s">
        <v>914</v>
      </c>
      <c r="AA47" t="s">
        <v>838</v>
      </c>
      <c r="AB47" t="s">
        <v>915</v>
      </c>
      <c r="AC47" t="s">
        <v>5</v>
      </c>
      <c r="AD47">
        <v>1</v>
      </c>
      <c r="AE47" t="s">
        <v>4</v>
      </c>
      <c r="AF47">
        <v>0</v>
      </c>
    </row>
    <row r="48" spans="1:36" x14ac:dyDescent="0.25">
      <c r="A48" t="str">
        <f t="shared" si="0"/>
        <v>feynman_II_15_4_23654</v>
      </c>
      <c r="B48" t="s">
        <v>70</v>
      </c>
      <c r="C48" t="s">
        <v>189</v>
      </c>
      <c r="D48">
        <v>7200</v>
      </c>
      <c r="E48" t="s">
        <v>190</v>
      </c>
      <c r="F48">
        <v>1000000</v>
      </c>
      <c r="G48" t="s">
        <v>191</v>
      </c>
      <c r="H48">
        <v>23654</v>
      </c>
      <c r="I48" t="s">
        <v>192</v>
      </c>
      <c r="J48">
        <v>1E-3</v>
      </c>
      <c r="K48" t="s">
        <v>3</v>
      </c>
      <c r="L48">
        <v>1</v>
      </c>
      <c r="M48" t="s">
        <v>2</v>
      </c>
      <c r="N48">
        <v>0</v>
      </c>
      <c r="O48" t="s">
        <v>17</v>
      </c>
      <c r="P48">
        <v>9</v>
      </c>
      <c r="Q48" t="s">
        <v>0</v>
      </c>
      <c r="R48">
        <v>28.6</v>
      </c>
      <c r="S48" t="s">
        <v>152</v>
      </c>
      <c r="T48">
        <v>1</v>
      </c>
      <c r="U48" t="s">
        <v>153</v>
      </c>
      <c r="V48">
        <v>9</v>
      </c>
      <c r="W48" t="s">
        <v>151</v>
      </c>
      <c r="X48">
        <v>4549</v>
      </c>
      <c r="Y48" t="s">
        <v>1</v>
      </c>
      <c r="Z48" t="s">
        <v>907</v>
      </c>
      <c r="AA48" t="s">
        <v>838</v>
      </c>
      <c r="AB48" t="e" cm="1">
        <f t="array" ref="AB48">-1*x0*X1*COS(X2)</f>
        <v>#NAME?</v>
      </c>
      <c r="AC48" t="s">
        <v>5</v>
      </c>
      <c r="AD48">
        <v>1</v>
      </c>
      <c r="AE48" t="s">
        <v>4</v>
      </c>
      <c r="AF48">
        <v>0</v>
      </c>
    </row>
    <row r="49" spans="1:38" x14ac:dyDescent="0.25">
      <c r="A49" t="str">
        <f t="shared" si="0"/>
        <v>feynman_III_19_51_23654</v>
      </c>
      <c r="B49" t="s">
        <v>135</v>
      </c>
      <c r="C49" t="s">
        <v>189</v>
      </c>
      <c r="D49">
        <v>7200</v>
      </c>
      <c r="E49" t="s">
        <v>190</v>
      </c>
      <c r="F49">
        <v>1000000</v>
      </c>
      <c r="G49" t="s">
        <v>191</v>
      </c>
      <c r="H49">
        <v>23654</v>
      </c>
      <c r="I49" t="s">
        <v>192</v>
      </c>
      <c r="J49">
        <v>1E-3</v>
      </c>
      <c r="K49" t="s">
        <v>3</v>
      </c>
      <c r="L49">
        <v>1</v>
      </c>
      <c r="M49" t="s">
        <v>2</v>
      </c>
      <c r="N49">
        <v>0</v>
      </c>
      <c r="O49" t="s">
        <v>17</v>
      </c>
      <c r="P49">
        <v>20</v>
      </c>
      <c r="Q49" t="s">
        <v>0</v>
      </c>
      <c r="R49">
        <v>39.5</v>
      </c>
      <c r="S49" t="s">
        <v>152</v>
      </c>
      <c r="T49">
        <v>1</v>
      </c>
      <c r="U49" t="s">
        <v>153</v>
      </c>
      <c r="V49">
        <v>7</v>
      </c>
      <c r="W49" t="s">
        <v>151</v>
      </c>
      <c r="X49">
        <v>6400</v>
      </c>
      <c r="Y49" t="s">
        <v>1</v>
      </c>
      <c r="Z49" t="s">
        <v>916</v>
      </c>
      <c r="AA49" t="s">
        <v>838</v>
      </c>
      <c r="AB49" t="s">
        <v>917</v>
      </c>
      <c r="AC49" t="s">
        <v>5</v>
      </c>
      <c r="AD49">
        <v>1</v>
      </c>
      <c r="AE49" t="s">
        <v>4</v>
      </c>
      <c r="AF49">
        <v>0</v>
      </c>
    </row>
    <row r="50" spans="1:38" x14ac:dyDescent="0.25">
      <c r="A50" t="str">
        <f t="shared" si="0"/>
        <v>strogatz_vdp1_23654</v>
      </c>
      <c r="B50" t="s">
        <v>30</v>
      </c>
      <c r="C50" t="s">
        <v>189</v>
      </c>
      <c r="D50">
        <v>7200</v>
      </c>
      <c r="E50" t="s">
        <v>190</v>
      </c>
      <c r="F50">
        <v>1000000</v>
      </c>
      <c r="G50" t="s">
        <v>191</v>
      </c>
      <c r="H50">
        <v>23654</v>
      </c>
      <c r="I50" t="s">
        <v>192</v>
      </c>
      <c r="J50">
        <v>1E-3</v>
      </c>
      <c r="K50" t="s">
        <v>3</v>
      </c>
      <c r="L50">
        <v>1</v>
      </c>
      <c r="M50" t="s">
        <v>2</v>
      </c>
      <c r="N50">
        <v>0</v>
      </c>
      <c r="O50" t="s">
        <v>17</v>
      </c>
      <c r="P50">
        <v>14</v>
      </c>
      <c r="Q50" t="s">
        <v>0</v>
      </c>
      <c r="R50">
        <v>19</v>
      </c>
      <c r="S50" t="s">
        <v>152</v>
      </c>
      <c r="T50">
        <v>2</v>
      </c>
      <c r="U50" t="s">
        <v>153</v>
      </c>
      <c r="V50">
        <v>13</v>
      </c>
      <c r="W50" t="s">
        <v>151</v>
      </c>
      <c r="X50">
        <v>8286</v>
      </c>
      <c r="Y50" t="s">
        <v>1</v>
      </c>
      <c r="Z50" t="s">
        <v>918</v>
      </c>
      <c r="AA50" t="s">
        <v>838</v>
      </c>
      <c r="AB50" t="s">
        <v>919</v>
      </c>
      <c r="AC50" t="s">
        <v>569</v>
      </c>
      <c r="AD50" t="s">
        <v>583</v>
      </c>
      <c r="AE50" t="s">
        <v>572</v>
      </c>
      <c r="AF50" t="s">
        <v>584</v>
      </c>
      <c r="AG50" t="s">
        <v>5</v>
      </c>
      <c r="AH50">
        <v>1</v>
      </c>
      <c r="AI50" t="s">
        <v>4</v>
      </c>
      <c r="AJ50">
        <v>0</v>
      </c>
    </row>
    <row r="51" spans="1:38" x14ac:dyDescent="0.25">
      <c r="A51" t="str">
        <f t="shared" si="0"/>
        <v>strogatz_lv2_23654</v>
      </c>
      <c r="B51" t="s">
        <v>27</v>
      </c>
      <c r="C51" t="s">
        <v>189</v>
      </c>
      <c r="D51">
        <v>7200</v>
      </c>
      <c r="E51" t="s">
        <v>190</v>
      </c>
      <c r="F51">
        <v>1000000</v>
      </c>
      <c r="G51" t="s">
        <v>191</v>
      </c>
      <c r="H51">
        <v>23654</v>
      </c>
      <c r="I51" t="s">
        <v>192</v>
      </c>
      <c r="J51">
        <v>1E-3</v>
      </c>
      <c r="K51" t="s">
        <v>3</v>
      </c>
      <c r="L51">
        <v>1</v>
      </c>
      <c r="M51" t="s">
        <v>2</v>
      </c>
      <c r="N51">
        <v>0</v>
      </c>
      <c r="O51" t="s">
        <v>17</v>
      </c>
      <c r="P51">
        <v>16</v>
      </c>
      <c r="Q51" t="s">
        <v>0</v>
      </c>
      <c r="R51">
        <v>84.6</v>
      </c>
      <c r="S51" t="s">
        <v>152</v>
      </c>
      <c r="T51">
        <v>4</v>
      </c>
      <c r="U51" t="s">
        <v>153</v>
      </c>
      <c r="V51">
        <v>44</v>
      </c>
      <c r="W51" t="s">
        <v>151</v>
      </c>
      <c r="X51">
        <v>34058</v>
      </c>
      <c r="Y51" t="s">
        <v>1</v>
      </c>
      <c r="Z51" t="s">
        <v>920</v>
      </c>
      <c r="AA51" t="s">
        <v>838</v>
      </c>
      <c r="AB51" t="e" cm="1">
        <f t="array" ref="AB51">-1*x0*X1</f>
        <v>#NAME?</v>
      </c>
      <c r="AC51" t="s">
        <v>572</v>
      </c>
      <c r="AD51" t="s">
        <v>585</v>
      </c>
      <c r="AE51" t="s">
        <v>569</v>
      </c>
      <c r="AF51" t="s">
        <v>586</v>
      </c>
      <c r="AG51" t="s">
        <v>5</v>
      </c>
      <c r="AH51">
        <v>1</v>
      </c>
      <c r="AI51" t="s">
        <v>4</v>
      </c>
      <c r="AJ51">
        <v>0</v>
      </c>
    </row>
    <row r="52" spans="1:38" x14ac:dyDescent="0.25">
      <c r="A52" t="str">
        <f t="shared" si="0"/>
        <v>feynman_I_24_6_23654</v>
      </c>
      <c r="B52" t="s">
        <v>106</v>
      </c>
      <c r="C52" t="s">
        <v>189</v>
      </c>
      <c r="D52">
        <v>7200</v>
      </c>
      <c r="E52" t="s">
        <v>190</v>
      </c>
      <c r="F52">
        <v>1000000</v>
      </c>
      <c r="G52" t="s">
        <v>191</v>
      </c>
      <c r="H52">
        <v>23654</v>
      </c>
      <c r="I52" t="s">
        <v>192</v>
      </c>
      <c r="J52">
        <v>1E-3</v>
      </c>
      <c r="K52" t="s">
        <v>3</v>
      </c>
      <c r="L52">
        <v>1</v>
      </c>
      <c r="M52" t="s">
        <v>2</v>
      </c>
      <c r="N52">
        <v>0</v>
      </c>
      <c r="O52" t="s">
        <v>17</v>
      </c>
      <c r="P52">
        <v>30</v>
      </c>
      <c r="Q52" t="s">
        <v>0</v>
      </c>
      <c r="R52">
        <v>68.400000000000006</v>
      </c>
      <c r="S52" t="s">
        <v>152</v>
      </c>
      <c r="T52">
        <v>1</v>
      </c>
      <c r="U52" t="s">
        <v>153</v>
      </c>
      <c r="V52">
        <v>9</v>
      </c>
      <c r="W52" t="s">
        <v>151</v>
      </c>
      <c r="X52">
        <v>9553</v>
      </c>
      <c r="Y52" t="s">
        <v>1</v>
      </c>
      <c r="Z52" t="s">
        <v>921</v>
      </c>
      <c r="AA52" t="s">
        <v>838</v>
      </c>
      <c r="AB52" t="s">
        <v>922</v>
      </c>
      <c r="AC52" t="s">
        <v>569</v>
      </c>
      <c r="AD52" t="s">
        <v>587</v>
      </c>
      <c r="AE52" t="s">
        <v>572</v>
      </c>
      <c r="AF52" t="s">
        <v>588</v>
      </c>
      <c r="AG52" t="s">
        <v>572</v>
      </c>
      <c r="AH52" t="s">
        <v>589</v>
      </c>
      <c r="AI52" t="s">
        <v>5</v>
      </c>
      <c r="AJ52">
        <v>1</v>
      </c>
      <c r="AK52" t="s">
        <v>4</v>
      </c>
      <c r="AL52">
        <v>0</v>
      </c>
    </row>
    <row r="53" spans="1:38" x14ac:dyDescent="0.25">
      <c r="A53" t="str">
        <f t="shared" si="0"/>
        <v>feynman_III_17_37_23654</v>
      </c>
      <c r="B53" t="s">
        <v>77</v>
      </c>
      <c r="C53" t="s">
        <v>189</v>
      </c>
      <c r="D53">
        <v>7200</v>
      </c>
      <c r="E53" t="s">
        <v>190</v>
      </c>
      <c r="F53">
        <v>1000000</v>
      </c>
      <c r="G53" t="s">
        <v>191</v>
      </c>
      <c r="H53">
        <v>23654</v>
      </c>
      <c r="I53" t="s">
        <v>192</v>
      </c>
      <c r="J53">
        <v>1E-3</v>
      </c>
      <c r="K53" t="s">
        <v>3</v>
      </c>
      <c r="L53">
        <v>1</v>
      </c>
      <c r="M53" t="s">
        <v>2</v>
      </c>
      <c r="N53">
        <v>0</v>
      </c>
      <c r="O53" t="s">
        <v>17</v>
      </c>
      <c r="P53">
        <v>13</v>
      </c>
      <c r="Q53" t="s">
        <v>0</v>
      </c>
      <c r="R53">
        <v>157.9</v>
      </c>
      <c r="S53" t="s">
        <v>152</v>
      </c>
      <c r="T53">
        <v>2</v>
      </c>
      <c r="U53" t="s">
        <v>153</v>
      </c>
      <c r="V53">
        <v>21</v>
      </c>
      <c r="W53" t="s">
        <v>151</v>
      </c>
      <c r="X53">
        <v>19965</v>
      </c>
      <c r="Y53" t="s">
        <v>1</v>
      </c>
      <c r="Z53" t="s">
        <v>923</v>
      </c>
      <c r="AA53" t="s">
        <v>838</v>
      </c>
      <c r="AB53" t="s">
        <v>924</v>
      </c>
      <c r="AC53" t="s">
        <v>572</v>
      </c>
      <c r="AD53" t="s">
        <v>573</v>
      </c>
      <c r="AE53" t="s">
        <v>5</v>
      </c>
      <c r="AF53">
        <v>1</v>
      </c>
      <c r="AG53" t="s">
        <v>4</v>
      </c>
      <c r="AH53">
        <v>0</v>
      </c>
    </row>
    <row r="54" spans="1:38" x14ac:dyDescent="0.25">
      <c r="A54" t="str">
        <f t="shared" si="0"/>
        <v>strogatz_barmag2_23654</v>
      </c>
      <c r="B54" t="s">
        <v>24</v>
      </c>
      <c r="C54" t="s">
        <v>189</v>
      </c>
      <c r="D54">
        <v>7200</v>
      </c>
      <c r="E54" t="s">
        <v>190</v>
      </c>
      <c r="F54">
        <v>1000000</v>
      </c>
      <c r="G54" t="s">
        <v>191</v>
      </c>
      <c r="H54">
        <v>23654</v>
      </c>
      <c r="I54" t="s">
        <v>192</v>
      </c>
      <c r="J54">
        <v>1E-3</v>
      </c>
      <c r="K54" t="s">
        <v>3</v>
      </c>
      <c r="L54">
        <v>1</v>
      </c>
      <c r="M54" t="s">
        <v>2</v>
      </c>
      <c r="N54">
        <v>0</v>
      </c>
      <c r="O54" t="s">
        <v>17</v>
      </c>
      <c r="P54">
        <v>14</v>
      </c>
      <c r="Q54" t="s">
        <v>0</v>
      </c>
      <c r="R54">
        <v>169.6</v>
      </c>
      <c r="S54" t="s">
        <v>152</v>
      </c>
      <c r="T54">
        <v>4</v>
      </c>
      <c r="U54" t="s">
        <v>153</v>
      </c>
      <c r="V54">
        <v>72</v>
      </c>
      <c r="W54" t="s">
        <v>151</v>
      </c>
      <c r="X54">
        <v>69678</v>
      </c>
      <c r="Y54" t="s">
        <v>1</v>
      </c>
      <c r="Z54" t="s">
        <v>925</v>
      </c>
      <c r="AA54" t="s">
        <v>838</v>
      </c>
      <c r="AB54">
        <f>-1.0000000000001*SIN(X1)</f>
        <v>0.97845035079347742</v>
      </c>
      <c r="AC54" t="s">
        <v>569</v>
      </c>
      <c r="AD54" t="s">
        <v>590</v>
      </c>
      <c r="AE54" t="s">
        <v>569</v>
      </c>
      <c r="AF54" t="s">
        <v>591</v>
      </c>
      <c r="AG54" t="s">
        <v>5</v>
      </c>
      <c r="AH54">
        <v>1</v>
      </c>
      <c r="AI54" t="s">
        <v>4</v>
      </c>
      <c r="AJ54">
        <v>0</v>
      </c>
    </row>
    <row r="55" spans="1:38" x14ac:dyDescent="0.25">
      <c r="A55" t="str">
        <f t="shared" si="0"/>
        <v>feynman_test_19_23654</v>
      </c>
      <c r="B55" t="s">
        <v>139</v>
      </c>
      <c r="C55" t="s">
        <v>189</v>
      </c>
      <c r="D55">
        <v>7200</v>
      </c>
      <c r="E55" t="s">
        <v>190</v>
      </c>
      <c r="F55">
        <v>1000000</v>
      </c>
      <c r="G55" t="s">
        <v>191</v>
      </c>
      <c r="H55">
        <v>23654</v>
      </c>
      <c r="I55" t="s">
        <v>192</v>
      </c>
      <c r="J55">
        <v>1E-3</v>
      </c>
      <c r="K55" t="s">
        <v>3</v>
      </c>
      <c r="L55">
        <v>1</v>
      </c>
      <c r="M55" t="s">
        <v>2</v>
      </c>
      <c r="N55">
        <v>0</v>
      </c>
      <c r="O55" t="s">
        <v>17</v>
      </c>
      <c r="P55">
        <v>48</v>
      </c>
      <c r="Q55" t="s">
        <v>0</v>
      </c>
      <c r="R55">
        <v>156.4</v>
      </c>
      <c r="S55" t="s">
        <v>152</v>
      </c>
      <c r="T55">
        <v>1</v>
      </c>
      <c r="U55" t="s">
        <v>153</v>
      </c>
      <c r="V55">
        <v>10</v>
      </c>
      <c r="W55" t="s">
        <v>151</v>
      </c>
      <c r="X55">
        <v>18673</v>
      </c>
      <c r="Y55" t="s">
        <v>1</v>
      </c>
      <c r="Z55" t="s">
        <v>926</v>
      </c>
      <c r="AA55" t="s">
        <v>838</v>
      </c>
      <c r="AB55" t="s">
        <v>927</v>
      </c>
      <c r="AC55" t="s">
        <v>572</v>
      </c>
      <c r="AD55" t="s">
        <v>592</v>
      </c>
      <c r="AE55" t="s">
        <v>569</v>
      </c>
      <c r="AF55" t="s">
        <v>593</v>
      </c>
      <c r="AG55" t="s">
        <v>5</v>
      </c>
      <c r="AH55">
        <v>1</v>
      </c>
      <c r="AI55" t="s">
        <v>4</v>
      </c>
      <c r="AJ55">
        <v>0</v>
      </c>
    </row>
    <row r="56" spans="1:38" x14ac:dyDescent="0.25">
      <c r="A56" t="str">
        <f t="shared" si="0"/>
        <v>feynman_II_6_11_23654</v>
      </c>
      <c r="B56" t="s">
        <v>116</v>
      </c>
      <c r="C56" t="s">
        <v>189</v>
      </c>
      <c r="D56">
        <v>7200</v>
      </c>
      <c r="E56" t="s">
        <v>190</v>
      </c>
      <c r="F56">
        <v>1000000</v>
      </c>
      <c r="G56" t="s">
        <v>191</v>
      </c>
      <c r="H56">
        <v>23654</v>
      </c>
      <c r="I56" t="s">
        <v>192</v>
      </c>
      <c r="J56">
        <v>1E-3</v>
      </c>
      <c r="K56" t="s">
        <v>3</v>
      </c>
      <c r="L56">
        <v>1</v>
      </c>
      <c r="M56" t="s">
        <v>2</v>
      </c>
      <c r="N56">
        <v>0</v>
      </c>
      <c r="O56" t="s">
        <v>17</v>
      </c>
      <c r="P56">
        <v>15</v>
      </c>
      <c r="Q56" t="s">
        <v>0</v>
      </c>
      <c r="R56">
        <v>64.2</v>
      </c>
      <c r="S56" t="s">
        <v>152</v>
      </c>
      <c r="T56">
        <v>2</v>
      </c>
      <c r="U56" t="s">
        <v>153</v>
      </c>
      <c r="V56">
        <v>11</v>
      </c>
      <c r="W56" t="s">
        <v>151</v>
      </c>
      <c r="X56">
        <v>9198</v>
      </c>
      <c r="Y56" t="s">
        <v>1</v>
      </c>
      <c r="Z56" t="s">
        <v>928</v>
      </c>
      <c r="AA56" t="s">
        <v>838</v>
      </c>
      <c r="AB56" t="s">
        <v>929</v>
      </c>
      <c r="AC56" t="s">
        <v>5</v>
      </c>
      <c r="AD56">
        <v>1</v>
      </c>
      <c r="AE56" t="s">
        <v>4</v>
      </c>
      <c r="AF56">
        <v>0</v>
      </c>
    </row>
    <row r="57" spans="1:38" x14ac:dyDescent="0.25">
      <c r="A57" t="str">
        <f t="shared" si="0"/>
        <v>feynman_II_11_3_23654</v>
      </c>
      <c r="B57" t="s">
        <v>126</v>
      </c>
      <c r="C57" t="s">
        <v>189</v>
      </c>
      <c r="D57">
        <v>7200</v>
      </c>
      <c r="E57" t="s">
        <v>190</v>
      </c>
      <c r="F57">
        <v>1000000</v>
      </c>
      <c r="G57" t="s">
        <v>191</v>
      </c>
      <c r="H57">
        <v>23654</v>
      </c>
      <c r="I57" t="s">
        <v>192</v>
      </c>
      <c r="J57">
        <v>1E-3</v>
      </c>
      <c r="K57" t="s">
        <v>3</v>
      </c>
      <c r="L57">
        <v>1</v>
      </c>
      <c r="M57" t="s">
        <v>2</v>
      </c>
      <c r="N57">
        <v>0</v>
      </c>
      <c r="O57" t="s">
        <v>17</v>
      </c>
      <c r="P57">
        <v>22</v>
      </c>
      <c r="Q57" t="s">
        <v>0</v>
      </c>
      <c r="R57">
        <v>244.5</v>
      </c>
      <c r="S57" t="s">
        <v>152</v>
      </c>
      <c r="T57">
        <v>5</v>
      </c>
      <c r="U57" t="s">
        <v>153</v>
      </c>
      <c r="V57">
        <v>25</v>
      </c>
      <c r="W57" t="s">
        <v>151</v>
      </c>
      <c r="X57">
        <v>36260</v>
      </c>
      <c r="Y57" t="s">
        <v>1</v>
      </c>
      <c r="Z57" t="s">
        <v>930</v>
      </c>
      <c r="AA57" t="s">
        <v>838</v>
      </c>
      <c r="AB57" t="s">
        <v>931</v>
      </c>
      <c r="AC57" t="s">
        <v>569</v>
      </c>
      <c r="AD57" t="s">
        <v>594</v>
      </c>
      <c r="AE57" t="s">
        <v>5</v>
      </c>
      <c r="AF57">
        <v>1</v>
      </c>
      <c r="AG57" t="s">
        <v>4</v>
      </c>
      <c r="AH57">
        <v>0</v>
      </c>
    </row>
    <row r="58" spans="1:38" x14ac:dyDescent="0.25">
      <c r="A58" t="str">
        <f t="shared" si="0"/>
        <v>feynman_II_8_7_23654</v>
      </c>
      <c r="B58" t="s">
        <v>80</v>
      </c>
      <c r="C58" t="s">
        <v>189</v>
      </c>
      <c r="D58">
        <v>7200</v>
      </c>
      <c r="E58" t="s">
        <v>190</v>
      </c>
      <c r="F58">
        <v>1000000</v>
      </c>
      <c r="G58" t="s">
        <v>191</v>
      </c>
      <c r="H58">
        <v>23654</v>
      </c>
      <c r="I58" t="s">
        <v>192</v>
      </c>
      <c r="J58">
        <v>1E-3</v>
      </c>
      <c r="K58" t="s">
        <v>3</v>
      </c>
      <c r="L58">
        <v>1</v>
      </c>
      <c r="M58" t="s">
        <v>2</v>
      </c>
      <c r="N58">
        <v>0</v>
      </c>
      <c r="O58" t="s">
        <v>17</v>
      </c>
      <c r="P58">
        <v>14</v>
      </c>
      <c r="Q58" t="s">
        <v>0</v>
      </c>
      <c r="R58">
        <v>226.8</v>
      </c>
      <c r="S58" t="s">
        <v>152</v>
      </c>
      <c r="T58">
        <v>2</v>
      </c>
      <c r="U58" t="s">
        <v>153</v>
      </c>
      <c r="V58">
        <v>62</v>
      </c>
      <c r="W58" t="s">
        <v>151</v>
      </c>
      <c r="X58">
        <v>40856</v>
      </c>
      <c r="Y58" t="s">
        <v>1</v>
      </c>
      <c r="Z58" t="s">
        <v>932</v>
      </c>
      <c r="AA58" t="s">
        <v>838</v>
      </c>
      <c r="AB58" t="s">
        <v>933</v>
      </c>
      <c r="AC58" t="s">
        <v>5</v>
      </c>
      <c r="AD58">
        <v>1</v>
      </c>
      <c r="AE58" t="s">
        <v>4</v>
      </c>
      <c r="AF58">
        <v>0</v>
      </c>
    </row>
    <row r="59" spans="1:38" x14ac:dyDescent="0.25">
      <c r="A59" t="str">
        <f t="shared" si="0"/>
        <v>strogatz_bacres2_23654</v>
      </c>
      <c r="B59" t="s">
        <v>22</v>
      </c>
      <c r="C59" t="s">
        <v>189</v>
      </c>
      <c r="D59">
        <v>7200</v>
      </c>
      <c r="E59" t="s">
        <v>190</v>
      </c>
      <c r="F59">
        <v>1000000</v>
      </c>
      <c r="G59" t="s">
        <v>191</v>
      </c>
      <c r="H59">
        <v>23654</v>
      </c>
      <c r="I59" t="s">
        <v>192</v>
      </c>
      <c r="J59">
        <v>1E-3</v>
      </c>
      <c r="K59" t="s">
        <v>3</v>
      </c>
      <c r="L59">
        <v>1</v>
      </c>
      <c r="M59" t="s">
        <v>2</v>
      </c>
      <c r="N59">
        <v>0</v>
      </c>
      <c r="O59" t="s">
        <v>17</v>
      </c>
      <c r="P59">
        <v>16</v>
      </c>
      <c r="Q59" t="s">
        <v>0</v>
      </c>
      <c r="R59">
        <v>9.6</v>
      </c>
      <c r="S59" t="s">
        <v>152</v>
      </c>
      <c r="T59">
        <v>3</v>
      </c>
      <c r="U59" t="s">
        <v>153</v>
      </c>
      <c r="V59">
        <v>9</v>
      </c>
      <c r="W59" t="s">
        <v>151</v>
      </c>
      <c r="X59">
        <v>5224</v>
      </c>
      <c r="Y59" t="s">
        <v>1</v>
      </c>
      <c r="Z59" t="s">
        <v>934</v>
      </c>
      <c r="AA59" t="s">
        <v>838</v>
      </c>
      <c r="AB59" t="s">
        <v>935</v>
      </c>
      <c r="AC59" t="s">
        <v>572</v>
      </c>
      <c r="AD59" t="s">
        <v>574</v>
      </c>
      <c r="AE59" t="s">
        <v>572</v>
      </c>
      <c r="AF59">
        <v>10</v>
      </c>
      <c r="AG59" t="s">
        <v>5</v>
      </c>
      <c r="AH59">
        <v>1</v>
      </c>
      <c r="AI59" t="s">
        <v>4</v>
      </c>
      <c r="AJ59">
        <v>0</v>
      </c>
    </row>
    <row r="60" spans="1:38" x14ac:dyDescent="0.25">
      <c r="A60" t="str">
        <f t="shared" si="0"/>
        <v>feynman_II_36_38_23654</v>
      </c>
      <c r="B60" t="s">
        <v>149</v>
      </c>
      <c r="C60" t="s">
        <v>189</v>
      </c>
      <c r="D60">
        <v>7200</v>
      </c>
      <c r="E60" t="s">
        <v>190</v>
      </c>
      <c r="F60">
        <v>1000000</v>
      </c>
      <c r="G60" t="s">
        <v>191</v>
      </c>
      <c r="H60">
        <v>23654</v>
      </c>
      <c r="I60" t="s">
        <v>192</v>
      </c>
      <c r="J60">
        <v>1E-3</v>
      </c>
      <c r="K60" t="s">
        <v>3</v>
      </c>
      <c r="L60">
        <v>1</v>
      </c>
      <c r="M60" t="s">
        <v>2</v>
      </c>
      <c r="N60">
        <v>0</v>
      </c>
      <c r="O60" t="s">
        <v>17</v>
      </c>
      <c r="P60">
        <v>38</v>
      </c>
      <c r="Q60" t="s">
        <v>0</v>
      </c>
      <c r="R60">
        <v>293.89999999999998</v>
      </c>
      <c r="S60" t="s">
        <v>152</v>
      </c>
      <c r="T60">
        <v>1</v>
      </c>
      <c r="U60" t="s">
        <v>153</v>
      </c>
      <c r="V60">
        <v>14</v>
      </c>
      <c r="W60" t="s">
        <v>151</v>
      </c>
      <c r="X60">
        <v>33314</v>
      </c>
      <c r="Y60" t="s">
        <v>1</v>
      </c>
      <c r="Z60" t="s">
        <v>936</v>
      </c>
      <c r="AA60" t="s">
        <v>838</v>
      </c>
      <c r="AB60" t="s">
        <v>937</v>
      </c>
      <c r="AC60" t="s">
        <v>572</v>
      </c>
      <c r="AD60" t="s">
        <v>595</v>
      </c>
      <c r="AE60" t="s">
        <v>5</v>
      </c>
      <c r="AF60">
        <v>1</v>
      </c>
      <c r="AG60" t="s">
        <v>4</v>
      </c>
      <c r="AH60">
        <v>0</v>
      </c>
    </row>
    <row r="61" spans="1:38" x14ac:dyDescent="0.25">
      <c r="A61" t="str">
        <f t="shared" si="0"/>
        <v>feynman_I_43_43_23654</v>
      </c>
      <c r="B61" t="s">
        <v>90</v>
      </c>
      <c r="C61" t="s">
        <v>189</v>
      </c>
      <c r="D61">
        <v>7200</v>
      </c>
      <c r="E61" t="s">
        <v>190</v>
      </c>
      <c r="F61">
        <v>1000000</v>
      </c>
      <c r="G61" t="s">
        <v>191</v>
      </c>
      <c r="H61">
        <v>23654</v>
      </c>
      <c r="I61" t="s">
        <v>192</v>
      </c>
      <c r="J61">
        <v>1E-3</v>
      </c>
      <c r="K61" t="s">
        <v>3</v>
      </c>
      <c r="L61">
        <v>1</v>
      </c>
      <c r="M61" t="s">
        <v>2</v>
      </c>
      <c r="N61">
        <v>0</v>
      </c>
      <c r="O61" t="s">
        <v>17</v>
      </c>
      <c r="P61">
        <v>18</v>
      </c>
      <c r="Q61" t="s">
        <v>0</v>
      </c>
      <c r="R61">
        <v>473</v>
      </c>
      <c r="S61" t="s">
        <v>152</v>
      </c>
      <c r="T61">
        <v>6</v>
      </c>
      <c r="U61" t="s">
        <v>153</v>
      </c>
      <c r="V61">
        <v>51</v>
      </c>
      <c r="W61" t="s">
        <v>151</v>
      </c>
      <c r="X61">
        <v>69762</v>
      </c>
      <c r="Y61" t="s">
        <v>1</v>
      </c>
      <c r="Z61" t="s">
        <v>938</v>
      </c>
      <c r="AA61" t="s">
        <v>838</v>
      </c>
      <c r="AB61" t="s">
        <v>939</v>
      </c>
      <c r="AC61" t="s">
        <v>569</v>
      </c>
      <c r="AD61" t="s">
        <v>596</v>
      </c>
      <c r="AE61" t="s">
        <v>5</v>
      </c>
      <c r="AF61">
        <v>1</v>
      </c>
      <c r="AG61" t="s">
        <v>4</v>
      </c>
      <c r="AH61">
        <v>0</v>
      </c>
    </row>
    <row r="62" spans="1:38" x14ac:dyDescent="0.25">
      <c r="A62" t="str">
        <f t="shared" si="0"/>
        <v>strogatz_predprey2_23654</v>
      </c>
      <c r="B62" t="s">
        <v>28</v>
      </c>
      <c r="C62" t="s">
        <v>189</v>
      </c>
      <c r="D62">
        <v>7200</v>
      </c>
      <c r="E62" t="s">
        <v>190</v>
      </c>
      <c r="F62">
        <v>1000000</v>
      </c>
      <c r="G62" t="s">
        <v>191</v>
      </c>
      <c r="H62">
        <v>23654</v>
      </c>
      <c r="I62" t="s">
        <v>192</v>
      </c>
      <c r="J62">
        <v>1E-3</v>
      </c>
      <c r="K62" t="s">
        <v>3</v>
      </c>
      <c r="L62">
        <v>1</v>
      </c>
      <c r="M62" t="s">
        <v>2</v>
      </c>
      <c r="N62">
        <v>0</v>
      </c>
      <c r="O62" t="s">
        <v>17</v>
      </c>
      <c r="P62">
        <v>18</v>
      </c>
      <c r="Q62" t="s">
        <v>0</v>
      </c>
      <c r="R62">
        <v>42.4</v>
      </c>
      <c r="S62" t="s">
        <v>152</v>
      </c>
      <c r="T62">
        <v>2</v>
      </c>
      <c r="U62" t="s">
        <v>153</v>
      </c>
      <c r="V62">
        <v>16</v>
      </c>
      <c r="W62" t="s">
        <v>151</v>
      </c>
      <c r="X62">
        <v>14615</v>
      </c>
      <c r="Y62" t="s">
        <v>1</v>
      </c>
      <c r="Z62" t="s">
        <v>940</v>
      </c>
      <c r="AA62" t="s">
        <v>838</v>
      </c>
      <c r="AB62" t="s">
        <v>941</v>
      </c>
      <c r="AC62" t="s">
        <v>572</v>
      </c>
      <c r="AD62" t="s">
        <v>597</v>
      </c>
      <c r="AE62" t="s">
        <v>569</v>
      </c>
      <c r="AF62" t="s">
        <v>598</v>
      </c>
      <c r="AG62" t="s">
        <v>5</v>
      </c>
      <c r="AH62">
        <v>1</v>
      </c>
      <c r="AI62" t="s">
        <v>4</v>
      </c>
      <c r="AJ62">
        <v>0</v>
      </c>
    </row>
    <row r="63" spans="1:38" x14ac:dyDescent="0.25">
      <c r="A63" t="str">
        <f t="shared" si="0"/>
        <v>feynman_I_13_4_23654</v>
      </c>
      <c r="B63" t="s">
        <v>107</v>
      </c>
      <c r="C63" t="s">
        <v>189</v>
      </c>
      <c r="D63">
        <v>7200</v>
      </c>
      <c r="E63" t="s">
        <v>190</v>
      </c>
      <c r="F63">
        <v>1000000</v>
      </c>
      <c r="G63" t="s">
        <v>191</v>
      </c>
      <c r="H63">
        <v>23654</v>
      </c>
      <c r="I63" t="s">
        <v>192</v>
      </c>
      <c r="J63">
        <v>1E-3</v>
      </c>
      <c r="K63" t="s">
        <v>3</v>
      </c>
      <c r="L63">
        <v>1</v>
      </c>
      <c r="M63" t="s">
        <v>2</v>
      </c>
      <c r="N63">
        <v>0</v>
      </c>
      <c r="O63" t="s">
        <v>17</v>
      </c>
      <c r="P63">
        <v>24</v>
      </c>
      <c r="Q63" t="s">
        <v>0</v>
      </c>
      <c r="R63">
        <v>43.8</v>
      </c>
      <c r="S63" t="s">
        <v>152</v>
      </c>
      <c r="T63">
        <v>1</v>
      </c>
      <c r="U63" t="s">
        <v>153</v>
      </c>
      <c r="V63">
        <v>10</v>
      </c>
      <c r="W63" t="s">
        <v>151</v>
      </c>
      <c r="X63">
        <v>6222</v>
      </c>
      <c r="Y63" t="s">
        <v>1</v>
      </c>
      <c r="Z63" t="s">
        <v>942</v>
      </c>
      <c r="AA63" t="s">
        <v>838</v>
      </c>
      <c r="AB63" t="s">
        <v>943</v>
      </c>
      <c r="AC63" t="s">
        <v>572</v>
      </c>
      <c r="AD63" t="s">
        <v>599</v>
      </c>
      <c r="AE63" t="s">
        <v>572</v>
      </c>
      <c r="AF63" t="s">
        <v>600</v>
      </c>
      <c r="AG63" t="s">
        <v>5</v>
      </c>
      <c r="AH63">
        <v>1</v>
      </c>
      <c r="AI63" t="s">
        <v>4</v>
      </c>
      <c r="AJ63">
        <v>0</v>
      </c>
    </row>
    <row r="64" spans="1:38" x14ac:dyDescent="0.25">
      <c r="A64" t="str">
        <f t="shared" si="0"/>
        <v>strogatz_shearflow2_23654</v>
      </c>
      <c r="B64" t="s">
        <v>20</v>
      </c>
      <c r="C64" t="s">
        <v>189</v>
      </c>
      <c r="D64">
        <v>7200</v>
      </c>
      <c r="E64" t="s">
        <v>190</v>
      </c>
      <c r="F64">
        <v>1000000</v>
      </c>
      <c r="G64" t="s">
        <v>191</v>
      </c>
      <c r="H64">
        <v>23654</v>
      </c>
      <c r="I64" t="s">
        <v>192</v>
      </c>
      <c r="J64">
        <v>1E-3</v>
      </c>
      <c r="K64" t="s">
        <v>3</v>
      </c>
      <c r="L64">
        <v>1</v>
      </c>
      <c r="M64" t="s">
        <v>2</v>
      </c>
      <c r="N64">
        <v>0</v>
      </c>
      <c r="O64" t="s">
        <v>17</v>
      </c>
      <c r="P64">
        <v>15</v>
      </c>
      <c r="Q64" t="s">
        <v>0</v>
      </c>
      <c r="R64">
        <v>375.7</v>
      </c>
      <c r="S64" t="s">
        <v>152</v>
      </c>
      <c r="T64">
        <v>6</v>
      </c>
      <c r="U64" t="s">
        <v>153</v>
      </c>
      <c r="V64">
        <v>179</v>
      </c>
      <c r="W64" t="s">
        <v>151</v>
      </c>
      <c r="X64">
        <v>153555</v>
      </c>
      <c r="Y64" t="s">
        <v>1</v>
      </c>
      <c r="Z64" t="s">
        <v>944</v>
      </c>
      <c r="AA64" t="s">
        <v>838</v>
      </c>
      <c r="AB64" t="s">
        <v>945</v>
      </c>
      <c r="AC64" t="s">
        <v>572</v>
      </c>
      <c r="AD64" t="s">
        <v>601</v>
      </c>
      <c r="AE64" t="s">
        <v>5</v>
      </c>
      <c r="AF64">
        <v>1</v>
      </c>
      <c r="AG64" t="s">
        <v>4</v>
      </c>
      <c r="AH64">
        <v>0</v>
      </c>
    </row>
    <row r="65" spans="1:42" x14ac:dyDescent="0.25">
      <c r="A65" t="str">
        <f t="shared" si="0"/>
        <v>feynman_II_13_17_23654</v>
      </c>
      <c r="B65" t="s">
        <v>113</v>
      </c>
      <c r="C65" t="s">
        <v>189</v>
      </c>
      <c r="D65">
        <v>7200</v>
      </c>
      <c r="E65" t="s">
        <v>190</v>
      </c>
      <c r="F65">
        <v>1000000</v>
      </c>
      <c r="G65" t="s">
        <v>191</v>
      </c>
      <c r="H65">
        <v>23654</v>
      </c>
      <c r="I65" t="s">
        <v>192</v>
      </c>
      <c r="J65">
        <v>1E-3</v>
      </c>
      <c r="K65" t="s">
        <v>3</v>
      </c>
      <c r="L65">
        <v>1</v>
      </c>
      <c r="M65" t="s">
        <v>2</v>
      </c>
      <c r="N65">
        <v>0</v>
      </c>
      <c r="O65" t="s">
        <v>17</v>
      </c>
      <c r="P65">
        <v>16</v>
      </c>
      <c r="Q65" t="s">
        <v>0</v>
      </c>
      <c r="R65">
        <v>556.9</v>
      </c>
      <c r="S65" t="s">
        <v>152</v>
      </c>
      <c r="T65">
        <v>6</v>
      </c>
      <c r="U65" t="s">
        <v>153</v>
      </c>
      <c r="V65">
        <v>86</v>
      </c>
      <c r="W65" t="s">
        <v>151</v>
      </c>
      <c r="X65">
        <v>89866</v>
      </c>
      <c r="Y65" t="s">
        <v>1</v>
      </c>
      <c r="Z65" t="s">
        <v>946</v>
      </c>
      <c r="AA65" t="s">
        <v>838</v>
      </c>
      <c r="AB65" t="s">
        <v>947</v>
      </c>
      <c r="AC65" t="s">
        <v>5</v>
      </c>
      <c r="AD65">
        <v>1</v>
      </c>
      <c r="AE65" t="s">
        <v>4</v>
      </c>
      <c r="AF65">
        <v>0</v>
      </c>
    </row>
    <row r="66" spans="1:42" x14ac:dyDescent="0.25">
      <c r="A66" t="str">
        <f t="shared" ref="A66:A129" si="1">CONCATENATE(B66, "_", H66)</f>
        <v>strogatz_bacres1_23654</v>
      </c>
      <c r="B66" t="s">
        <v>26</v>
      </c>
      <c r="C66" t="s">
        <v>189</v>
      </c>
      <c r="D66">
        <v>7200</v>
      </c>
      <c r="E66" t="s">
        <v>190</v>
      </c>
      <c r="F66">
        <v>1000000</v>
      </c>
      <c r="G66" t="s">
        <v>191</v>
      </c>
      <c r="H66">
        <v>23654</v>
      </c>
      <c r="I66" t="s">
        <v>192</v>
      </c>
      <c r="J66">
        <v>1E-3</v>
      </c>
      <c r="K66" t="s">
        <v>3</v>
      </c>
      <c r="L66">
        <v>1</v>
      </c>
      <c r="M66" t="s">
        <v>2</v>
      </c>
      <c r="N66">
        <v>0</v>
      </c>
      <c r="O66" t="s">
        <v>17</v>
      </c>
      <c r="P66">
        <v>20</v>
      </c>
      <c r="Q66" t="s">
        <v>0</v>
      </c>
      <c r="R66">
        <v>62.9</v>
      </c>
      <c r="S66" t="s">
        <v>152</v>
      </c>
      <c r="T66">
        <v>4</v>
      </c>
      <c r="U66" t="s">
        <v>153</v>
      </c>
      <c r="V66">
        <v>61</v>
      </c>
      <c r="W66" t="s">
        <v>151</v>
      </c>
      <c r="X66">
        <v>33961</v>
      </c>
      <c r="Y66" t="s">
        <v>1</v>
      </c>
      <c r="Z66" t="s">
        <v>948</v>
      </c>
      <c r="AA66" t="s">
        <v>838</v>
      </c>
      <c r="AB66" t="e" cm="1">
        <f t="array" ref="AB66">-1*x0</f>
        <v>#NAME?</v>
      </c>
      <c r="AC66" t="s">
        <v>569</v>
      </c>
      <c r="AD66" t="s">
        <v>602</v>
      </c>
      <c r="AE66" t="s">
        <v>572</v>
      </c>
      <c r="AF66" t="s">
        <v>574</v>
      </c>
      <c r="AG66" t="s">
        <v>572</v>
      </c>
      <c r="AH66">
        <v>20</v>
      </c>
      <c r="AI66" t="s">
        <v>5</v>
      </c>
      <c r="AJ66">
        <v>1</v>
      </c>
      <c r="AK66" t="s">
        <v>4</v>
      </c>
      <c r="AL66">
        <v>0</v>
      </c>
    </row>
    <row r="67" spans="1:42" x14ac:dyDescent="0.25">
      <c r="A67" t="str">
        <f t="shared" si="1"/>
        <v>feynman_III_15_12_23654</v>
      </c>
      <c r="B67" t="s">
        <v>67</v>
      </c>
      <c r="C67" t="s">
        <v>189</v>
      </c>
      <c r="D67">
        <v>7200</v>
      </c>
      <c r="E67" t="s">
        <v>190</v>
      </c>
      <c r="F67">
        <v>1000000</v>
      </c>
      <c r="G67" t="s">
        <v>191</v>
      </c>
      <c r="H67">
        <v>23654</v>
      </c>
      <c r="I67" t="s">
        <v>192</v>
      </c>
      <c r="J67">
        <v>1E-3</v>
      </c>
      <c r="K67" t="s">
        <v>3</v>
      </c>
      <c r="L67">
        <v>1</v>
      </c>
      <c r="M67" t="s">
        <v>2</v>
      </c>
      <c r="N67">
        <v>0</v>
      </c>
      <c r="O67" t="s">
        <v>17</v>
      </c>
      <c r="P67">
        <v>13</v>
      </c>
      <c r="Q67" t="s">
        <v>0</v>
      </c>
      <c r="R67">
        <v>574</v>
      </c>
      <c r="S67" t="s">
        <v>152</v>
      </c>
      <c r="T67">
        <v>4</v>
      </c>
      <c r="U67" t="s">
        <v>153</v>
      </c>
      <c r="V67">
        <v>43</v>
      </c>
      <c r="W67" t="s">
        <v>151</v>
      </c>
      <c r="X67">
        <v>74723</v>
      </c>
      <c r="Y67" t="s">
        <v>1</v>
      </c>
      <c r="Z67" t="s">
        <v>949</v>
      </c>
      <c r="AA67" t="s">
        <v>838</v>
      </c>
      <c r="AB67" t="s">
        <v>950</v>
      </c>
      <c r="AC67" t="s">
        <v>569</v>
      </c>
      <c r="AD67" t="s">
        <v>603</v>
      </c>
      <c r="AE67" t="s">
        <v>5</v>
      </c>
      <c r="AF67">
        <v>1</v>
      </c>
      <c r="AG67" t="s">
        <v>4</v>
      </c>
      <c r="AH67">
        <v>0</v>
      </c>
    </row>
    <row r="68" spans="1:42" x14ac:dyDescent="0.25">
      <c r="A68" t="str">
        <f t="shared" si="1"/>
        <v>feynman_I_44_4_23654</v>
      </c>
      <c r="B68" t="s">
        <v>129</v>
      </c>
      <c r="C68" t="s">
        <v>189</v>
      </c>
      <c r="D68">
        <v>7200</v>
      </c>
      <c r="E68" t="s">
        <v>190</v>
      </c>
      <c r="F68">
        <v>1000000</v>
      </c>
      <c r="G68" t="s">
        <v>191</v>
      </c>
      <c r="H68">
        <v>23654</v>
      </c>
      <c r="I68" t="s">
        <v>192</v>
      </c>
      <c r="J68">
        <v>1E-3</v>
      </c>
      <c r="K68" t="s">
        <v>3</v>
      </c>
      <c r="L68">
        <v>1</v>
      </c>
      <c r="M68" t="s">
        <v>2</v>
      </c>
      <c r="N68">
        <v>0</v>
      </c>
      <c r="O68" t="s">
        <v>17</v>
      </c>
      <c r="P68">
        <v>15</v>
      </c>
      <c r="Q68" t="s">
        <v>0</v>
      </c>
      <c r="R68">
        <v>998.2</v>
      </c>
      <c r="S68" t="s">
        <v>152</v>
      </c>
      <c r="T68">
        <v>4</v>
      </c>
      <c r="U68" t="s">
        <v>153</v>
      </c>
      <c r="V68">
        <v>46</v>
      </c>
      <c r="W68" t="s">
        <v>151</v>
      </c>
      <c r="X68">
        <v>107955</v>
      </c>
      <c r="Y68" t="s">
        <v>1</v>
      </c>
      <c r="Z68" t="s">
        <v>951</v>
      </c>
      <c r="AA68" t="s">
        <v>838</v>
      </c>
      <c r="AB68" t="s">
        <v>952</v>
      </c>
      <c r="AC68" t="s">
        <v>5</v>
      </c>
      <c r="AD68">
        <v>1</v>
      </c>
      <c r="AE68" t="s">
        <v>4</v>
      </c>
      <c r="AF68">
        <v>0</v>
      </c>
    </row>
    <row r="69" spans="1:42" x14ac:dyDescent="0.25">
      <c r="A69" t="str">
        <f t="shared" si="1"/>
        <v>feynman_test_18_23654</v>
      </c>
      <c r="B69" t="s">
        <v>123</v>
      </c>
      <c r="C69" t="s">
        <v>189</v>
      </c>
      <c r="D69">
        <v>7200</v>
      </c>
      <c r="E69" t="s">
        <v>190</v>
      </c>
      <c r="F69">
        <v>1000000</v>
      </c>
      <c r="G69" t="s">
        <v>191</v>
      </c>
      <c r="H69">
        <v>23654</v>
      </c>
      <c r="I69" t="s">
        <v>192</v>
      </c>
      <c r="J69">
        <v>1E-3</v>
      </c>
      <c r="K69" t="s">
        <v>3</v>
      </c>
      <c r="L69">
        <v>1</v>
      </c>
      <c r="M69" t="s">
        <v>2</v>
      </c>
      <c r="N69">
        <v>0</v>
      </c>
      <c r="O69" t="s">
        <v>17</v>
      </c>
      <c r="P69">
        <v>26</v>
      </c>
      <c r="Q69" t="s">
        <v>0</v>
      </c>
      <c r="R69">
        <v>424.6</v>
      </c>
      <c r="S69" t="s">
        <v>152</v>
      </c>
      <c r="T69">
        <v>2</v>
      </c>
      <c r="U69" t="s">
        <v>153</v>
      </c>
      <c r="V69">
        <v>19</v>
      </c>
      <c r="W69" t="s">
        <v>151</v>
      </c>
      <c r="X69">
        <v>50697</v>
      </c>
      <c r="Y69" t="s">
        <v>1</v>
      </c>
      <c r="Z69" t="s">
        <v>953</v>
      </c>
      <c r="AA69" t="s">
        <v>838</v>
      </c>
      <c r="AB69" t="s">
        <v>954</v>
      </c>
      <c r="AC69" t="s">
        <v>572</v>
      </c>
      <c r="AD69" t="s">
        <v>604</v>
      </c>
      <c r="AE69" t="s">
        <v>5</v>
      </c>
      <c r="AF69">
        <v>1</v>
      </c>
      <c r="AG69" t="s">
        <v>4</v>
      </c>
      <c r="AH69">
        <v>0</v>
      </c>
    </row>
    <row r="70" spans="1:42" x14ac:dyDescent="0.25">
      <c r="A70" t="str">
        <f t="shared" si="1"/>
        <v>strogatz_lv1_23654</v>
      </c>
      <c r="B70" t="s">
        <v>29</v>
      </c>
      <c r="C70" t="s">
        <v>189</v>
      </c>
      <c r="D70">
        <v>7200</v>
      </c>
      <c r="E70" t="s">
        <v>190</v>
      </c>
      <c r="F70">
        <v>1000000</v>
      </c>
      <c r="G70" t="s">
        <v>191</v>
      </c>
      <c r="H70">
        <v>23654</v>
      </c>
      <c r="I70" t="s">
        <v>192</v>
      </c>
      <c r="J70">
        <v>1E-3</v>
      </c>
      <c r="K70" t="s">
        <v>3</v>
      </c>
      <c r="L70">
        <v>1</v>
      </c>
      <c r="M70" t="s">
        <v>2</v>
      </c>
      <c r="N70">
        <v>0</v>
      </c>
      <c r="O70" t="s">
        <v>17</v>
      </c>
      <c r="P70">
        <v>16</v>
      </c>
      <c r="Q70" t="s">
        <v>0</v>
      </c>
      <c r="R70">
        <v>696</v>
      </c>
      <c r="S70" t="s">
        <v>152</v>
      </c>
      <c r="T70">
        <v>15</v>
      </c>
      <c r="U70" t="s">
        <v>153</v>
      </c>
      <c r="V70">
        <v>134</v>
      </c>
      <c r="W70" t="s">
        <v>151</v>
      </c>
      <c r="X70">
        <v>217049</v>
      </c>
      <c r="Y70" t="s">
        <v>1</v>
      </c>
      <c r="Z70" t="s">
        <v>955</v>
      </c>
      <c r="AA70" t="s">
        <v>838</v>
      </c>
      <c r="AB70" t="e" cm="1">
        <f t="array" ref="AB70">-2*x0*X1</f>
        <v>#NAME?</v>
      </c>
      <c r="AC70" t="s">
        <v>572</v>
      </c>
      <c r="AD70" t="s">
        <v>605</v>
      </c>
      <c r="AE70" t="s">
        <v>569</v>
      </c>
      <c r="AF70" t="s">
        <v>606</v>
      </c>
      <c r="AG70" t="s">
        <v>5</v>
      </c>
      <c r="AH70">
        <v>1</v>
      </c>
      <c r="AI70" t="s">
        <v>4</v>
      </c>
      <c r="AJ70">
        <v>0</v>
      </c>
    </row>
    <row r="71" spans="1:42" x14ac:dyDescent="0.25">
      <c r="A71" t="str">
        <f t="shared" si="1"/>
        <v>feynman_I_50_26_23654</v>
      </c>
      <c r="B71" t="s">
        <v>105</v>
      </c>
      <c r="C71" t="s">
        <v>189</v>
      </c>
      <c r="D71">
        <v>7200</v>
      </c>
      <c r="E71" t="s">
        <v>190</v>
      </c>
      <c r="F71">
        <v>1000000</v>
      </c>
      <c r="G71" t="s">
        <v>191</v>
      </c>
      <c r="H71">
        <v>23654</v>
      </c>
      <c r="I71" t="s">
        <v>192</v>
      </c>
      <c r="J71">
        <v>1E-3</v>
      </c>
      <c r="K71" t="s">
        <v>3</v>
      </c>
      <c r="L71">
        <v>1</v>
      </c>
      <c r="M71" t="s">
        <v>2</v>
      </c>
      <c r="N71">
        <v>0</v>
      </c>
      <c r="O71" t="s">
        <v>17</v>
      </c>
      <c r="P71">
        <v>22</v>
      </c>
      <c r="Q71" t="s">
        <v>0</v>
      </c>
      <c r="R71">
        <v>1077.5999999999999</v>
      </c>
      <c r="S71" t="s">
        <v>152</v>
      </c>
      <c r="T71">
        <v>11</v>
      </c>
      <c r="U71" t="s">
        <v>153</v>
      </c>
      <c r="V71">
        <v>56</v>
      </c>
      <c r="W71" t="s">
        <v>151</v>
      </c>
      <c r="X71">
        <v>138960</v>
      </c>
      <c r="Y71" t="s">
        <v>1</v>
      </c>
      <c r="Z71" t="s">
        <v>956</v>
      </c>
      <c r="AA71" t="s">
        <v>838</v>
      </c>
      <c r="AB71" t="s">
        <v>957</v>
      </c>
      <c r="AC71" t="s">
        <v>572</v>
      </c>
      <c r="AD71" t="s">
        <v>607</v>
      </c>
      <c r="AE71" t="s">
        <v>5</v>
      </c>
      <c r="AF71">
        <v>1</v>
      </c>
      <c r="AG71" t="s">
        <v>4</v>
      </c>
      <c r="AH71">
        <v>0</v>
      </c>
    </row>
    <row r="72" spans="1:42" x14ac:dyDescent="0.25">
      <c r="A72" t="str">
        <f t="shared" si="1"/>
        <v>feynman_I_12_2_23654</v>
      </c>
      <c r="B72" t="s">
        <v>110</v>
      </c>
      <c r="C72" t="s">
        <v>189</v>
      </c>
      <c r="D72">
        <v>7200</v>
      </c>
      <c r="E72" t="s">
        <v>190</v>
      </c>
      <c r="F72">
        <v>1000000</v>
      </c>
      <c r="G72" t="s">
        <v>191</v>
      </c>
      <c r="H72">
        <v>23654</v>
      </c>
      <c r="I72" t="s">
        <v>192</v>
      </c>
      <c r="J72">
        <v>1E-3</v>
      </c>
      <c r="K72" t="s">
        <v>3</v>
      </c>
      <c r="L72">
        <v>1</v>
      </c>
      <c r="M72" t="s">
        <v>2</v>
      </c>
      <c r="N72">
        <v>0</v>
      </c>
      <c r="O72" t="s">
        <v>17</v>
      </c>
      <c r="P72">
        <v>14</v>
      </c>
      <c r="Q72" t="s">
        <v>0</v>
      </c>
      <c r="R72">
        <v>1520.6</v>
      </c>
      <c r="S72" t="s">
        <v>152</v>
      </c>
      <c r="T72">
        <v>8</v>
      </c>
      <c r="U72" t="s">
        <v>153</v>
      </c>
      <c r="V72">
        <v>119</v>
      </c>
      <c r="W72" t="s">
        <v>151</v>
      </c>
      <c r="X72">
        <v>223426</v>
      </c>
      <c r="Y72" t="s">
        <v>1</v>
      </c>
      <c r="Z72" t="s">
        <v>958</v>
      </c>
      <c r="AA72" t="s">
        <v>838</v>
      </c>
      <c r="AB72" t="s">
        <v>959</v>
      </c>
      <c r="AC72" t="s">
        <v>5</v>
      </c>
      <c r="AD72">
        <v>1</v>
      </c>
      <c r="AE72" t="s">
        <v>4</v>
      </c>
      <c r="AF72">
        <v>0</v>
      </c>
    </row>
    <row r="73" spans="1:42" x14ac:dyDescent="0.25">
      <c r="A73" t="str">
        <f t="shared" si="1"/>
        <v>strogatz_barmag1_23654</v>
      </c>
      <c r="B73" t="s">
        <v>21</v>
      </c>
      <c r="C73" t="s">
        <v>189</v>
      </c>
      <c r="D73">
        <v>7200</v>
      </c>
      <c r="E73" t="s">
        <v>190</v>
      </c>
      <c r="F73">
        <v>1000000</v>
      </c>
      <c r="G73" t="s">
        <v>191</v>
      </c>
      <c r="H73">
        <v>23654</v>
      </c>
      <c r="I73" t="s">
        <v>192</v>
      </c>
      <c r="J73">
        <v>1E-3</v>
      </c>
      <c r="K73" t="s">
        <v>3</v>
      </c>
      <c r="L73">
        <v>1</v>
      </c>
      <c r="M73" t="s">
        <v>2</v>
      </c>
      <c r="N73">
        <v>0</v>
      </c>
      <c r="O73" t="s">
        <v>17</v>
      </c>
      <c r="P73">
        <v>16</v>
      </c>
      <c r="Q73" t="s">
        <v>0</v>
      </c>
      <c r="R73">
        <v>1825.1</v>
      </c>
      <c r="S73" t="s">
        <v>152</v>
      </c>
      <c r="T73">
        <v>14</v>
      </c>
      <c r="U73" t="s">
        <v>153</v>
      </c>
      <c r="V73">
        <v>1006</v>
      </c>
      <c r="W73" t="s">
        <v>151</v>
      </c>
      <c r="X73">
        <v>801302</v>
      </c>
      <c r="Y73" t="s">
        <v>1</v>
      </c>
      <c r="Z73" t="s">
        <v>960</v>
      </c>
      <c r="AA73" t="s">
        <v>838</v>
      </c>
      <c r="AB73" t="e" cm="1">
        <f t="array" ref="AB73">-1*SIN(x0)</f>
        <v>#NAME?</v>
      </c>
      <c r="AC73" t="s">
        <v>572</v>
      </c>
      <c r="AD73" t="s">
        <v>608</v>
      </c>
      <c r="AE73" t="s">
        <v>569</v>
      </c>
      <c r="AF73" t="s">
        <v>591</v>
      </c>
      <c r="AG73" t="s">
        <v>5</v>
      </c>
      <c r="AH73">
        <v>1</v>
      </c>
      <c r="AI73" t="s">
        <v>4</v>
      </c>
      <c r="AJ73">
        <v>0</v>
      </c>
    </row>
    <row r="74" spans="1:42" x14ac:dyDescent="0.25">
      <c r="A74" t="str">
        <f t="shared" si="1"/>
        <v>feynman_II_11_20_23654</v>
      </c>
      <c r="B74" t="s">
        <v>122</v>
      </c>
      <c r="C74" t="s">
        <v>189</v>
      </c>
      <c r="D74">
        <v>7200</v>
      </c>
      <c r="E74" t="s">
        <v>190</v>
      </c>
      <c r="F74">
        <v>1000000</v>
      </c>
      <c r="G74" t="s">
        <v>191</v>
      </c>
      <c r="H74">
        <v>23654</v>
      </c>
      <c r="I74" t="s">
        <v>192</v>
      </c>
      <c r="J74">
        <v>1E-3</v>
      </c>
      <c r="K74" t="s">
        <v>3</v>
      </c>
      <c r="L74">
        <v>1</v>
      </c>
      <c r="M74" t="s">
        <v>2</v>
      </c>
      <c r="N74">
        <v>0</v>
      </c>
      <c r="O74" t="s">
        <v>17</v>
      </c>
      <c r="P74">
        <v>16</v>
      </c>
      <c r="Q74" t="s">
        <v>0</v>
      </c>
      <c r="R74">
        <v>792.6</v>
      </c>
      <c r="S74" t="s">
        <v>152</v>
      </c>
      <c r="T74">
        <v>4</v>
      </c>
      <c r="U74" t="s">
        <v>153</v>
      </c>
      <c r="V74">
        <v>39</v>
      </c>
      <c r="W74" t="s">
        <v>151</v>
      </c>
      <c r="X74">
        <v>92241</v>
      </c>
      <c r="Y74" t="s">
        <v>1</v>
      </c>
      <c r="Z74" t="s">
        <v>961</v>
      </c>
      <c r="AA74" t="s">
        <v>838</v>
      </c>
      <c r="AB74" t="s">
        <v>962</v>
      </c>
      <c r="AC74" t="s">
        <v>5</v>
      </c>
      <c r="AD74">
        <v>1</v>
      </c>
      <c r="AE74" t="s">
        <v>4</v>
      </c>
      <c r="AF74">
        <v>0</v>
      </c>
    </row>
    <row r="75" spans="1:42" x14ac:dyDescent="0.25">
      <c r="A75" t="str">
        <f t="shared" si="1"/>
        <v>feynman_II_21_32_23654</v>
      </c>
      <c r="B75" t="s">
        <v>134</v>
      </c>
      <c r="C75" t="s">
        <v>189</v>
      </c>
      <c r="D75">
        <v>7200</v>
      </c>
      <c r="E75" t="s">
        <v>190</v>
      </c>
      <c r="F75">
        <v>1000000</v>
      </c>
      <c r="G75" t="s">
        <v>191</v>
      </c>
      <c r="H75">
        <v>23654</v>
      </c>
      <c r="I75" t="s">
        <v>192</v>
      </c>
      <c r="J75">
        <v>1E-3</v>
      </c>
      <c r="K75" t="s">
        <v>3</v>
      </c>
      <c r="L75">
        <v>1</v>
      </c>
      <c r="M75" t="s">
        <v>2</v>
      </c>
      <c r="N75">
        <v>0</v>
      </c>
      <c r="O75" t="s">
        <v>17</v>
      </c>
      <c r="P75">
        <v>22</v>
      </c>
      <c r="Q75" t="s">
        <v>0</v>
      </c>
      <c r="R75">
        <v>57.9</v>
      </c>
      <c r="S75" t="s">
        <v>152</v>
      </c>
      <c r="T75">
        <v>2</v>
      </c>
      <c r="U75" t="s">
        <v>153</v>
      </c>
      <c r="V75">
        <v>8</v>
      </c>
      <c r="W75" t="s">
        <v>151</v>
      </c>
      <c r="X75">
        <v>9212</v>
      </c>
      <c r="Y75" t="s">
        <v>1</v>
      </c>
      <c r="Z75" t="s">
        <v>963</v>
      </c>
      <c r="AA75" t="s">
        <v>838</v>
      </c>
      <c r="AB75" t="s">
        <v>964</v>
      </c>
      <c r="AC75" t="s">
        <v>569</v>
      </c>
      <c r="AD75" t="s">
        <v>609</v>
      </c>
      <c r="AE75" t="s">
        <v>5</v>
      </c>
      <c r="AF75">
        <v>1</v>
      </c>
      <c r="AG75" t="s">
        <v>4</v>
      </c>
      <c r="AH75">
        <v>0</v>
      </c>
    </row>
    <row r="76" spans="1:42" x14ac:dyDescent="0.25">
      <c r="A76" t="str">
        <f t="shared" si="1"/>
        <v>feynman_I_37_4_23654</v>
      </c>
      <c r="B76" t="s">
        <v>61</v>
      </c>
      <c r="C76" t="s">
        <v>189</v>
      </c>
      <c r="D76">
        <v>7200</v>
      </c>
      <c r="E76" t="s">
        <v>190</v>
      </c>
      <c r="F76">
        <v>1000000</v>
      </c>
      <c r="G76" t="s">
        <v>191</v>
      </c>
      <c r="H76">
        <v>23654</v>
      </c>
      <c r="I76" t="s">
        <v>192</v>
      </c>
      <c r="J76">
        <v>1E-3</v>
      </c>
      <c r="K76" t="s">
        <v>3</v>
      </c>
      <c r="L76">
        <v>1</v>
      </c>
      <c r="M76" t="s">
        <v>2</v>
      </c>
      <c r="N76">
        <v>0</v>
      </c>
      <c r="O76" t="s">
        <v>17</v>
      </c>
      <c r="P76">
        <v>19</v>
      </c>
      <c r="Q76" t="s">
        <v>0</v>
      </c>
      <c r="R76">
        <v>1629.9</v>
      </c>
      <c r="S76" t="s">
        <v>152</v>
      </c>
      <c r="T76">
        <v>13</v>
      </c>
      <c r="U76" t="s">
        <v>153</v>
      </c>
      <c r="V76">
        <v>167</v>
      </c>
      <c r="W76" t="s">
        <v>151</v>
      </c>
      <c r="X76">
        <v>200801</v>
      </c>
      <c r="Y76" t="s">
        <v>1</v>
      </c>
      <c r="Z76" t="s">
        <v>965</v>
      </c>
      <c r="AA76" t="s">
        <v>838</v>
      </c>
      <c r="AB76" t="s">
        <v>578</v>
      </c>
      <c r="AC76" t="s">
        <v>572</v>
      </c>
      <c r="AD76" t="s">
        <v>610</v>
      </c>
      <c r="AE76" t="s">
        <v>572</v>
      </c>
      <c r="AF76" t="s">
        <v>611</v>
      </c>
      <c r="AG76" t="s">
        <v>5</v>
      </c>
      <c r="AH76">
        <v>1</v>
      </c>
      <c r="AI76" t="s">
        <v>4</v>
      </c>
      <c r="AJ76">
        <v>0</v>
      </c>
    </row>
    <row r="77" spans="1:42" x14ac:dyDescent="0.25">
      <c r="A77" t="str">
        <f t="shared" si="1"/>
        <v>feynman_II_6_15b_23654</v>
      </c>
      <c r="B77" t="s">
        <v>115</v>
      </c>
      <c r="C77" t="s">
        <v>189</v>
      </c>
      <c r="D77">
        <v>7200</v>
      </c>
      <c r="E77" t="s">
        <v>190</v>
      </c>
      <c r="F77">
        <v>1000000</v>
      </c>
      <c r="G77" t="s">
        <v>191</v>
      </c>
      <c r="H77">
        <v>23654</v>
      </c>
      <c r="I77" t="s">
        <v>192</v>
      </c>
      <c r="J77">
        <v>1E-3</v>
      </c>
      <c r="K77" t="s">
        <v>3</v>
      </c>
      <c r="L77">
        <v>1</v>
      </c>
      <c r="M77" t="s">
        <v>2</v>
      </c>
      <c r="N77">
        <v>0</v>
      </c>
      <c r="O77" t="s">
        <v>17</v>
      </c>
      <c r="P77">
        <v>17</v>
      </c>
      <c r="Q77" t="s">
        <v>0</v>
      </c>
      <c r="R77">
        <v>1315.4</v>
      </c>
      <c r="S77" t="s">
        <v>152</v>
      </c>
      <c r="T77">
        <v>8</v>
      </c>
      <c r="U77" t="s">
        <v>153</v>
      </c>
      <c r="V77">
        <v>75</v>
      </c>
      <c r="W77" t="s">
        <v>151</v>
      </c>
      <c r="X77">
        <v>164120</v>
      </c>
      <c r="Y77" t="s">
        <v>1</v>
      </c>
      <c r="Z77" t="s">
        <v>966</v>
      </c>
      <c r="AA77" t="s">
        <v>838</v>
      </c>
      <c r="AB77" t="s">
        <v>967</v>
      </c>
      <c r="AC77" t="s">
        <v>5</v>
      </c>
      <c r="AD77">
        <v>1</v>
      </c>
      <c r="AE77" t="s">
        <v>4</v>
      </c>
      <c r="AF77">
        <v>0</v>
      </c>
    </row>
    <row r="78" spans="1:42" x14ac:dyDescent="0.25">
      <c r="A78" t="str">
        <f t="shared" si="1"/>
        <v>strogatz_predprey1_23654</v>
      </c>
      <c r="B78" t="s">
        <v>31</v>
      </c>
      <c r="C78" t="s">
        <v>189</v>
      </c>
      <c r="D78">
        <v>7200</v>
      </c>
      <c r="E78" t="s">
        <v>190</v>
      </c>
      <c r="F78">
        <v>1000000</v>
      </c>
      <c r="G78" t="s">
        <v>191</v>
      </c>
      <c r="H78">
        <v>23654</v>
      </c>
      <c r="I78" t="s">
        <v>192</v>
      </c>
      <c r="J78">
        <v>1E-3</v>
      </c>
      <c r="K78" t="s">
        <v>3</v>
      </c>
      <c r="L78">
        <v>1</v>
      </c>
      <c r="M78" t="s">
        <v>2</v>
      </c>
      <c r="N78">
        <v>0</v>
      </c>
      <c r="O78" t="s">
        <v>17</v>
      </c>
      <c r="P78">
        <v>24</v>
      </c>
      <c r="Q78" t="s">
        <v>0</v>
      </c>
      <c r="R78">
        <v>2384.1</v>
      </c>
      <c r="S78" t="s">
        <v>152</v>
      </c>
      <c r="T78">
        <v>13</v>
      </c>
      <c r="U78" t="s">
        <v>153</v>
      </c>
      <c r="V78">
        <v>469</v>
      </c>
      <c r="W78" t="s">
        <v>151</v>
      </c>
      <c r="X78">
        <v>731350</v>
      </c>
      <c r="Y78" t="s">
        <v>1</v>
      </c>
      <c r="Z78" t="s">
        <v>968</v>
      </c>
      <c r="AA78" t="s">
        <v>838</v>
      </c>
      <c r="AB78" t="s">
        <v>969</v>
      </c>
      <c r="AC78" t="s">
        <v>569</v>
      </c>
      <c r="AD78" t="s">
        <v>606</v>
      </c>
      <c r="AE78" t="s">
        <v>572</v>
      </c>
      <c r="AF78" t="s">
        <v>612</v>
      </c>
      <c r="AG78" t="s">
        <v>572</v>
      </c>
      <c r="AH78" t="s">
        <v>597</v>
      </c>
      <c r="AI78" t="s">
        <v>569</v>
      </c>
      <c r="AJ78" t="s">
        <v>610</v>
      </c>
      <c r="AK78" t="s">
        <v>5</v>
      </c>
      <c r="AL78">
        <v>1</v>
      </c>
      <c r="AM78" t="s">
        <v>4</v>
      </c>
      <c r="AN78">
        <v>0</v>
      </c>
    </row>
    <row r="79" spans="1:42" x14ac:dyDescent="0.25">
      <c r="A79" t="str">
        <f t="shared" si="1"/>
        <v>feynman_test_15_23654</v>
      </c>
      <c r="B79" t="s">
        <v>97</v>
      </c>
      <c r="C79" t="s">
        <v>189</v>
      </c>
      <c r="D79">
        <v>7200</v>
      </c>
      <c r="E79" t="s">
        <v>190</v>
      </c>
      <c r="F79">
        <v>1000000</v>
      </c>
      <c r="G79" t="s">
        <v>191</v>
      </c>
      <c r="H79">
        <v>23654</v>
      </c>
      <c r="I79" t="s">
        <v>192</v>
      </c>
      <c r="J79">
        <v>1E-3</v>
      </c>
      <c r="K79" t="s">
        <v>3</v>
      </c>
      <c r="L79">
        <v>0.99997959999999997</v>
      </c>
      <c r="M79" t="s">
        <v>2</v>
      </c>
      <c r="N79">
        <v>5.6937999999999997E-3</v>
      </c>
      <c r="O79" t="s">
        <v>17</v>
      </c>
      <c r="P79">
        <v>47</v>
      </c>
      <c r="Q79" t="s">
        <v>0</v>
      </c>
      <c r="R79">
        <v>7201.1</v>
      </c>
      <c r="S79" t="s">
        <v>152</v>
      </c>
      <c r="T79">
        <v>17</v>
      </c>
      <c r="U79" t="s">
        <v>153</v>
      </c>
      <c r="V79">
        <v>513</v>
      </c>
      <c r="W79" t="s">
        <v>151</v>
      </c>
      <c r="X79">
        <v>896005</v>
      </c>
      <c r="Y79" t="s">
        <v>1</v>
      </c>
      <c r="Z79" t="s">
        <v>970</v>
      </c>
      <c r="AA79" t="s">
        <v>838</v>
      </c>
      <c r="AB79" t="s">
        <v>971</v>
      </c>
      <c r="AC79" t="s">
        <v>572</v>
      </c>
      <c r="AD79" t="s">
        <v>613</v>
      </c>
      <c r="AE79" t="s">
        <v>572</v>
      </c>
      <c r="AF79" t="s">
        <v>614</v>
      </c>
      <c r="AG79" t="s">
        <v>569</v>
      </c>
      <c r="AH79" t="s">
        <v>615</v>
      </c>
      <c r="AI79" t="s">
        <v>572</v>
      </c>
      <c r="AJ79" t="s">
        <v>616</v>
      </c>
      <c r="AK79" t="s">
        <v>5</v>
      </c>
      <c r="AL79">
        <v>0.99998069999999994</v>
      </c>
      <c r="AM79" t="s">
        <v>4</v>
      </c>
      <c r="AN79">
        <v>5.5630999999999996E-3</v>
      </c>
    </row>
    <row r="80" spans="1:42" x14ac:dyDescent="0.25">
      <c r="A80" t="str">
        <f t="shared" si="1"/>
        <v>feynman_I_18_4_23654</v>
      </c>
      <c r="B80" t="s">
        <v>85</v>
      </c>
      <c r="C80" t="s">
        <v>189</v>
      </c>
      <c r="D80">
        <v>7200</v>
      </c>
      <c r="E80" t="s">
        <v>190</v>
      </c>
      <c r="F80">
        <v>1000000</v>
      </c>
      <c r="G80" t="s">
        <v>191</v>
      </c>
      <c r="H80">
        <v>23654</v>
      </c>
      <c r="I80" t="s">
        <v>192</v>
      </c>
      <c r="J80">
        <v>1E-3</v>
      </c>
      <c r="K80" t="s">
        <v>3</v>
      </c>
      <c r="L80">
        <v>0.99861429999999995</v>
      </c>
      <c r="M80" t="s">
        <v>2</v>
      </c>
      <c r="N80">
        <v>3.1629200000000003E-2</v>
      </c>
      <c r="O80" t="s">
        <v>17</v>
      </c>
      <c r="P80">
        <v>42</v>
      </c>
      <c r="Q80" t="s">
        <v>0</v>
      </c>
      <c r="R80">
        <v>7201.5</v>
      </c>
      <c r="S80" t="s">
        <v>152</v>
      </c>
      <c r="T80">
        <v>18</v>
      </c>
      <c r="U80" t="s">
        <v>153</v>
      </c>
      <c r="V80">
        <v>544</v>
      </c>
      <c r="W80" t="s">
        <v>151</v>
      </c>
      <c r="X80">
        <v>549411</v>
      </c>
      <c r="Y80" t="s">
        <v>1</v>
      </c>
      <c r="Z80" t="e" cm="1">
        <f t="array" aca="1" ref="Z80" ca="1">-0.5639693991941+((0.9959013710436*X2)*pow((X2*pow(X3,-1)),(-1*pow((1+(x0*pow(X1,-1))),-1))))+((0.2708955301955*X2)*pow(X3,-1))+((0.3704445192317*X3)*pow((0.5+X2),-1))</f>
        <v>#NAME?</v>
      </c>
      <c r="AA80" t="s">
        <v>838</v>
      </c>
      <c r="AB80" t="s">
        <v>972</v>
      </c>
      <c r="AC80" t="s">
        <v>572</v>
      </c>
      <c r="AD80" t="s">
        <v>617</v>
      </c>
      <c r="AE80" t="s">
        <v>572</v>
      </c>
      <c r="AF80" t="s">
        <v>618</v>
      </c>
      <c r="AG80" t="s">
        <v>572</v>
      </c>
      <c r="AH80" t="s">
        <v>619</v>
      </c>
      <c r="AI80" t="s">
        <v>572</v>
      </c>
      <c r="AJ80" t="s">
        <v>620</v>
      </c>
      <c r="AK80" t="s">
        <v>569</v>
      </c>
      <c r="AL80">
        <v>0.56396939919410005</v>
      </c>
      <c r="AM80" t="s">
        <v>5</v>
      </c>
      <c r="AN80">
        <v>0.99865720000000002</v>
      </c>
      <c r="AO80" t="s">
        <v>4</v>
      </c>
      <c r="AP80">
        <v>3.1161500000000002E-2</v>
      </c>
    </row>
    <row r="81" spans="1:62" x14ac:dyDescent="0.25">
      <c r="A81" t="str">
        <f t="shared" si="1"/>
        <v>feynman_I_15_10_23654</v>
      </c>
      <c r="B81" t="s">
        <v>55</v>
      </c>
      <c r="C81" t="s">
        <v>189</v>
      </c>
      <c r="D81">
        <v>7200</v>
      </c>
      <c r="E81" t="s">
        <v>190</v>
      </c>
      <c r="F81">
        <v>1000000</v>
      </c>
      <c r="G81" t="s">
        <v>191</v>
      </c>
      <c r="H81">
        <v>23654</v>
      </c>
      <c r="I81" t="s">
        <v>192</v>
      </c>
      <c r="J81">
        <v>1E-3</v>
      </c>
      <c r="K81" t="s">
        <v>3</v>
      </c>
      <c r="L81">
        <v>0.99999919999999998</v>
      </c>
      <c r="M81" t="s">
        <v>2</v>
      </c>
      <c r="N81">
        <v>1.9229E-3</v>
      </c>
      <c r="O81" t="s">
        <v>17</v>
      </c>
      <c r="P81">
        <v>29</v>
      </c>
      <c r="Q81" t="s">
        <v>0</v>
      </c>
      <c r="R81">
        <v>6787</v>
      </c>
      <c r="S81" t="s">
        <v>152</v>
      </c>
      <c r="T81">
        <v>7</v>
      </c>
      <c r="U81" t="s">
        <v>153</v>
      </c>
      <c r="V81">
        <v>1060</v>
      </c>
      <c r="W81" t="s">
        <v>151</v>
      </c>
      <c r="X81">
        <v>1000880</v>
      </c>
      <c r="Y81" t="s">
        <v>1</v>
      </c>
      <c r="Z81" t="s">
        <v>973</v>
      </c>
      <c r="AA81" t="s">
        <v>838</v>
      </c>
      <c r="AB81" t="s">
        <v>974</v>
      </c>
      <c r="AC81" t="s">
        <v>572</v>
      </c>
      <c r="AD81" t="s">
        <v>621</v>
      </c>
      <c r="AE81" t="s">
        <v>569</v>
      </c>
      <c r="AF81" t="s">
        <v>622</v>
      </c>
      <c r="AG81" t="s">
        <v>5</v>
      </c>
      <c r="AH81">
        <v>0.99999899999999997</v>
      </c>
      <c r="AI81" t="s">
        <v>4</v>
      </c>
      <c r="AJ81">
        <v>2.1140999999999998E-3</v>
      </c>
    </row>
    <row r="82" spans="1:62" x14ac:dyDescent="0.25">
      <c r="A82" t="str">
        <f t="shared" si="1"/>
        <v>feynman_I_6_2b_23654</v>
      </c>
      <c r="B82" t="s">
        <v>65</v>
      </c>
      <c r="C82" t="s">
        <v>189</v>
      </c>
      <c r="D82">
        <v>7200</v>
      </c>
      <c r="E82" t="s">
        <v>190</v>
      </c>
      <c r="F82">
        <v>1000000</v>
      </c>
      <c r="G82" t="s">
        <v>191</v>
      </c>
      <c r="H82">
        <v>23654</v>
      </c>
      <c r="I82" t="s">
        <v>192</v>
      </c>
      <c r="J82">
        <v>1E-3</v>
      </c>
      <c r="K82" t="s">
        <v>3</v>
      </c>
      <c r="L82">
        <v>0.99648930000000002</v>
      </c>
      <c r="M82" t="s">
        <v>2</v>
      </c>
      <c r="N82">
        <v>3.5595000000000002E-3</v>
      </c>
      <c r="O82" t="s">
        <v>17</v>
      </c>
      <c r="P82">
        <v>27</v>
      </c>
      <c r="Q82" t="s">
        <v>0</v>
      </c>
      <c r="R82">
        <v>7200.4</v>
      </c>
      <c r="S82" t="s">
        <v>152</v>
      </c>
      <c r="T82">
        <v>16</v>
      </c>
      <c r="U82" t="s">
        <v>153</v>
      </c>
      <c r="V82">
        <v>615</v>
      </c>
      <c r="W82" t="s">
        <v>151</v>
      </c>
      <c r="X82">
        <v>946331</v>
      </c>
      <c r="Y82" t="s">
        <v>1</v>
      </c>
      <c r="Z82" t="e" cm="1">
        <f t="array" aca="1" ref="Z82" ca="1">-0.1151694872924+(0.3976105641779*pow(x0,-1))+(0.1164369766856*COS((pow((0.5+(-1*x0)),-1)*pow((X1+(-1*X2)),1))))</f>
        <v>#NAME?</v>
      </c>
      <c r="AA82" t="s">
        <v>838</v>
      </c>
      <c r="AB82" t="s">
        <v>975</v>
      </c>
      <c r="AC82" t="s">
        <v>572</v>
      </c>
      <c r="AD82" t="s">
        <v>623</v>
      </c>
      <c r="AE82" t="s">
        <v>569</v>
      </c>
      <c r="AF82" t="s">
        <v>624</v>
      </c>
      <c r="AG82" t="s">
        <v>569</v>
      </c>
      <c r="AH82" t="s">
        <v>625</v>
      </c>
      <c r="AI82" t="s">
        <v>569</v>
      </c>
      <c r="AJ82">
        <v>0.11516948729239999</v>
      </c>
      <c r="AK82" t="s">
        <v>5</v>
      </c>
      <c r="AL82">
        <v>0.99646749999999995</v>
      </c>
      <c r="AM82" t="s">
        <v>4</v>
      </c>
      <c r="AN82">
        <v>3.5768000000000002E-3</v>
      </c>
    </row>
    <row r="83" spans="1:62" x14ac:dyDescent="0.25">
      <c r="A83" t="str">
        <f t="shared" si="1"/>
        <v>feynman_test_5_23654</v>
      </c>
      <c r="B83" t="s">
        <v>94</v>
      </c>
      <c r="C83" t="s">
        <v>189</v>
      </c>
      <c r="D83">
        <v>7200</v>
      </c>
      <c r="E83" t="s">
        <v>190</v>
      </c>
      <c r="F83">
        <v>1000000</v>
      </c>
      <c r="G83" t="s">
        <v>191</v>
      </c>
      <c r="H83">
        <v>23654</v>
      </c>
      <c r="I83" t="s">
        <v>192</v>
      </c>
      <c r="J83">
        <v>1E-3</v>
      </c>
      <c r="K83" t="s">
        <v>3</v>
      </c>
      <c r="L83">
        <v>0.9999806</v>
      </c>
      <c r="M83" t="s">
        <v>2</v>
      </c>
      <c r="N83">
        <v>1.4068199999999999E-2</v>
      </c>
      <c r="O83" t="s">
        <v>17</v>
      </c>
      <c r="P83">
        <v>40</v>
      </c>
      <c r="Q83" t="s">
        <v>0</v>
      </c>
      <c r="R83">
        <v>7200.5</v>
      </c>
      <c r="S83" t="s">
        <v>152</v>
      </c>
      <c r="T83">
        <v>6</v>
      </c>
      <c r="U83" t="s">
        <v>153</v>
      </c>
      <c r="V83">
        <v>525</v>
      </c>
      <c r="W83" t="s">
        <v>151</v>
      </c>
      <c r="X83">
        <v>871174</v>
      </c>
      <c r="Y83" t="s">
        <v>1</v>
      </c>
      <c r="Z83" t="s">
        <v>976</v>
      </c>
      <c r="AA83" t="s">
        <v>838</v>
      </c>
      <c r="AB83" t="s">
        <v>977</v>
      </c>
      <c r="AC83" t="s">
        <v>572</v>
      </c>
      <c r="AD83" t="s">
        <v>626</v>
      </c>
      <c r="AE83" t="s">
        <v>572</v>
      </c>
      <c r="AF83" t="s">
        <v>627</v>
      </c>
      <c r="AG83" t="s">
        <v>572</v>
      </c>
      <c r="AH83" t="s">
        <v>628</v>
      </c>
      <c r="AI83" t="s">
        <v>572</v>
      </c>
      <c r="AJ83" t="s">
        <v>629</v>
      </c>
      <c r="AK83" t="s">
        <v>572</v>
      </c>
      <c r="AL83" t="s">
        <v>630</v>
      </c>
      <c r="AM83" t="s">
        <v>5</v>
      </c>
      <c r="AN83">
        <v>0.99997979999999997</v>
      </c>
      <c r="AO83" t="s">
        <v>4</v>
      </c>
      <c r="AP83">
        <v>1.4308700000000001E-2</v>
      </c>
    </row>
    <row r="84" spans="1:62" x14ac:dyDescent="0.25">
      <c r="A84" t="str">
        <f t="shared" si="1"/>
        <v>feynman_I_30_3_23654</v>
      </c>
      <c r="B84" t="s">
        <v>64</v>
      </c>
      <c r="C84" t="s">
        <v>189</v>
      </c>
      <c r="D84">
        <v>7200</v>
      </c>
      <c r="E84" t="s">
        <v>190</v>
      </c>
      <c r="F84">
        <v>1000000</v>
      </c>
      <c r="G84" t="s">
        <v>191</v>
      </c>
      <c r="H84">
        <v>23654</v>
      </c>
      <c r="I84" t="s">
        <v>192</v>
      </c>
      <c r="J84">
        <v>1E-3</v>
      </c>
      <c r="K84" t="s">
        <v>3</v>
      </c>
      <c r="L84">
        <v>0.99719990000000003</v>
      </c>
      <c r="M84" t="s">
        <v>2</v>
      </c>
      <c r="N84">
        <v>0.13622219999999999</v>
      </c>
      <c r="O84" t="s">
        <v>17</v>
      </c>
      <c r="P84">
        <v>58</v>
      </c>
      <c r="Q84" t="s">
        <v>0</v>
      </c>
      <c r="R84">
        <v>7201.4</v>
      </c>
      <c r="S84" t="s">
        <v>152</v>
      </c>
      <c r="T84">
        <v>7</v>
      </c>
      <c r="U84" t="s">
        <v>153</v>
      </c>
      <c r="V84">
        <v>346</v>
      </c>
      <c r="W84" t="s">
        <v>151</v>
      </c>
      <c r="X84">
        <v>765465</v>
      </c>
      <c r="Y84" t="s">
        <v>1</v>
      </c>
      <c r="Z84" t="s">
        <v>978</v>
      </c>
      <c r="AA84" t="s">
        <v>838</v>
      </c>
      <c r="AB84" t="s">
        <v>979</v>
      </c>
      <c r="AC84" t="s">
        <v>572</v>
      </c>
      <c r="AD84" t="s">
        <v>631</v>
      </c>
      <c r="AE84" t="s">
        <v>569</v>
      </c>
      <c r="AF84" t="s">
        <v>632</v>
      </c>
      <c r="AG84" t="s">
        <v>572</v>
      </c>
      <c r="AH84" t="s">
        <v>633</v>
      </c>
      <c r="AI84" t="s">
        <v>569</v>
      </c>
      <c r="AJ84" t="s">
        <v>634</v>
      </c>
      <c r="AK84" t="s">
        <v>569</v>
      </c>
      <c r="AL84" t="s">
        <v>635</v>
      </c>
      <c r="AM84" t="s">
        <v>569</v>
      </c>
      <c r="AN84" t="s">
        <v>576</v>
      </c>
      <c r="AO84" t="s">
        <v>572</v>
      </c>
      <c r="AP84" t="s">
        <v>636</v>
      </c>
      <c r="AQ84" t="s">
        <v>5</v>
      </c>
      <c r="AR84">
        <v>0.99727109999999997</v>
      </c>
      <c r="AS84" t="s">
        <v>4</v>
      </c>
      <c r="AT84">
        <v>0.13479250000000001</v>
      </c>
    </row>
    <row r="85" spans="1:62" x14ac:dyDescent="0.25">
      <c r="A85" t="str">
        <f t="shared" si="1"/>
        <v>feynman_test_4_23654</v>
      </c>
      <c r="B85" t="s">
        <v>117</v>
      </c>
      <c r="C85" t="s">
        <v>189</v>
      </c>
      <c r="D85">
        <v>7200</v>
      </c>
      <c r="E85" t="s">
        <v>190</v>
      </c>
      <c r="F85">
        <v>1000000</v>
      </c>
      <c r="G85" t="s">
        <v>191</v>
      </c>
      <c r="H85">
        <v>23654</v>
      </c>
      <c r="I85" t="s">
        <v>192</v>
      </c>
      <c r="J85">
        <v>1E-3</v>
      </c>
      <c r="K85" t="s">
        <v>3</v>
      </c>
      <c r="L85">
        <v>0.99918340000000005</v>
      </c>
      <c r="M85" t="s">
        <v>2</v>
      </c>
      <c r="N85">
        <v>1.42206E-2</v>
      </c>
      <c r="O85" t="s">
        <v>17</v>
      </c>
      <c r="P85">
        <v>35</v>
      </c>
      <c r="Q85" t="s">
        <v>0</v>
      </c>
      <c r="R85">
        <v>7201.4</v>
      </c>
      <c r="S85" t="s">
        <v>152</v>
      </c>
      <c r="T85">
        <v>2</v>
      </c>
      <c r="U85" t="s">
        <v>153</v>
      </c>
      <c r="V85">
        <v>630</v>
      </c>
      <c r="W85" t="s">
        <v>151</v>
      </c>
      <c r="X85">
        <v>967379</v>
      </c>
      <c r="Y85" t="s">
        <v>1</v>
      </c>
      <c r="Z85" t="e" cm="1">
        <f t="array" aca="1" ref="Z85" ca="1">-4.3021001067205+(1.4472988859733*pow(((X1*pow(x0,-1))+((-1*X2)*pow(x0,-1))),0.5))+(4.2328955197479*COS((((0.2792432723437*X3)*pow(x0,-1))*pow(X4,-1))))</f>
        <v>#NAME?</v>
      </c>
      <c r="AA85" t="s">
        <v>838</v>
      </c>
      <c r="AB85" t="s">
        <v>980</v>
      </c>
      <c r="AC85" t="s">
        <v>569</v>
      </c>
      <c r="AD85" t="s">
        <v>637</v>
      </c>
      <c r="AE85" t="s">
        <v>572</v>
      </c>
      <c r="AF85" t="s">
        <v>638</v>
      </c>
      <c r="AG85" t="s">
        <v>569</v>
      </c>
      <c r="AH85">
        <v>4.3021001067205002</v>
      </c>
      <c r="AI85" t="s">
        <v>5</v>
      </c>
      <c r="AJ85">
        <v>0.99915030000000005</v>
      </c>
      <c r="AK85" t="s">
        <v>4</v>
      </c>
      <c r="AL85">
        <v>1.4493600000000001E-2</v>
      </c>
    </row>
    <row r="86" spans="1:62" x14ac:dyDescent="0.25">
      <c r="A86" t="str">
        <f t="shared" si="1"/>
        <v>feynman_II_6_15a_23654</v>
      </c>
      <c r="B86" t="s">
        <v>142</v>
      </c>
      <c r="C86" t="s">
        <v>189</v>
      </c>
      <c r="D86">
        <v>7200</v>
      </c>
      <c r="E86" t="s">
        <v>190</v>
      </c>
      <c r="F86">
        <v>1000000</v>
      </c>
      <c r="G86" t="s">
        <v>191</v>
      </c>
      <c r="H86">
        <v>23654</v>
      </c>
      <c r="I86" t="s">
        <v>192</v>
      </c>
      <c r="J86">
        <v>1E-3</v>
      </c>
      <c r="K86" t="s">
        <v>3</v>
      </c>
      <c r="L86">
        <v>0.9992259</v>
      </c>
      <c r="M86" t="s">
        <v>2</v>
      </c>
      <c r="N86">
        <v>1.0489999999999999E-2</v>
      </c>
      <c r="O86" t="s">
        <v>17</v>
      </c>
      <c r="P86">
        <v>32</v>
      </c>
      <c r="Q86" t="s">
        <v>0</v>
      </c>
      <c r="R86">
        <v>7200.7</v>
      </c>
      <c r="S86" t="s">
        <v>152</v>
      </c>
      <c r="T86">
        <v>3</v>
      </c>
      <c r="U86" t="s">
        <v>153</v>
      </c>
      <c r="V86">
        <v>500</v>
      </c>
      <c r="W86" t="s">
        <v>151</v>
      </c>
      <c r="X86">
        <v>951253</v>
      </c>
      <c r="Y86" t="s">
        <v>1</v>
      </c>
      <c r="Z86" t="s">
        <v>981</v>
      </c>
      <c r="AA86" t="s">
        <v>838</v>
      </c>
      <c r="AB86" t="s">
        <v>982</v>
      </c>
      <c r="AC86" t="s">
        <v>572</v>
      </c>
      <c r="AD86" t="s">
        <v>639</v>
      </c>
      <c r="AE86" t="s">
        <v>5</v>
      </c>
      <c r="AF86">
        <v>0.99929699999999999</v>
      </c>
      <c r="AG86" t="s">
        <v>4</v>
      </c>
      <c r="AH86">
        <v>9.7447999999999996E-3</v>
      </c>
    </row>
    <row r="87" spans="1:62" x14ac:dyDescent="0.25">
      <c r="A87" t="str">
        <f t="shared" si="1"/>
        <v>strogatz_shearflow1_23654</v>
      </c>
      <c r="B87" t="s">
        <v>23</v>
      </c>
      <c r="C87" t="s">
        <v>189</v>
      </c>
      <c r="D87">
        <v>7200</v>
      </c>
      <c r="E87" t="s">
        <v>190</v>
      </c>
      <c r="F87">
        <v>1000000</v>
      </c>
      <c r="G87" t="s">
        <v>191</v>
      </c>
      <c r="H87">
        <v>23654</v>
      </c>
      <c r="I87" t="s">
        <v>192</v>
      </c>
      <c r="J87">
        <v>1E-3</v>
      </c>
      <c r="K87" t="s">
        <v>3</v>
      </c>
      <c r="L87">
        <v>0.93120440000000004</v>
      </c>
      <c r="M87" t="s">
        <v>2</v>
      </c>
      <c r="N87">
        <v>0.14382439999999999</v>
      </c>
      <c r="O87" t="s">
        <v>17</v>
      </c>
      <c r="P87">
        <v>41</v>
      </c>
      <c r="Q87" t="s">
        <v>0</v>
      </c>
      <c r="R87">
        <v>2536.1</v>
      </c>
      <c r="S87" t="s">
        <v>152</v>
      </c>
      <c r="T87">
        <v>6</v>
      </c>
      <c r="U87" t="s">
        <v>153</v>
      </c>
      <c r="V87">
        <v>1296</v>
      </c>
      <c r="W87" t="s">
        <v>151</v>
      </c>
      <c r="X87">
        <v>1000985</v>
      </c>
      <c r="Y87" t="s">
        <v>1</v>
      </c>
      <c r="Z87" t="s">
        <v>983</v>
      </c>
      <c r="AA87" t="s">
        <v>838</v>
      </c>
      <c r="AB87" t="s">
        <v>984</v>
      </c>
      <c r="AC87" t="s">
        <v>572</v>
      </c>
      <c r="AD87" t="s">
        <v>640</v>
      </c>
      <c r="AE87" t="s">
        <v>572</v>
      </c>
      <c r="AF87" t="s">
        <v>618</v>
      </c>
      <c r="AG87" t="s">
        <v>572</v>
      </c>
      <c r="AH87" t="s">
        <v>641</v>
      </c>
      <c r="AI87" t="s">
        <v>569</v>
      </c>
      <c r="AJ87" t="s">
        <v>642</v>
      </c>
      <c r="AK87" t="s">
        <v>572</v>
      </c>
      <c r="AL87" t="s">
        <v>614</v>
      </c>
      <c r="AM87" t="s">
        <v>572</v>
      </c>
      <c r="AN87">
        <v>9.9404984254500006E-2</v>
      </c>
      <c r="AO87" t="s">
        <v>5</v>
      </c>
      <c r="AP87">
        <v>0.95508389999999999</v>
      </c>
      <c r="AQ87" t="s">
        <v>4</v>
      </c>
      <c r="AR87">
        <v>0.1534267</v>
      </c>
    </row>
    <row r="88" spans="1:62" x14ac:dyDescent="0.25">
      <c r="A88" t="str">
        <f t="shared" si="1"/>
        <v>feynman_III_9_52_23654</v>
      </c>
      <c r="B88" t="s">
        <v>141</v>
      </c>
      <c r="C88" t="s">
        <v>189</v>
      </c>
      <c r="D88">
        <v>7200</v>
      </c>
      <c r="E88" t="s">
        <v>190</v>
      </c>
      <c r="F88">
        <v>1000000</v>
      </c>
      <c r="G88" t="s">
        <v>191</v>
      </c>
      <c r="H88">
        <v>23654</v>
      </c>
      <c r="I88" t="s">
        <v>192</v>
      </c>
      <c r="J88">
        <v>1E-3</v>
      </c>
      <c r="K88" t="s">
        <v>3</v>
      </c>
      <c r="L88">
        <v>0.99186280000000004</v>
      </c>
      <c r="M88" t="s">
        <v>2</v>
      </c>
      <c r="N88">
        <v>1.292613</v>
      </c>
      <c r="O88" t="s">
        <v>17</v>
      </c>
      <c r="P88">
        <v>155</v>
      </c>
      <c r="Q88" t="s">
        <v>0</v>
      </c>
      <c r="R88">
        <v>7207.3</v>
      </c>
      <c r="S88" t="s">
        <v>152</v>
      </c>
      <c r="T88">
        <v>7</v>
      </c>
      <c r="U88" t="s">
        <v>153</v>
      </c>
      <c r="V88">
        <v>134</v>
      </c>
      <c r="W88" t="s">
        <v>151</v>
      </c>
      <c r="X88">
        <v>599777</v>
      </c>
      <c r="Y88" t="s">
        <v>1</v>
      </c>
      <c r="Z88" t="s">
        <v>985</v>
      </c>
      <c r="AA88" t="s">
        <v>838</v>
      </c>
      <c r="AB88" t="s">
        <v>986</v>
      </c>
      <c r="AC88" t="s">
        <v>572</v>
      </c>
      <c r="AD88" t="s">
        <v>643</v>
      </c>
      <c r="AE88" t="s">
        <v>572</v>
      </c>
      <c r="AF88" t="s">
        <v>644</v>
      </c>
      <c r="AG88" t="s">
        <v>569</v>
      </c>
      <c r="AH88" t="s">
        <v>645</v>
      </c>
      <c r="AI88" t="s">
        <v>569</v>
      </c>
      <c r="AJ88" t="s">
        <v>646</v>
      </c>
      <c r="AK88" t="s">
        <v>572</v>
      </c>
      <c r="AL88" t="s">
        <v>647</v>
      </c>
      <c r="AM88" t="s">
        <v>572</v>
      </c>
      <c r="AN88" t="s">
        <v>648</v>
      </c>
      <c r="AO88" t="s">
        <v>572</v>
      </c>
      <c r="AP88" t="s">
        <v>649</v>
      </c>
      <c r="AQ88" t="s">
        <v>572</v>
      </c>
      <c r="AR88" t="s">
        <v>650</v>
      </c>
      <c r="AS88" t="s">
        <v>572</v>
      </c>
      <c r="AT88" t="s">
        <v>651</v>
      </c>
      <c r="AU88" t="s">
        <v>569</v>
      </c>
      <c r="AV88" t="s">
        <v>652</v>
      </c>
      <c r="AW88" t="s">
        <v>572</v>
      </c>
      <c r="AX88" t="s">
        <v>653</v>
      </c>
      <c r="AY88" t="s">
        <v>572</v>
      </c>
      <c r="AZ88" t="s">
        <v>654</v>
      </c>
      <c r="BA88" t="s">
        <v>569</v>
      </c>
      <c r="BB88" t="s">
        <v>655</v>
      </c>
      <c r="BC88" t="s">
        <v>569</v>
      </c>
      <c r="BD88" t="s">
        <v>656</v>
      </c>
      <c r="BE88" t="s">
        <v>569</v>
      </c>
      <c r="BF88" t="s">
        <v>657</v>
      </c>
      <c r="BG88" t="s">
        <v>5</v>
      </c>
      <c r="BH88">
        <v>0.99179030000000001</v>
      </c>
      <c r="BI88" t="s">
        <v>4</v>
      </c>
      <c r="BJ88">
        <v>1.3046310000000001</v>
      </c>
    </row>
    <row r="89" spans="1:62" x14ac:dyDescent="0.25">
      <c r="A89" t="str">
        <f t="shared" si="1"/>
        <v>feynman_III_8_54_23654</v>
      </c>
      <c r="B89" t="s">
        <v>74</v>
      </c>
      <c r="C89" t="s">
        <v>189</v>
      </c>
      <c r="D89">
        <v>7200</v>
      </c>
      <c r="E89" t="s">
        <v>190</v>
      </c>
      <c r="F89">
        <v>1000000</v>
      </c>
      <c r="G89" t="s">
        <v>191</v>
      </c>
      <c r="H89">
        <v>23654</v>
      </c>
      <c r="I89" t="s">
        <v>192</v>
      </c>
      <c r="J89">
        <v>1E-3</v>
      </c>
      <c r="K89" t="s">
        <v>3</v>
      </c>
      <c r="L89">
        <v>0.71314900000000003</v>
      </c>
      <c r="M89" t="s">
        <v>2</v>
      </c>
      <c r="N89">
        <v>0.1889962</v>
      </c>
      <c r="O89" t="s">
        <v>17</v>
      </c>
      <c r="P89">
        <v>53</v>
      </c>
      <c r="Q89" t="s">
        <v>0</v>
      </c>
      <c r="R89">
        <v>7200.9</v>
      </c>
      <c r="S89" t="s">
        <v>152</v>
      </c>
      <c r="T89">
        <v>4</v>
      </c>
      <c r="U89" t="s">
        <v>153</v>
      </c>
      <c r="V89">
        <v>315</v>
      </c>
      <c r="W89" t="s">
        <v>151</v>
      </c>
      <c r="X89">
        <v>881493</v>
      </c>
      <c r="Y89" t="s">
        <v>1</v>
      </c>
      <c r="Z89" t="s">
        <v>987</v>
      </c>
      <c r="AA89" t="s">
        <v>838</v>
      </c>
      <c r="AB89" t="s">
        <v>988</v>
      </c>
      <c r="AC89" t="s">
        <v>572</v>
      </c>
      <c r="AD89" t="s">
        <v>658</v>
      </c>
      <c r="AE89" t="s">
        <v>569</v>
      </c>
      <c r="AF89" t="s">
        <v>659</v>
      </c>
      <c r="AG89" t="s">
        <v>569</v>
      </c>
      <c r="AH89" t="s">
        <v>660</v>
      </c>
      <c r="AI89" t="s">
        <v>569</v>
      </c>
      <c r="AJ89" t="s">
        <v>661</v>
      </c>
      <c r="AK89" t="s">
        <v>569</v>
      </c>
      <c r="AL89" t="s">
        <v>662</v>
      </c>
      <c r="AM89" t="s">
        <v>572</v>
      </c>
      <c r="AN89">
        <v>0.51340652799999997</v>
      </c>
      <c r="AO89" t="s">
        <v>5</v>
      </c>
      <c r="AP89">
        <v>0.72158820000000001</v>
      </c>
      <c r="AQ89" t="s">
        <v>4</v>
      </c>
      <c r="AR89">
        <v>0.18739030000000001</v>
      </c>
    </row>
    <row r="90" spans="1:62" x14ac:dyDescent="0.25">
      <c r="A90" t="str">
        <f t="shared" si="1"/>
        <v>feynman_III_14_14_23654</v>
      </c>
      <c r="B90" t="s">
        <v>119</v>
      </c>
      <c r="C90" t="s">
        <v>189</v>
      </c>
      <c r="D90">
        <v>7200</v>
      </c>
      <c r="E90" t="s">
        <v>190</v>
      </c>
      <c r="F90">
        <v>1000000</v>
      </c>
      <c r="G90" t="s">
        <v>191</v>
      </c>
      <c r="H90">
        <v>23654</v>
      </c>
      <c r="I90" t="s">
        <v>192</v>
      </c>
      <c r="J90">
        <v>1E-3</v>
      </c>
      <c r="K90" t="s">
        <v>3</v>
      </c>
      <c r="L90">
        <v>0.99458559999999996</v>
      </c>
      <c r="M90" t="s">
        <v>2</v>
      </c>
      <c r="N90">
        <v>0.50456480000000004</v>
      </c>
      <c r="O90" t="s">
        <v>17</v>
      </c>
      <c r="P90">
        <v>64</v>
      </c>
      <c r="Q90" t="s">
        <v>0</v>
      </c>
      <c r="R90">
        <v>7201.2</v>
      </c>
      <c r="S90" t="s">
        <v>152</v>
      </c>
      <c r="T90">
        <v>6</v>
      </c>
      <c r="U90" t="s">
        <v>153</v>
      </c>
      <c r="V90">
        <v>211</v>
      </c>
      <c r="W90" t="s">
        <v>151</v>
      </c>
      <c r="X90">
        <v>729897</v>
      </c>
      <c r="Y90" t="s">
        <v>1</v>
      </c>
      <c r="Z90" t="e" cm="1">
        <f t="array" aca="1" ref="Z90" ca="1">-9.9954604965145+(0.2688467968463*x0)+(10.5108639633761*COS(((0.6*LOG(SIN(pow(x0,-1))))+(x0*pow((0.5403023058681+((((X3*X4)*pow(x0,0.5))*pow(X1,-1))*pow(X2,-1))),-1)))))+(-1.1031702952787*LOG(x0))+(((((2.389165047329*x0)*pow(X1,2))*pow(X2,2))*pow(X3,-2))*pow(X4,-2))</f>
        <v>#NAME?</v>
      </c>
      <c r="AA90" t="s">
        <v>838</v>
      </c>
      <c r="AB90" t="s">
        <v>989</v>
      </c>
      <c r="AC90" t="s">
        <v>572</v>
      </c>
      <c r="AD90" t="s">
        <v>663</v>
      </c>
      <c r="AE90" t="s">
        <v>569</v>
      </c>
      <c r="AF90" t="s">
        <v>664</v>
      </c>
      <c r="AG90" t="s">
        <v>572</v>
      </c>
      <c r="AH90" t="s">
        <v>665</v>
      </c>
      <c r="AI90" t="s">
        <v>572</v>
      </c>
      <c r="AJ90" t="s">
        <v>666</v>
      </c>
      <c r="AK90" t="s">
        <v>572</v>
      </c>
      <c r="AL90" t="s">
        <v>667</v>
      </c>
      <c r="AM90" t="s">
        <v>569</v>
      </c>
      <c r="AN90">
        <v>9.9954604965145002</v>
      </c>
      <c r="AO90" t="s">
        <v>5</v>
      </c>
      <c r="AP90">
        <v>0.99337109999999995</v>
      </c>
      <c r="AQ90" t="s">
        <v>4</v>
      </c>
      <c r="AR90">
        <v>0.56996820000000004</v>
      </c>
    </row>
    <row r="91" spans="1:62" x14ac:dyDescent="0.25">
      <c r="A91" t="str">
        <f t="shared" si="1"/>
        <v>feynman_I_8_14_23654</v>
      </c>
      <c r="B91" t="s">
        <v>89</v>
      </c>
      <c r="C91" t="s">
        <v>189</v>
      </c>
      <c r="D91">
        <v>7200</v>
      </c>
      <c r="E91" t="s">
        <v>190</v>
      </c>
      <c r="F91">
        <v>1000000</v>
      </c>
      <c r="G91" t="s">
        <v>191</v>
      </c>
      <c r="H91">
        <v>23654</v>
      </c>
      <c r="I91" t="s">
        <v>192</v>
      </c>
      <c r="J91">
        <v>1E-3</v>
      </c>
      <c r="K91" t="s">
        <v>3</v>
      </c>
      <c r="L91">
        <v>0.96641569999999999</v>
      </c>
      <c r="M91" t="s">
        <v>2</v>
      </c>
      <c r="N91">
        <v>0.18251319999999999</v>
      </c>
      <c r="O91" t="s">
        <v>17</v>
      </c>
      <c r="P91">
        <v>34</v>
      </c>
      <c r="Q91" t="s">
        <v>0</v>
      </c>
      <c r="R91">
        <v>7201.1</v>
      </c>
      <c r="S91" t="s">
        <v>152</v>
      </c>
      <c r="T91">
        <v>6</v>
      </c>
      <c r="U91" t="s">
        <v>153</v>
      </c>
      <c r="V91">
        <v>541</v>
      </c>
      <c r="W91" t="s">
        <v>151</v>
      </c>
      <c r="X91">
        <v>894204</v>
      </c>
      <c r="Y91" t="s">
        <v>1</v>
      </c>
      <c r="Z91" t="s">
        <v>990</v>
      </c>
      <c r="AA91" t="s">
        <v>838</v>
      </c>
      <c r="AB91" t="s">
        <v>991</v>
      </c>
      <c r="AC91" t="s">
        <v>572</v>
      </c>
      <c r="AD91" t="s">
        <v>668</v>
      </c>
      <c r="AE91" t="s">
        <v>572</v>
      </c>
      <c r="AF91" t="s">
        <v>669</v>
      </c>
      <c r="AG91" t="s">
        <v>569</v>
      </c>
      <c r="AH91" t="s">
        <v>670</v>
      </c>
      <c r="AI91" t="s">
        <v>569</v>
      </c>
      <c r="AJ91" t="s">
        <v>671</v>
      </c>
      <c r="AK91" t="s">
        <v>572</v>
      </c>
      <c r="AL91">
        <v>5.2319558190278004</v>
      </c>
      <c r="AM91" t="s">
        <v>5</v>
      </c>
      <c r="AN91">
        <v>0.9664471</v>
      </c>
      <c r="AO91" t="s">
        <v>4</v>
      </c>
      <c r="AP91">
        <v>0.18150569999999999</v>
      </c>
    </row>
    <row r="92" spans="1:62" x14ac:dyDescent="0.25">
      <c r="A92" t="str">
        <f t="shared" si="1"/>
        <v>feynman_test_14_23654</v>
      </c>
      <c r="B92" t="s">
        <v>131</v>
      </c>
      <c r="C92" t="s">
        <v>189</v>
      </c>
      <c r="D92">
        <v>7200</v>
      </c>
      <c r="E92" t="s">
        <v>190</v>
      </c>
      <c r="F92">
        <v>1000000</v>
      </c>
      <c r="G92" t="s">
        <v>191</v>
      </c>
      <c r="H92">
        <v>23654</v>
      </c>
      <c r="I92" t="s">
        <v>192</v>
      </c>
      <c r="J92">
        <v>1E-3</v>
      </c>
      <c r="K92" t="s">
        <v>3</v>
      </c>
      <c r="L92">
        <v>0.99978800000000001</v>
      </c>
      <c r="M92" t="s">
        <v>2</v>
      </c>
      <c r="N92">
        <v>0.18997069999999999</v>
      </c>
      <c r="O92" t="s">
        <v>17</v>
      </c>
      <c r="P92">
        <v>72</v>
      </c>
      <c r="Q92" t="s">
        <v>0</v>
      </c>
      <c r="R92">
        <v>7203.7</v>
      </c>
      <c r="S92" t="s">
        <v>152</v>
      </c>
      <c r="T92">
        <v>5</v>
      </c>
      <c r="U92" t="s">
        <v>153</v>
      </c>
      <c r="V92">
        <v>180</v>
      </c>
      <c r="W92" t="s">
        <v>151</v>
      </c>
      <c r="X92">
        <v>683805</v>
      </c>
      <c r="Y92" t="s">
        <v>1</v>
      </c>
      <c r="Z92" t="s">
        <v>992</v>
      </c>
      <c r="AA92" t="s">
        <v>838</v>
      </c>
      <c r="AB92" t="s">
        <v>993</v>
      </c>
      <c r="AC92" t="s">
        <v>572</v>
      </c>
      <c r="AD92" t="s">
        <v>672</v>
      </c>
      <c r="AE92" t="s">
        <v>572</v>
      </c>
      <c r="AF92" t="s">
        <v>673</v>
      </c>
      <c r="AG92" t="s">
        <v>569</v>
      </c>
      <c r="AH92" t="s">
        <v>674</v>
      </c>
      <c r="AI92" t="s">
        <v>569</v>
      </c>
      <c r="AJ92" t="s">
        <v>675</v>
      </c>
      <c r="AK92" t="s">
        <v>569</v>
      </c>
      <c r="AL92" t="s">
        <v>676</v>
      </c>
      <c r="AM92" t="s">
        <v>572</v>
      </c>
      <c r="AN92" t="s">
        <v>677</v>
      </c>
      <c r="AO92" t="s">
        <v>5</v>
      </c>
      <c r="AP92">
        <v>0.99977850000000001</v>
      </c>
      <c r="AQ92" t="s">
        <v>4</v>
      </c>
      <c r="AR92">
        <v>0.1964919</v>
      </c>
    </row>
    <row r="93" spans="1:62" x14ac:dyDescent="0.25">
      <c r="A93" t="str">
        <f t="shared" si="1"/>
        <v>feynman_I_41_16_23654</v>
      </c>
      <c r="B93" t="s">
        <v>125</v>
      </c>
      <c r="C93" t="s">
        <v>189</v>
      </c>
      <c r="D93">
        <v>7200</v>
      </c>
      <c r="E93" t="s">
        <v>190</v>
      </c>
      <c r="F93">
        <v>1000000</v>
      </c>
      <c r="G93" t="s">
        <v>191</v>
      </c>
      <c r="H93">
        <v>23654</v>
      </c>
      <c r="I93" t="s">
        <v>192</v>
      </c>
      <c r="J93">
        <v>1E-3</v>
      </c>
      <c r="K93" t="s">
        <v>3</v>
      </c>
      <c r="L93">
        <v>0.99982879999999996</v>
      </c>
      <c r="M93" t="s">
        <v>2</v>
      </c>
      <c r="N93">
        <v>3.8788599999999999E-2</v>
      </c>
      <c r="O93" t="s">
        <v>17</v>
      </c>
      <c r="P93">
        <v>40</v>
      </c>
      <c r="Q93" t="s">
        <v>0</v>
      </c>
      <c r="R93">
        <v>7200.6</v>
      </c>
      <c r="S93" t="s">
        <v>152</v>
      </c>
      <c r="T93">
        <v>4</v>
      </c>
      <c r="U93" t="s">
        <v>153</v>
      </c>
      <c r="V93">
        <v>386</v>
      </c>
      <c r="W93" t="s">
        <v>151</v>
      </c>
      <c r="X93">
        <v>948862</v>
      </c>
      <c r="Y93" t="s">
        <v>1</v>
      </c>
      <c r="Z93" t="s">
        <v>994</v>
      </c>
      <c r="AA93" t="s">
        <v>838</v>
      </c>
      <c r="AB93" t="s">
        <v>995</v>
      </c>
      <c r="AC93" t="s">
        <v>572</v>
      </c>
      <c r="AD93" t="s">
        <v>678</v>
      </c>
      <c r="AE93" t="s">
        <v>569</v>
      </c>
      <c r="AF93" t="s">
        <v>679</v>
      </c>
      <c r="AG93" t="s">
        <v>572</v>
      </c>
      <c r="AH93" t="s">
        <v>680</v>
      </c>
      <c r="AI93" t="s">
        <v>572</v>
      </c>
      <c r="AJ93" t="s">
        <v>681</v>
      </c>
      <c r="AK93" t="s">
        <v>5</v>
      </c>
      <c r="AL93">
        <v>0.99982669999999996</v>
      </c>
      <c r="AM93" t="s">
        <v>4</v>
      </c>
      <c r="AN93">
        <v>4.0226100000000001E-2</v>
      </c>
    </row>
    <row r="94" spans="1:62" x14ac:dyDescent="0.25">
      <c r="A94" t="str">
        <f t="shared" si="1"/>
        <v>feynman_I_40_1_23654</v>
      </c>
      <c r="B94" t="s">
        <v>144</v>
      </c>
      <c r="C94" t="s">
        <v>189</v>
      </c>
      <c r="D94">
        <v>7200</v>
      </c>
      <c r="E94" t="s">
        <v>190</v>
      </c>
      <c r="F94">
        <v>1000000</v>
      </c>
      <c r="G94" t="s">
        <v>191</v>
      </c>
      <c r="H94">
        <v>23654</v>
      </c>
      <c r="I94" t="s">
        <v>192</v>
      </c>
      <c r="J94">
        <v>1E-3</v>
      </c>
      <c r="K94" t="s">
        <v>3</v>
      </c>
      <c r="L94">
        <v>0.91286730000000005</v>
      </c>
      <c r="M94" t="s">
        <v>2</v>
      </c>
      <c r="N94">
        <v>0.19288330000000001</v>
      </c>
      <c r="O94" t="s">
        <v>17</v>
      </c>
      <c r="P94">
        <v>49</v>
      </c>
      <c r="Q94" t="s">
        <v>0</v>
      </c>
      <c r="R94">
        <v>7202.4</v>
      </c>
      <c r="S94" t="s">
        <v>152</v>
      </c>
      <c r="T94">
        <v>11</v>
      </c>
      <c r="U94" t="s">
        <v>153</v>
      </c>
      <c r="V94">
        <v>322</v>
      </c>
      <c r="W94" t="s">
        <v>151</v>
      </c>
      <c r="X94">
        <v>840939</v>
      </c>
      <c r="Y94" t="s">
        <v>1</v>
      </c>
      <c r="Z94" t="s">
        <v>996</v>
      </c>
      <c r="AA94" t="s">
        <v>838</v>
      </c>
      <c r="AB94" t="s">
        <v>997</v>
      </c>
      <c r="AC94" t="s">
        <v>572</v>
      </c>
      <c r="AD94" t="s">
        <v>682</v>
      </c>
      <c r="AE94" t="s">
        <v>569</v>
      </c>
      <c r="AF94" t="s">
        <v>683</v>
      </c>
      <c r="AG94" t="s">
        <v>5</v>
      </c>
      <c r="AH94">
        <v>0.93169829999999998</v>
      </c>
      <c r="AI94" t="s">
        <v>4</v>
      </c>
      <c r="AJ94">
        <v>0.1694273</v>
      </c>
    </row>
    <row r="95" spans="1:62" x14ac:dyDescent="0.25">
      <c r="A95" t="str">
        <f t="shared" si="1"/>
        <v>feynman_test_8_23654</v>
      </c>
      <c r="B95" t="s">
        <v>87</v>
      </c>
      <c r="C95" t="s">
        <v>189</v>
      </c>
      <c r="D95">
        <v>7200</v>
      </c>
      <c r="E95" t="s">
        <v>190</v>
      </c>
      <c r="F95">
        <v>1000000</v>
      </c>
      <c r="G95" t="s">
        <v>191</v>
      </c>
      <c r="H95">
        <v>23654</v>
      </c>
      <c r="I95" t="s">
        <v>192</v>
      </c>
      <c r="J95">
        <v>1E-3</v>
      </c>
      <c r="K95" t="s">
        <v>3</v>
      </c>
      <c r="L95">
        <v>0.99711839999999996</v>
      </c>
      <c r="M95" t="s">
        <v>2</v>
      </c>
      <c r="N95">
        <v>2.41315E-2</v>
      </c>
      <c r="O95" t="s">
        <v>17</v>
      </c>
      <c r="P95">
        <v>46</v>
      </c>
      <c r="Q95" t="s">
        <v>0</v>
      </c>
      <c r="R95">
        <v>7201.1</v>
      </c>
      <c r="S95" t="s">
        <v>152</v>
      </c>
      <c r="T95">
        <v>22</v>
      </c>
      <c r="U95" t="s">
        <v>153</v>
      </c>
      <c r="V95">
        <v>515</v>
      </c>
      <c r="W95" t="s">
        <v>151</v>
      </c>
      <c r="X95">
        <v>829926</v>
      </c>
      <c r="Y95" t="s">
        <v>1</v>
      </c>
      <c r="Z95" t="s">
        <v>998</v>
      </c>
      <c r="AA95" t="s">
        <v>838</v>
      </c>
      <c r="AB95" t="s">
        <v>999</v>
      </c>
      <c r="AC95" t="s">
        <v>572</v>
      </c>
      <c r="AD95" t="s">
        <v>684</v>
      </c>
      <c r="AE95" t="s">
        <v>572</v>
      </c>
      <c r="AF95" t="s">
        <v>597</v>
      </c>
      <c r="AG95" t="s">
        <v>569</v>
      </c>
      <c r="AH95" t="s">
        <v>685</v>
      </c>
      <c r="AI95" t="s">
        <v>569</v>
      </c>
      <c r="AJ95" t="s">
        <v>686</v>
      </c>
      <c r="AK95" t="s">
        <v>572</v>
      </c>
      <c r="AL95">
        <v>0.25474435341939999</v>
      </c>
      <c r="AM95" t="s">
        <v>5</v>
      </c>
      <c r="AN95">
        <v>0.99705200000000005</v>
      </c>
      <c r="AO95" t="s">
        <v>4</v>
      </c>
      <c r="AP95">
        <v>2.4466000000000002E-2</v>
      </c>
    </row>
    <row r="96" spans="1:62" x14ac:dyDescent="0.25">
      <c r="A96" t="str">
        <f t="shared" si="1"/>
        <v>feynman_II_35_21_23654</v>
      </c>
      <c r="B96" t="s">
        <v>121</v>
      </c>
      <c r="C96" t="s">
        <v>189</v>
      </c>
      <c r="D96">
        <v>7200</v>
      </c>
      <c r="E96" t="s">
        <v>190</v>
      </c>
      <c r="F96">
        <v>1000000</v>
      </c>
      <c r="G96" t="s">
        <v>191</v>
      </c>
      <c r="H96">
        <v>23654</v>
      </c>
      <c r="I96" t="s">
        <v>192</v>
      </c>
      <c r="J96">
        <v>1E-3</v>
      </c>
      <c r="K96" t="s">
        <v>3</v>
      </c>
      <c r="L96">
        <v>0.99746319999999999</v>
      </c>
      <c r="M96" t="s">
        <v>2</v>
      </c>
      <c r="N96">
        <v>0.25356610000000002</v>
      </c>
      <c r="O96" t="s">
        <v>17</v>
      </c>
      <c r="P96">
        <v>46</v>
      </c>
      <c r="Q96" t="s">
        <v>0</v>
      </c>
      <c r="R96">
        <v>7201.6</v>
      </c>
      <c r="S96" t="s">
        <v>152</v>
      </c>
      <c r="T96">
        <v>9</v>
      </c>
      <c r="U96" t="s">
        <v>153</v>
      </c>
      <c r="V96">
        <v>312</v>
      </c>
      <c r="W96" t="s">
        <v>151</v>
      </c>
      <c r="X96">
        <v>812699</v>
      </c>
      <c r="Y96" t="s">
        <v>1</v>
      </c>
      <c r="Z96" t="s">
        <v>1000</v>
      </c>
      <c r="AA96" t="s">
        <v>838</v>
      </c>
      <c r="AB96" t="s">
        <v>1001</v>
      </c>
      <c r="AC96" t="s">
        <v>569</v>
      </c>
      <c r="AD96" t="s">
        <v>687</v>
      </c>
      <c r="AE96" t="s">
        <v>569</v>
      </c>
      <c r="AF96" t="s">
        <v>688</v>
      </c>
      <c r="AG96" t="s">
        <v>572</v>
      </c>
      <c r="AH96" t="s">
        <v>689</v>
      </c>
      <c r="AI96" t="s">
        <v>5</v>
      </c>
      <c r="AJ96">
        <v>0.99738020000000005</v>
      </c>
      <c r="AK96" t="s">
        <v>4</v>
      </c>
      <c r="AL96">
        <v>0.25847680000000001</v>
      </c>
    </row>
    <row r="97" spans="1:48" x14ac:dyDescent="0.25">
      <c r="A97" t="str">
        <f t="shared" si="1"/>
        <v>feynman_I_6_2_23654</v>
      </c>
      <c r="B97" t="s">
        <v>44</v>
      </c>
      <c r="C97" t="s">
        <v>189</v>
      </c>
      <c r="D97">
        <v>7200</v>
      </c>
      <c r="E97" t="s">
        <v>190</v>
      </c>
      <c r="F97">
        <v>1000000</v>
      </c>
      <c r="G97" t="s">
        <v>191</v>
      </c>
      <c r="H97">
        <v>23654</v>
      </c>
      <c r="I97" t="s">
        <v>192</v>
      </c>
      <c r="J97">
        <v>1E-3</v>
      </c>
      <c r="K97" t="s">
        <v>3</v>
      </c>
      <c r="L97">
        <v>0.99764079999999999</v>
      </c>
      <c r="M97" t="s">
        <v>2</v>
      </c>
      <c r="N97">
        <v>2.0704999999999999E-3</v>
      </c>
      <c r="O97" t="s">
        <v>17</v>
      </c>
      <c r="P97">
        <v>20</v>
      </c>
      <c r="Q97" t="s">
        <v>0</v>
      </c>
      <c r="R97">
        <v>7201.8</v>
      </c>
      <c r="S97" t="s">
        <v>152</v>
      </c>
      <c r="T97">
        <v>16</v>
      </c>
      <c r="U97" t="s">
        <v>153</v>
      </c>
      <c r="V97">
        <v>951</v>
      </c>
      <c r="W97" t="s">
        <v>151</v>
      </c>
      <c r="X97">
        <v>952726</v>
      </c>
      <c r="Y97" t="s">
        <v>1</v>
      </c>
      <c r="Z97" t="s">
        <v>1002</v>
      </c>
      <c r="AA97" t="s">
        <v>838</v>
      </c>
      <c r="AB97" t="s">
        <v>1003</v>
      </c>
      <c r="AC97" t="s">
        <v>569</v>
      </c>
      <c r="AD97" t="s">
        <v>690</v>
      </c>
      <c r="AE97" t="s">
        <v>572</v>
      </c>
      <c r="AF97" t="s">
        <v>691</v>
      </c>
      <c r="AG97" t="s">
        <v>572</v>
      </c>
      <c r="AH97" t="s">
        <v>692</v>
      </c>
      <c r="AI97" t="s">
        <v>572</v>
      </c>
      <c r="AJ97">
        <v>0.28800340704869998</v>
      </c>
      <c r="AK97" t="s">
        <v>5</v>
      </c>
      <c r="AL97">
        <v>0.9976448</v>
      </c>
      <c r="AM97" t="s">
        <v>4</v>
      </c>
      <c r="AN97">
        <v>2.0653999999999998E-3</v>
      </c>
    </row>
    <row r="98" spans="1:48" x14ac:dyDescent="0.25">
      <c r="A98" t="str">
        <f t="shared" si="1"/>
        <v>feynman_I_48_2_23654</v>
      </c>
      <c r="B98" t="s">
        <v>82</v>
      </c>
      <c r="C98" t="s">
        <v>189</v>
      </c>
      <c r="D98">
        <v>7200</v>
      </c>
      <c r="E98" t="s">
        <v>190</v>
      </c>
      <c r="F98">
        <v>1000000</v>
      </c>
      <c r="G98" t="s">
        <v>191</v>
      </c>
      <c r="H98">
        <v>23654</v>
      </c>
      <c r="I98" t="s">
        <v>192</v>
      </c>
      <c r="J98">
        <v>1E-3</v>
      </c>
      <c r="K98" t="s">
        <v>3</v>
      </c>
      <c r="L98">
        <v>1</v>
      </c>
      <c r="M98" t="s">
        <v>2</v>
      </c>
      <c r="N98">
        <v>3.1786000000000002E-3</v>
      </c>
      <c r="O98" t="s">
        <v>17</v>
      </c>
      <c r="P98">
        <v>34</v>
      </c>
      <c r="Q98" t="s">
        <v>0</v>
      </c>
      <c r="R98">
        <v>7201</v>
      </c>
      <c r="S98" t="s">
        <v>152</v>
      </c>
      <c r="T98">
        <v>11</v>
      </c>
      <c r="U98" t="s">
        <v>153</v>
      </c>
      <c r="V98">
        <v>672</v>
      </c>
      <c r="W98" t="s">
        <v>151</v>
      </c>
      <c r="X98">
        <v>901187</v>
      </c>
      <c r="Y98" t="s">
        <v>1</v>
      </c>
      <c r="Z98" t="s">
        <v>1004</v>
      </c>
      <c r="AA98" t="s">
        <v>838</v>
      </c>
      <c r="AB98" t="s">
        <v>1005</v>
      </c>
      <c r="AC98" t="s">
        <v>569</v>
      </c>
      <c r="AD98" t="s">
        <v>693</v>
      </c>
      <c r="AE98" t="s">
        <v>572</v>
      </c>
      <c r="AF98" t="s">
        <v>694</v>
      </c>
      <c r="AG98" t="s">
        <v>572</v>
      </c>
      <c r="AH98" t="s">
        <v>695</v>
      </c>
      <c r="AI98" t="s">
        <v>5</v>
      </c>
      <c r="AJ98">
        <v>1</v>
      </c>
      <c r="AK98" t="s">
        <v>4</v>
      </c>
      <c r="AL98">
        <v>3.2057000000000001E-3</v>
      </c>
    </row>
    <row r="99" spans="1:48" x14ac:dyDescent="0.25">
      <c r="A99" t="str">
        <f t="shared" si="1"/>
        <v>feynman_II_35_18_23654</v>
      </c>
      <c r="B99" t="s">
        <v>120</v>
      </c>
      <c r="C99" t="s">
        <v>189</v>
      </c>
      <c r="D99">
        <v>7200</v>
      </c>
      <c r="E99" t="s">
        <v>190</v>
      </c>
      <c r="F99">
        <v>1000000</v>
      </c>
      <c r="G99" t="s">
        <v>191</v>
      </c>
      <c r="H99">
        <v>23654</v>
      </c>
      <c r="I99" t="s">
        <v>192</v>
      </c>
      <c r="J99">
        <v>1E-3</v>
      </c>
      <c r="K99" t="s">
        <v>3</v>
      </c>
      <c r="L99">
        <v>0.9997315</v>
      </c>
      <c r="M99" t="s">
        <v>2</v>
      </c>
      <c r="N99">
        <v>5.1881999999999996E-3</v>
      </c>
      <c r="O99" t="s">
        <v>17</v>
      </c>
      <c r="P99">
        <v>28</v>
      </c>
      <c r="Q99" t="s">
        <v>0</v>
      </c>
      <c r="R99">
        <v>7200.5</v>
      </c>
      <c r="S99" t="s">
        <v>152</v>
      </c>
      <c r="T99">
        <v>15</v>
      </c>
      <c r="U99" t="s">
        <v>153</v>
      </c>
      <c r="V99">
        <v>626</v>
      </c>
      <c r="W99" t="s">
        <v>151</v>
      </c>
      <c r="X99">
        <v>939356</v>
      </c>
      <c r="Y99" t="s">
        <v>1</v>
      </c>
      <c r="Z99" t="s">
        <v>1006</v>
      </c>
      <c r="AA99" t="s">
        <v>838</v>
      </c>
      <c r="AB99" t="s">
        <v>1007</v>
      </c>
      <c r="AC99" t="s">
        <v>569</v>
      </c>
      <c r="AD99" t="s">
        <v>696</v>
      </c>
      <c r="AE99" t="s">
        <v>569</v>
      </c>
      <c r="AF99" t="s">
        <v>697</v>
      </c>
      <c r="AG99" t="s">
        <v>5</v>
      </c>
      <c r="AH99">
        <v>0.9997336</v>
      </c>
      <c r="AI99" t="s">
        <v>4</v>
      </c>
      <c r="AJ99">
        <v>5.1843000000000002E-3</v>
      </c>
    </row>
    <row r="100" spans="1:48" x14ac:dyDescent="0.25">
      <c r="A100" t="str">
        <f t="shared" si="1"/>
        <v>feynman_test_7_23654</v>
      </c>
      <c r="B100" t="s">
        <v>118</v>
      </c>
      <c r="C100" t="s">
        <v>189</v>
      </c>
      <c r="D100">
        <v>7200</v>
      </c>
      <c r="E100" t="s">
        <v>190</v>
      </c>
      <c r="F100">
        <v>1000000</v>
      </c>
      <c r="G100" t="s">
        <v>191</v>
      </c>
      <c r="H100">
        <v>23654</v>
      </c>
      <c r="I100" t="s">
        <v>192</v>
      </c>
      <c r="J100">
        <v>1E-3</v>
      </c>
      <c r="K100" t="s">
        <v>3</v>
      </c>
      <c r="L100">
        <v>0.99998109999999996</v>
      </c>
      <c r="M100" t="s">
        <v>2</v>
      </c>
      <c r="N100">
        <v>5.3636999999999999E-3</v>
      </c>
      <c r="O100" t="s">
        <v>17</v>
      </c>
      <c r="P100">
        <v>28</v>
      </c>
      <c r="Q100" t="s">
        <v>0</v>
      </c>
      <c r="R100">
        <v>6432.4</v>
      </c>
      <c r="S100" t="s">
        <v>152</v>
      </c>
      <c r="T100">
        <v>5</v>
      </c>
      <c r="U100" t="s">
        <v>153</v>
      </c>
      <c r="V100">
        <v>1292</v>
      </c>
      <c r="W100" t="s">
        <v>151</v>
      </c>
      <c r="X100">
        <v>1001178</v>
      </c>
      <c r="Y100" t="s">
        <v>1</v>
      </c>
      <c r="Z100" t="e" cm="1">
        <f t="array" aca="1" ref="Z100" ca="1">-0.0022167639547+(2.896912927734*pow((x0*X1),0.5))+((((-0.3703199797754*X2)*pow(X3,2))*pow(X4,-2))*pow((x0+X1),-1))</f>
        <v>#NAME?</v>
      </c>
      <c r="AA100" t="s">
        <v>838</v>
      </c>
      <c r="AB100" t="s">
        <v>1008</v>
      </c>
      <c r="AC100" t="s">
        <v>572</v>
      </c>
      <c r="AD100" t="s">
        <v>698</v>
      </c>
      <c r="AE100" t="s">
        <v>572</v>
      </c>
      <c r="AF100" t="s">
        <v>699</v>
      </c>
      <c r="AG100" t="s">
        <v>569</v>
      </c>
      <c r="AH100">
        <v>2.2167639547000001E-3</v>
      </c>
      <c r="AI100" t="s">
        <v>5</v>
      </c>
      <c r="AJ100">
        <v>0.9999808</v>
      </c>
      <c r="AK100" t="s">
        <v>4</v>
      </c>
      <c r="AL100">
        <v>5.4280999999999999E-3</v>
      </c>
    </row>
    <row r="101" spans="1:48" x14ac:dyDescent="0.25">
      <c r="A101" t="str">
        <f t="shared" si="1"/>
        <v>feynman_I_16_6_23654</v>
      </c>
      <c r="B101" t="s">
        <v>50</v>
      </c>
      <c r="C101" t="s">
        <v>189</v>
      </c>
      <c r="D101">
        <v>7200</v>
      </c>
      <c r="E101" t="s">
        <v>190</v>
      </c>
      <c r="F101">
        <v>1000000</v>
      </c>
      <c r="G101" t="s">
        <v>191</v>
      </c>
      <c r="H101">
        <v>23654</v>
      </c>
      <c r="I101" t="s">
        <v>192</v>
      </c>
      <c r="J101">
        <v>1E-3</v>
      </c>
      <c r="K101" t="s">
        <v>3</v>
      </c>
      <c r="L101">
        <v>0.99963900000000006</v>
      </c>
      <c r="M101" t="s">
        <v>2</v>
      </c>
      <c r="N101">
        <v>2.1634299999999999E-2</v>
      </c>
      <c r="O101" t="s">
        <v>17</v>
      </c>
      <c r="P101">
        <v>26</v>
      </c>
      <c r="Q101" t="s">
        <v>0</v>
      </c>
      <c r="R101">
        <v>7003.5</v>
      </c>
      <c r="S101" t="s">
        <v>152</v>
      </c>
      <c r="T101">
        <v>9</v>
      </c>
      <c r="U101" t="s">
        <v>153</v>
      </c>
      <c r="V101">
        <v>912</v>
      </c>
      <c r="W101" t="s">
        <v>151</v>
      </c>
      <c r="X101">
        <v>1000343</v>
      </c>
      <c r="Y101" t="s">
        <v>1</v>
      </c>
      <c r="Z101" t="s">
        <v>1009</v>
      </c>
      <c r="AA101" t="s">
        <v>838</v>
      </c>
      <c r="AB101" t="s">
        <v>1010</v>
      </c>
      <c r="AC101" t="s">
        <v>572</v>
      </c>
      <c r="AD101" t="s">
        <v>700</v>
      </c>
      <c r="AE101" t="s">
        <v>572</v>
      </c>
      <c r="AF101">
        <v>1.21019824658E-2</v>
      </c>
      <c r="AG101" t="s">
        <v>5</v>
      </c>
      <c r="AH101">
        <v>0.99966129999999997</v>
      </c>
      <c r="AI101" t="s">
        <v>4</v>
      </c>
      <c r="AJ101">
        <v>2.0980700000000001E-2</v>
      </c>
    </row>
    <row r="102" spans="1:48" x14ac:dyDescent="0.25">
      <c r="A102" t="str">
        <f t="shared" si="1"/>
        <v>feynman_I_15_3x_23654</v>
      </c>
      <c r="B102" t="s">
        <v>93</v>
      </c>
      <c r="C102" t="s">
        <v>189</v>
      </c>
      <c r="D102">
        <v>7200</v>
      </c>
      <c r="E102" t="s">
        <v>190</v>
      </c>
      <c r="F102">
        <v>1000000</v>
      </c>
      <c r="G102" t="s">
        <v>191</v>
      </c>
      <c r="H102">
        <v>23654</v>
      </c>
      <c r="I102" t="s">
        <v>192</v>
      </c>
      <c r="J102">
        <v>1E-3</v>
      </c>
      <c r="K102" t="s">
        <v>3</v>
      </c>
      <c r="L102">
        <v>0.99994159999999999</v>
      </c>
      <c r="M102" t="s">
        <v>2</v>
      </c>
      <c r="N102">
        <v>1.22515E-2</v>
      </c>
      <c r="O102" t="s">
        <v>17</v>
      </c>
      <c r="P102">
        <v>35</v>
      </c>
      <c r="Q102" t="s">
        <v>0</v>
      </c>
      <c r="R102">
        <v>7200.8</v>
      </c>
      <c r="S102" t="s">
        <v>152</v>
      </c>
      <c r="T102">
        <v>9</v>
      </c>
      <c r="U102" t="s">
        <v>153</v>
      </c>
      <c r="V102">
        <v>864</v>
      </c>
      <c r="W102" t="s">
        <v>151</v>
      </c>
      <c r="X102">
        <v>943598</v>
      </c>
      <c r="Y102" t="s">
        <v>1</v>
      </c>
      <c r="Z102" t="s">
        <v>1011</v>
      </c>
      <c r="AA102" t="s">
        <v>838</v>
      </c>
      <c r="AB102" t="s">
        <v>1012</v>
      </c>
      <c r="AC102" t="s">
        <v>572</v>
      </c>
      <c r="AD102" t="s">
        <v>701</v>
      </c>
      <c r="AE102" t="s">
        <v>569</v>
      </c>
      <c r="AF102" t="s">
        <v>702</v>
      </c>
      <c r="AG102" t="s">
        <v>569</v>
      </c>
      <c r="AH102" t="s">
        <v>703</v>
      </c>
      <c r="AI102" t="s">
        <v>5</v>
      </c>
      <c r="AJ102">
        <v>0.99994070000000002</v>
      </c>
      <c r="AK102" t="s">
        <v>4</v>
      </c>
      <c r="AL102">
        <v>1.23736E-2</v>
      </c>
    </row>
    <row r="103" spans="1:48" x14ac:dyDescent="0.25">
      <c r="A103" t="str">
        <f t="shared" si="1"/>
        <v>feynman_test_6_23654</v>
      </c>
      <c r="B103" t="s">
        <v>146</v>
      </c>
      <c r="C103" t="s">
        <v>189</v>
      </c>
      <c r="D103">
        <v>7200</v>
      </c>
      <c r="E103" t="s">
        <v>190</v>
      </c>
      <c r="F103">
        <v>1000000</v>
      </c>
      <c r="G103" t="s">
        <v>191</v>
      </c>
      <c r="H103">
        <v>23654</v>
      </c>
      <c r="I103" t="s">
        <v>192</v>
      </c>
      <c r="J103">
        <v>1E-3</v>
      </c>
      <c r="K103" t="s">
        <v>3</v>
      </c>
      <c r="L103">
        <v>0.97583889999999995</v>
      </c>
      <c r="M103" t="s">
        <v>2</v>
      </c>
      <c r="N103">
        <v>7.0469699999999996E-2</v>
      </c>
      <c r="O103" t="s">
        <v>17</v>
      </c>
      <c r="P103">
        <v>48</v>
      </c>
      <c r="Q103" t="s">
        <v>0</v>
      </c>
      <c r="R103">
        <v>7201.3</v>
      </c>
      <c r="S103" t="s">
        <v>152</v>
      </c>
      <c r="T103">
        <v>4</v>
      </c>
      <c r="U103" t="s">
        <v>153</v>
      </c>
      <c r="V103">
        <v>284</v>
      </c>
      <c r="W103" t="s">
        <v>151</v>
      </c>
      <c r="X103">
        <v>867848</v>
      </c>
      <c r="Y103" t="s">
        <v>1</v>
      </c>
      <c r="Z103" t="s">
        <v>1013</v>
      </c>
      <c r="AA103" t="s">
        <v>838</v>
      </c>
      <c r="AB103" t="s">
        <v>1014</v>
      </c>
      <c r="AC103" t="s">
        <v>572</v>
      </c>
      <c r="AD103" t="s">
        <v>651</v>
      </c>
      <c r="AE103" t="s">
        <v>569</v>
      </c>
      <c r="AF103" t="s">
        <v>704</v>
      </c>
      <c r="AG103" t="s">
        <v>569</v>
      </c>
      <c r="AH103" t="s">
        <v>705</v>
      </c>
      <c r="AI103" t="s">
        <v>572</v>
      </c>
      <c r="AJ103" t="s">
        <v>651</v>
      </c>
      <c r="AK103" t="s">
        <v>572</v>
      </c>
      <c r="AL103" t="s">
        <v>706</v>
      </c>
      <c r="AM103" t="s">
        <v>572</v>
      </c>
      <c r="AN103">
        <v>2.4210206435263002</v>
      </c>
      <c r="AO103" t="s">
        <v>5</v>
      </c>
      <c r="AP103">
        <v>0.97667959999999998</v>
      </c>
      <c r="AQ103" t="s">
        <v>4</v>
      </c>
      <c r="AR103">
        <v>7.0943900000000004E-2</v>
      </c>
    </row>
    <row r="104" spans="1:48" x14ac:dyDescent="0.25">
      <c r="A104" t="str">
        <f t="shared" si="1"/>
        <v>feynman_III_10_19_23654</v>
      </c>
      <c r="B104" t="s">
        <v>103</v>
      </c>
      <c r="C104" t="s">
        <v>189</v>
      </c>
      <c r="D104">
        <v>7200</v>
      </c>
      <c r="E104" t="s">
        <v>190</v>
      </c>
      <c r="F104">
        <v>1000000</v>
      </c>
      <c r="G104" t="s">
        <v>191</v>
      </c>
      <c r="H104">
        <v>23654</v>
      </c>
      <c r="I104" t="s">
        <v>192</v>
      </c>
      <c r="J104">
        <v>1E-3</v>
      </c>
      <c r="K104" t="s">
        <v>3</v>
      </c>
      <c r="L104">
        <v>0.99999340000000003</v>
      </c>
      <c r="M104" t="s">
        <v>2</v>
      </c>
      <c r="N104">
        <v>1.8638200000000001E-2</v>
      </c>
      <c r="O104" t="s">
        <v>17</v>
      </c>
      <c r="P104">
        <v>52</v>
      </c>
      <c r="Q104" t="s">
        <v>0</v>
      </c>
      <c r="R104">
        <v>7201.4</v>
      </c>
      <c r="S104" t="s">
        <v>152</v>
      </c>
      <c r="T104">
        <v>10</v>
      </c>
      <c r="U104" t="s">
        <v>153</v>
      </c>
      <c r="V104">
        <v>324</v>
      </c>
      <c r="W104" t="s">
        <v>151</v>
      </c>
      <c r="X104">
        <v>730681</v>
      </c>
      <c r="Y104" t="s">
        <v>1</v>
      </c>
      <c r="Z104" t="s">
        <v>1015</v>
      </c>
      <c r="AA104" t="s">
        <v>838</v>
      </c>
      <c r="AB104" t="s">
        <v>1016</v>
      </c>
      <c r="AC104" t="s">
        <v>572</v>
      </c>
      <c r="AD104" t="s">
        <v>707</v>
      </c>
      <c r="AE104" t="s">
        <v>572</v>
      </c>
      <c r="AF104" t="s">
        <v>626</v>
      </c>
      <c r="AG104" t="s">
        <v>572</v>
      </c>
      <c r="AH104" t="s">
        <v>597</v>
      </c>
      <c r="AI104" t="s">
        <v>569</v>
      </c>
      <c r="AJ104" t="s">
        <v>708</v>
      </c>
      <c r="AK104" t="s">
        <v>569</v>
      </c>
      <c r="AL104" t="s">
        <v>709</v>
      </c>
      <c r="AM104" t="s">
        <v>572</v>
      </c>
      <c r="AN104" t="s">
        <v>710</v>
      </c>
      <c r="AO104" t="s">
        <v>572</v>
      </c>
      <c r="AP104" t="s">
        <v>711</v>
      </c>
      <c r="AQ104" t="s">
        <v>572</v>
      </c>
      <c r="AR104" t="s">
        <v>626</v>
      </c>
      <c r="AS104" t="s">
        <v>5</v>
      </c>
      <c r="AT104">
        <v>0.99999380000000004</v>
      </c>
      <c r="AU104" t="s">
        <v>4</v>
      </c>
      <c r="AV104">
        <v>1.81441E-2</v>
      </c>
    </row>
    <row r="105" spans="1:48" x14ac:dyDescent="0.25">
      <c r="A105" t="str">
        <f t="shared" si="1"/>
        <v>feynman_II_11_27_23654</v>
      </c>
      <c r="B105" t="s">
        <v>112</v>
      </c>
      <c r="C105" t="s">
        <v>189</v>
      </c>
      <c r="D105">
        <v>7200</v>
      </c>
      <c r="E105" t="s">
        <v>190</v>
      </c>
      <c r="F105">
        <v>1000000</v>
      </c>
      <c r="G105" t="s">
        <v>191</v>
      </c>
      <c r="H105">
        <v>23654</v>
      </c>
      <c r="I105" t="s">
        <v>192</v>
      </c>
      <c r="J105">
        <v>1E-3</v>
      </c>
      <c r="K105" t="s">
        <v>3</v>
      </c>
      <c r="L105">
        <v>0.99990749999999995</v>
      </c>
      <c r="M105" t="s">
        <v>2</v>
      </c>
      <c r="N105">
        <v>6.7324000000000004E-3</v>
      </c>
      <c r="O105" t="s">
        <v>17</v>
      </c>
      <c r="P105">
        <v>24</v>
      </c>
      <c r="Q105" t="s">
        <v>0</v>
      </c>
      <c r="R105">
        <v>6873.1</v>
      </c>
      <c r="S105" t="s">
        <v>152</v>
      </c>
      <c r="T105">
        <v>4</v>
      </c>
      <c r="U105" t="s">
        <v>153</v>
      </c>
      <c r="V105">
        <v>815</v>
      </c>
      <c r="W105" t="s">
        <v>151</v>
      </c>
      <c r="X105">
        <v>1000119</v>
      </c>
      <c r="Y105" t="s">
        <v>1</v>
      </c>
      <c r="Z105" t="s">
        <v>1017</v>
      </c>
      <c r="AA105" t="s">
        <v>838</v>
      </c>
      <c r="AB105" t="s">
        <v>1018</v>
      </c>
      <c r="AC105" t="s">
        <v>572</v>
      </c>
      <c r="AD105" t="s">
        <v>712</v>
      </c>
      <c r="AE105" t="s">
        <v>572</v>
      </c>
      <c r="AF105">
        <v>6.6490383656000003E-3</v>
      </c>
      <c r="AG105" t="s">
        <v>5</v>
      </c>
      <c r="AH105">
        <v>0.99990310000000004</v>
      </c>
      <c r="AI105" t="s">
        <v>4</v>
      </c>
      <c r="AJ105">
        <v>6.9090000000000002E-3</v>
      </c>
    </row>
    <row r="106" spans="1:48" x14ac:dyDescent="0.25">
      <c r="A106" t="str">
        <f t="shared" si="1"/>
        <v>feynman_test_17_23654</v>
      </c>
      <c r="B106" t="s">
        <v>145</v>
      </c>
      <c r="C106" t="s">
        <v>189</v>
      </c>
      <c r="D106">
        <v>7200</v>
      </c>
      <c r="E106" t="s">
        <v>190</v>
      </c>
      <c r="F106">
        <v>1000000</v>
      </c>
      <c r="G106" t="s">
        <v>191</v>
      </c>
      <c r="H106">
        <v>23654</v>
      </c>
      <c r="I106" t="s">
        <v>192</v>
      </c>
      <c r="J106">
        <v>1E-3</v>
      </c>
      <c r="K106" t="s">
        <v>3</v>
      </c>
      <c r="L106">
        <v>1</v>
      </c>
      <c r="M106" t="s">
        <v>2</v>
      </c>
      <c r="N106">
        <v>0.26110260000000002</v>
      </c>
      <c r="O106" t="s">
        <v>17</v>
      </c>
      <c r="P106">
        <v>65</v>
      </c>
      <c r="Q106" t="s">
        <v>0</v>
      </c>
      <c r="R106">
        <v>7201.2</v>
      </c>
      <c r="S106" t="s">
        <v>152</v>
      </c>
      <c r="T106">
        <v>3</v>
      </c>
      <c r="U106" t="s">
        <v>153</v>
      </c>
      <c r="V106">
        <v>97</v>
      </c>
      <c r="W106" t="s">
        <v>151</v>
      </c>
      <c r="X106">
        <v>566876</v>
      </c>
      <c r="Y106" t="s">
        <v>1</v>
      </c>
      <c r="Z106" t="s">
        <v>1019</v>
      </c>
      <c r="AA106" t="s">
        <v>838</v>
      </c>
      <c r="AB106" t="s">
        <v>1020</v>
      </c>
      <c r="AC106" t="s">
        <v>572</v>
      </c>
      <c r="AD106" t="s">
        <v>713</v>
      </c>
      <c r="AE106" t="s">
        <v>572</v>
      </c>
      <c r="AF106" t="s">
        <v>714</v>
      </c>
      <c r="AG106" t="s">
        <v>572</v>
      </c>
      <c r="AH106" t="s">
        <v>715</v>
      </c>
      <c r="AI106" t="s">
        <v>569</v>
      </c>
      <c r="AJ106" t="s">
        <v>716</v>
      </c>
      <c r="AK106" t="s">
        <v>572</v>
      </c>
      <c r="AL106" t="s">
        <v>717</v>
      </c>
      <c r="AM106" t="s">
        <v>572</v>
      </c>
      <c r="AN106">
        <v>0.11063569556360001</v>
      </c>
      <c r="AO106" t="s">
        <v>5</v>
      </c>
      <c r="AP106">
        <v>1</v>
      </c>
      <c r="AQ106" t="s">
        <v>4</v>
      </c>
      <c r="AR106">
        <v>0.25993309999999997</v>
      </c>
    </row>
    <row r="107" spans="1:48" x14ac:dyDescent="0.25">
      <c r="A107" t="str">
        <f t="shared" si="1"/>
        <v>feynman_test_13_23654</v>
      </c>
      <c r="B107" t="s">
        <v>132</v>
      </c>
      <c r="C107" t="s">
        <v>189</v>
      </c>
      <c r="D107">
        <v>7200</v>
      </c>
      <c r="E107" t="s">
        <v>190</v>
      </c>
      <c r="F107">
        <v>1000000</v>
      </c>
      <c r="G107" t="s">
        <v>191</v>
      </c>
      <c r="H107">
        <v>23654</v>
      </c>
      <c r="I107" t="s">
        <v>192</v>
      </c>
      <c r="J107">
        <v>1E-3</v>
      </c>
      <c r="K107" t="s">
        <v>3</v>
      </c>
      <c r="L107">
        <v>0.98750159999999998</v>
      </c>
      <c r="M107" t="s">
        <v>2</v>
      </c>
      <c r="N107">
        <v>1.7160999999999999E-3</v>
      </c>
      <c r="O107" t="s">
        <v>17</v>
      </c>
      <c r="P107">
        <v>21</v>
      </c>
      <c r="Q107" t="s">
        <v>0</v>
      </c>
      <c r="R107">
        <v>7201</v>
      </c>
      <c r="S107" t="s">
        <v>152</v>
      </c>
      <c r="T107">
        <v>18</v>
      </c>
      <c r="U107" t="s">
        <v>153</v>
      </c>
      <c r="V107">
        <v>590</v>
      </c>
      <c r="W107" t="s">
        <v>151</v>
      </c>
      <c r="X107">
        <v>975405</v>
      </c>
      <c r="Y107" t="s">
        <v>1</v>
      </c>
      <c r="Z107" t="s">
        <v>1021</v>
      </c>
      <c r="AA107" t="s">
        <v>838</v>
      </c>
      <c r="AB107" t="s">
        <v>1022</v>
      </c>
      <c r="AC107" t="s">
        <v>572</v>
      </c>
      <c r="AD107" t="s">
        <v>718</v>
      </c>
      <c r="AE107" t="s">
        <v>572</v>
      </c>
      <c r="AF107" t="s">
        <v>719</v>
      </c>
      <c r="AG107" t="s">
        <v>572</v>
      </c>
      <c r="AH107">
        <v>7.0495723840000002E-4</v>
      </c>
      <c r="AI107" t="s">
        <v>5</v>
      </c>
      <c r="AJ107">
        <v>0.98799959999999998</v>
      </c>
      <c r="AK107" t="s">
        <v>4</v>
      </c>
      <c r="AL107">
        <v>1.6788E-3</v>
      </c>
    </row>
    <row r="108" spans="1:48" x14ac:dyDescent="0.25">
      <c r="A108" t="str">
        <f t="shared" si="1"/>
        <v>feynman_I_9_18_23654</v>
      </c>
      <c r="B108" t="s">
        <v>150</v>
      </c>
      <c r="C108" t="s">
        <v>189</v>
      </c>
      <c r="D108">
        <v>7200</v>
      </c>
      <c r="E108" t="s">
        <v>190</v>
      </c>
      <c r="F108">
        <v>1000000</v>
      </c>
      <c r="G108" t="s">
        <v>191</v>
      </c>
      <c r="H108">
        <v>23654</v>
      </c>
      <c r="I108" t="s">
        <v>192</v>
      </c>
      <c r="J108">
        <v>1E-3</v>
      </c>
      <c r="K108" t="s">
        <v>3</v>
      </c>
      <c r="L108">
        <v>0.99314789999999997</v>
      </c>
      <c r="M108" t="s">
        <v>2</v>
      </c>
      <c r="N108">
        <v>1.0180700000000001E-2</v>
      </c>
      <c r="O108" t="s">
        <v>17</v>
      </c>
      <c r="P108">
        <v>30</v>
      </c>
      <c r="Q108" t="s">
        <v>0</v>
      </c>
      <c r="R108">
        <v>7200.7</v>
      </c>
      <c r="S108" t="s">
        <v>152</v>
      </c>
      <c r="T108">
        <v>4</v>
      </c>
      <c r="U108" t="s">
        <v>153</v>
      </c>
      <c r="V108">
        <v>360</v>
      </c>
      <c r="W108" t="s">
        <v>151</v>
      </c>
      <c r="X108">
        <v>921395</v>
      </c>
      <c r="Y108" t="s">
        <v>1</v>
      </c>
      <c r="Z108" t="s">
        <v>1023</v>
      </c>
      <c r="AA108" t="s">
        <v>838</v>
      </c>
      <c r="AB108" t="s">
        <v>1024</v>
      </c>
      <c r="AC108" t="s">
        <v>572</v>
      </c>
      <c r="AD108" t="s">
        <v>720</v>
      </c>
      <c r="AE108" t="s">
        <v>5</v>
      </c>
      <c r="AF108">
        <v>0.99309320000000001</v>
      </c>
      <c r="AG108" t="s">
        <v>4</v>
      </c>
      <c r="AH108">
        <v>1.0207300000000001E-2</v>
      </c>
    </row>
    <row r="109" spans="1:48" x14ac:dyDescent="0.25">
      <c r="A109" t="str">
        <f t="shared" si="1"/>
        <v>feynman_test_12_23654</v>
      </c>
      <c r="B109" t="s">
        <v>124</v>
      </c>
      <c r="C109" t="s">
        <v>189</v>
      </c>
      <c r="D109">
        <v>7200</v>
      </c>
      <c r="E109" t="s">
        <v>190</v>
      </c>
      <c r="F109">
        <v>1000000</v>
      </c>
      <c r="G109" t="s">
        <v>191</v>
      </c>
      <c r="H109">
        <v>23654</v>
      </c>
      <c r="I109" t="s">
        <v>192</v>
      </c>
      <c r="J109">
        <v>1E-3</v>
      </c>
      <c r="K109" t="s">
        <v>3</v>
      </c>
      <c r="L109">
        <v>0.99999830000000001</v>
      </c>
      <c r="M109" t="s">
        <v>2</v>
      </c>
      <c r="N109">
        <v>1.8808999999999999E-2</v>
      </c>
      <c r="O109" t="s">
        <v>17</v>
      </c>
      <c r="P109">
        <v>10</v>
      </c>
      <c r="Q109" t="s">
        <v>0</v>
      </c>
      <c r="R109">
        <v>6988.6</v>
      </c>
      <c r="S109" t="s">
        <v>152</v>
      </c>
      <c r="T109">
        <v>6</v>
      </c>
      <c r="U109" t="s">
        <v>153</v>
      </c>
      <c r="V109">
        <v>1269</v>
      </c>
      <c r="W109" t="s">
        <v>151</v>
      </c>
      <c r="X109">
        <v>1001387</v>
      </c>
      <c r="Y109" t="s">
        <v>1</v>
      </c>
      <c r="Z109" t="s">
        <v>1025</v>
      </c>
      <c r="AA109" t="s">
        <v>838</v>
      </c>
      <c r="AB109" t="s">
        <v>1026</v>
      </c>
      <c r="AC109" t="s">
        <v>5</v>
      </c>
      <c r="AD109">
        <v>0.99999839999999995</v>
      </c>
      <c r="AE109" t="s">
        <v>4</v>
      </c>
      <c r="AF109">
        <v>1.8537100000000001E-2</v>
      </c>
    </row>
    <row r="110" spans="1:48" x14ac:dyDescent="0.25">
      <c r="A110" t="str">
        <f t="shared" si="1"/>
        <v>feynman_I_13_12_23654</v>
      </c>
      <c r="B110" t="s">
        <v>128</v>
      </c>
      <c r="C110" t="s">
        <v>189</v>
      </c>
      <c r="D110">
        <v>7200</v>
      </c>
      <c r="E110" t="s">
        <v>190</v>
      </c>
      <c r="F110">
        <v>1000000</v>
      </c>
      <c r="G110" t="s">
        <v>191</v>
      </c>
      <c r="H110">
        <v>23654</v>
      </c>
      <c r="I110" t="s">
        <v>192</v>
      </c>
      <c r="J110">
        <v>1E-3</v>
      </c>
      <c r="K110" t="s">
        <v>3</v>
      </c>
      <c r="L110">
        <v>1</v>
      </c>
      <c r="M110" t="s">
        <v>2</v>
      </c>
      <c r="N110">
        <v>0</v>
      </c>
      <c r="O110" t="s">
        <v>17</v>
      </c>
      <c r="P110">
        <v>26</v>
      </c>
      <c r="Q110" t="s">
        <v>0</v>
      </c>
      <c r="R110">
        <v>1532.9</v>
      </c>
      <c r="S110" t="s">
        <v>152</v>
      </c>
      <c r="T110">
        <v>3</v>
      </c>
      <c r="U110" t="s">
        <v>153</v>
      </c>
      <c r="V110">
        <v>45</v>
      </c>
      <c r="W110" t="s">
        <v>151</v>
      </c>
      <c r="X110">
        <v>155583</v>
      </c>
      <c r="Y110" t="s">
        <v>1</v>
      </c>
      <c r="Z110" t="s">
        <v>1027</v>
      </c>
      <c r="AA110" t="s">
        <v>838</v>
      </c>
      <c r="AB110" t="s">
        <v>1028</v>
      </c>
      <c r="AC110" t="s">
        <v>569</v>
      </c>
      <c r="AD110" t="s">
        <v>721</v>
      </c>
      <c r="AE110" t="s">
        <v>5</v>
      </c>
      <c r="AF110">
        <v>1</v>
      </c>
      <c r="AG110" t="s">
        <v>4</v>
      </c>
      <c r="AH110">
        <v>0</v>
      </c>
    </row>
    <row r="111" spans="1:48" x14ac:dyDescent="0.25">
      <c r="A111" t="str">
        <f t="shared" si="1"/>
        <v>strogatz_vdp2_15795</v>
      </c>
      <c r="B111" t="s">
        <v>18</v>
      </c>
      <c r="C111" t="s">
        <v>189</v>
      </c>
      <c r="D111">
        <v>7200</v>
      </c>
      <c r="E111" t="s">
        <v>190</v>
      </c>
      <c r="F111">
        <v>1000000</v>
      </c>
      <c r="G111" t="s">
        <v>191</v>
      </c>
      <c r="H111">
        <v>15795</v>
      </c>
      <c r="I111" t="s">
        <v>192</v>
      </c>
      <c r="J111">
        <v>1E-3</v>
      </c>
      <c r="K111" t="s">
        <v>3</v>
      </c>
      <c r="L111">
        <v>1</v>
      </c>
      <c r="M111" t="s">
        <v>2</v>
      </c>
      <c r="N111">
        <v>0</v>
      </c>
      <c r="O111" t="s">
        <v>17</v>
      </c>
      <c r="P111">
        <v>4</v>
      </c>
      <c r="Q111" t="s">
        <v>0</v>
      </c>
      <c r="R111">
        <v>0.2</v>
      </c>
      <c r="S111" t="s">
        <v>152</v>
      </c>
      <c r="T111">
        <v>1</v>
      </c>
      <c r="U111" t="s">
        <v>153</v>
      </c>
      <c r="V111">
        <v>2</v>
      </c>
      <c r="W111" t="s">
        <v>151</v>
      </c>
      <c r="X111">
        <v>162</v>
      </c>
      <c r="Y111" t="s">
        <v>1</v>
      </c>
      <c r="Z111" t="s">
        <v>837</v>
      </c>
      <c r="AA111" t="s">
        <v>838</v>
      </c>
      <c r="AB111" t="e" cm="1">
        <f t="array" ref="AB111">-0.1*x0</f>
        <v>#NAME?</v>
      </c>
      <c r="AC111" t="s">
        <v>5</v>
      </c>
      <c r="AD111">
        <v>1</v>
      </c>
      <c r="AE111" t="s">
        <v>4</v>
      </c>
      <c r="AF111">
        <v>0</v>
      </c>
    </row>
    <row r="112" spans="1:48" x14ac:dyDescent="0.25">
      <c r="A112" t="str">
        <f t="shared" si="1"/>
        <v>feynman_I_14_4_15795</v>
      </c>
      <c r="B112" t="s">
        <v>41</v>
      </c>
      <c r="C112" t="s">
        <v>189</v>
      </c>
      <c r="D112">
        <v>7200</v>
      </c>
      <c r="E112" t="s">
        <v>190</v>
      </c>
      <c r="F112">
        <v>1000000</v>
      </c>
      <c r="G112" t="s">
        <v>191</v>
      </c>
      <c r="H112">
        <v>15795</v>
      </c>
      <c r="I112" t="s">
        <v>192</v>
      </c>
      <c r="J112">
        <v>1E-3</v>
      </c>
      <c r="K112" t="s">
        <v>3</v>
      </c>
      <c r="L112">
        <v>1</v>
      </c>
      <c r="M112" t="s">
        <v>2</v>
      </c>
      <c r="N112">
        <v>0</v>
      </c>
      <c r="O112" t="s">
        <v>17</v>
      </c>
      <c r="P112">
        <v>8</v>
      </c>
      <c r="Q112" t="s">
        <v>0</v>
      </c>
      <c r="R112">
        <v>3.7</v>
      </c>
      <c r="S112" t="s">
        <v>152</v>
      </c>
      <c r="T112">
        <v>1</v>
      </c>
      <c r="U112" t="s">
        <v>153</v>
      </c>
      <c r="V112">
        <v>3</v>
      </c>
      <c r="W112" t="s">
        <v>151</v>
      </c>
      <c r="X112">
        <v>705</v>
      </c>
      <c r="Y112" t="s">
        <v>1</v>
      </c>
      <c r="Z112" t="s">
        <v>849</v>
      </c>
      <c r="AA112" t="s">
        <v>838</v>
      </c>
      <c r="AB112" t="s">
        <v>850</v>
      </c>
      <c r="AC112" t="s">
        <v>5</v>
      </c>
      <c r="AD112">
        <v>1</v>
      </c>
      <c r="AE112" t="s">
        <v>4</v>
      </c>
      <c r="AF112">
        <v>0</v>
      </c>
    </row>
    <row r="113" spans="1:62" x14ac:dyDescent="0.25">
      <c r="A113" t="str">
        <f t="shared" si="1"/>
        <v>feynman_II_4_23_15795</v>
      </c>
      <c r="B113" t="s">
        <v>81</v>
      </c>
      <c r="C113" t="s">
        <v>189</v>
      </c>
      <c r="D113">
        <v>7200</v>
      </c>
      <c r="E113" t="s">
        <v>190</v>
      </c>
      <c r="F113">
        <v>1000000</v>
      </c>
      <c r="G113" t="s">
        <v>191</v>
      </c>
      <c r="H113">
        <v>15795</v>
      </c>
      <c r="I113" t="s">
        <v>192</v>
      </c>
      <c r="J113">
        <v>1E-3</v>
      </c>
      <c r="K113" t="s">
        <v>3</v>
      </c>
      <c r="L113">
        <v>1</v>
      </c>
      <c r="M113" t="s">
        <v>2</v>
      </c>
      <c r="N113">
        <v>0</v>
      </c>
      <c r="O113" t="s">
        <v>17</v>
      </c>
      <c r="P113">
        <v>12</v>
      </c>
      <c r="Q113" t="s">
        <v>0</v>
      </c>
      <c r="R113">
        <v>5.8</v>
      </c>
      <c r="S113" t="s">
        <v>152</v>
      </c>
      <c r="T113">
        <v>1</v>
      </c>
      <c r="U113" t="s">
        <v>153</v>
      </c>
      <c r="V113">
        <v>3</v>
      </c>
      <c r="W113" t="s">
        <v>151</v>
      </c>
      <c r="X113">
        <v>1135</v>
      </c>
      <c r="Y113" t="s">
        <v>1</v>
      </c>
      <c r="Z113" t="s">
        <v>865</v>
      </c>
      <c r="AA113" t="s">
        <v>838</v>
      </c>
      <c r="AB113" t="s">
        <v>866</v>
      </c>
      <c r="AC113" t="s">
        <v>5</v>
      </c>
      <c r="AD113">
        <v>1</v>
      </c>
      <c r="AE113" t="s">
        <v>4</v>
      </c>
      <c r="AF113">
        <v>0</v>
      </c>
    </row>
    <row r="114" spans="1:62" x14ac:dyDescent="0.25">
      <c r="A114" t="str">
        <f t="shared" si="1"/>
        <v>feynman_I_34_8_15795</v>
      </c>
      <c r="B114" t="s">
        <v>102</v>
      </c>
      <c r="C114" t="s">
        <v>189</v>
      </c>
      <c r="D114">
        <v>7200</v>
      </c>
      <c r="E114" t="s">
        <v>190</v>
      </c>
      <c r="F114">
        <v>1000000</v>
      </c>
      <c r="G114" t="s">
        <v>191</v>
      </c>
      <c r="H114">
        <v>15795</v>
      </c>
      <c r="I114" t="s">
        <v>192</v>
      </c>
      <c r="J114">
        <v>1E-3</v>
      </c>
      <c r="K114" t="s">
        <v>3</v>
      </c>
      <c r="L114">
        <v>1</v>
      </c>
      <c r="M114" t="s">
        <v>2</v>
      </c>
      <c r="N114">
        <v>0</v>
      </c>
      <c r="O114" t="s">
        <v>17</v>
      </c>
      <c r="P114">
        <v>12</v>
      </c>
      <c r="Q114" t="s">
        <v>0</v>
      </c>
      <c r="R114">
        <v>8.6</v>
      </c>
      <c r="S114" t="s">
        <v>152</v>
      </c>
      <c r="T114">
        <v>1</v>
      </c>
      <c r="U114" t="s">
        <v>153</v>
      </c>
      <c r="V114">
        <v>4</v>
      </c>
      <c r="W114" t="s">
        <v>151</v>
      </c>
      <c r="X114">
        <v>1690</v>
      </c>
      <c r="Y114" t="s">
        <v>1</v>
      </c>
      <c r="Z114" t="s">
        <v>881</v>
      </c>
      <c r="AA114" t="s">
        <v>838</v>
      </c>
      <c r="AB114" t="s">
        <v>882</v>
      </c>
      <c r="AC114" t="s">
        <v>5</v>
      </c>
      <c r="AD114">
        <v>1</v>
      </c>
      <c r="AE114" t="s">
        <v>4</v>
      </c>
      <c r="AF114">
        <v>0</v>
      </c>
    </row>
    <row r="115" spans="1:62" x14ac:dyDescent="0.25">
      <c r="A115" t="str">
        <f t="shared" si="1"/>
        <v>feynman_II_15_5_15795</v>
      </c>
      <c r="B115" t="s">
        <v>69</v>
      </c>
      <c r="C115" t="s">
        <v>189</v>
      </c>
      <c r="D115">
        <v>7200</v>
      </c>
      <c r="E115" t="s">
        <v>190</v>
      </c>
      <c r="F115">
        <v>1000000</v>
      </c>
      <c r="G115" t="s">
        <v>191</v>
      </c>
      <c r="H115">
        <v>15795</v>
      </c>
      <c r="I115" t="s">
        <v>192</v>
      </c>
      <c r="J115">
        <v>1E-3</v>
      </c>
      <c r="K115" t="s">
        <v>3</v>
      </c>
      <c r="L115">
        <v>1</v>
      </c>
      <c r="M115" t="s">
        <v>2</v>
      </c>
      <c r="N115">
        <v>0</v>
      </c>
      <c r="O115" t="s">
        <v>17</v>
      </c>
      <c r="P115">
        <v>21</v>
      </c>
      <c r="Q115" t="s">
        <v>0</v>
      </c>
      <c r="R115">
        <v>389.6</v>
      </c>
      <c r="S115" t="s">
        <v>152</v>
      </c>
      <c r="T115">
        <v>3</v>
      </c>
      <c r="U115" t="s">
        <v>153</v>
      </c>
      <c r="V115">
        <v>47</v>
      </c>
      <c r="W115" t="s">
        <v>151</v>
      </c>
      <c r="X115">
        <v>48775</v>
      </c>
      <c r="Y115" t="s">
        <v>1</v>
      </c>
      <c r="Z115" t="s">
        <v>1029</v>
      </c>
      <c r="AA115" t="s">
        <v>838</v>
      </c>
      <c r="AB115" t="s">
        <v>1030</v>
      </c>
      <c r="AC115" t="s">
        <v>569</v>
      </c>
      <c r="AD115" t="s">
        <v>722</v>
      </c>
      <c r="AE115" t="s">
        <v>5</v>
      </c>
      <c r="AF115">
        <v>1</v>
      </c>
      <c r="AG115" t="s">
        <v>4</v>
      </c>
      <c r="AH115">
        <v>0</v>
      </c>
    </row>
    <row r="116" spans="1:62" x14ac:dyDescent="0.25">
      <c r="A116" t="str">
        <f t="shared" si="1"/>
        <v>feynman_III_19_51_15795</v>
      </c>
      <c r="B116" t="s">
        <v>135</v>
      </c>
      <c r="C116" t="s">
        <v>189</v>
      </c>
      <c r="D116">
        <v>7200</v>
      </c>
      <c r="E116" t="s">
        <v>190</v>
      </c>
      <c r="F116">
        <v>1000000</v>
      </c>
      <c r="G116" t="s">
        <v>191</v>
      </c>
      <c r="H116">
        <v>15795</v>
      </c>
      <c r="I116" t="s">
        <v>192</v>
      </c>
      <c r="J116">
        <v>1E-3</v>
      </c>
      <c r="K116" t="s">
        <v>3</v>
      </c>
      <c r="L116">
        <v>1</v>
      </c>
      <c r="M116" t="s">
        <v>2</v>
      </c>
      <c r="N116">
        <v>0</v>
      </c>
      <c r="O116" t="s">
        <v>17</v>
      </c>
      <c r="P116">
        <v>20</v>
      </c>
      <c r="Q116" t="s">
        <v>0</v>
      </c>
      <c r="R116">
        <v>765.6</v>
      </c>
      <c r="S116" t="s">
        <v>152</v>
      </c>
      <c r="T116">
        <v>3</v>
      </c>
      <c r="U116" t="s">
        <v>153</v>
      </c>
      <c r="V116">
        <v>45</v>
      </c>
      <c r="W116" t="s">
        <v>151</v>
      </c>
      <c r="X116">
        <v>103770</v>
      </c>
      <c r="Y116" t="s">
        <v>1</v>
      </c>
      <c r="Z116" t="s">
        <v>1031</v>
      </c>
      <c r="AA116" t="s">
        <v>838</v>
      </c>
      <c r="AB116" t="s">
        <v>1032</v>
      </c>
      <c r="AC116" t="s">
        <v>5</v>
      </c>
      <c r="AD116">
        <v>1</v>
      </c>
      <c r="AE116" t="s">
        <v>4</v>
      </c>
      <c r="AF116">
        <v>0</v>
      </c>
    </row>
    <row r="117" spans="1:62" x14ac:dyDescent="0.25">
      <c r="A117" t="str">
        <f t="shared" si="1"/>
        <v>strogatz_vdp1_15795</v>
      </c>
      <c r="B117" t="s">
        <v>30</v>
      </c>
      <c r="C117" t="s">
        <v>189</v>
      </c>
      <c r="D117">
        <v>7200</v>
      </c>
      <c r="E117" t="s">
        <v>190</v>
      </c>
      <c r="F117">
        <v>1000000</v>
      </c>
      <c r="G117" t="s">
        <v>191</v>
      </c>
      <c r="H117">
        <v>15795</v>
      </c>
      <c r="I117" t="s">
        <v>192</v>
      </c>
      <c r="J117">
        <v>1E-3</v>
      </c>
      <c r="K117" t="s">
        <v>3</v>
      </c>
      <c r="L117">
        <v>1</v>
      </c>
      <c r="M117" t="s">
        <v>2</v>
      </c>
      <c r="N117">
        <v>0</v>
      </c>
      <c r="O117" t="s">
        <v>17</v>
      </c>
      <c r="P117">
        <v>14</v>
      </c>
      <c r="Q117" t="s">
        <v>0</v>
      </c>
      <c r="R117">
        <v>263.5</v>
      </c>
      <c r="S117" t="s">
        <v>152</v>
      </c>
      <c r="T117">
        <v>3</v>
      </c>
      <c r="U117" t="s">
        <v>153</v>
      </c>
      <c r="V117">
        <v>98</v>
      </c>
      <c r="W117" t="s">
        <v>151</v>
      </c>
      <c r="X117">
        <v>95782</v>
      </c>
      <c r="Y117" t="s">
        <v>1</v>
      </c>
      <c r="Z117" t="s">
        <v>1033</v>
      </c>
      <c r="AA117" t="s">
        <v>838</v>
      </c>
      <c r="AB117" t="s">
        <v>919</v>
      </c>
      <c r="AC117" t="s">
        <v>569</v>
      </c>
      <c r="AD117" t="s">
        <v>583</v>
      </c>
      <c r="AE117" t="s">
        <v>572</v>
      </c>
      <c r="AF117" t="s">
        <v>723</v>
      </c>
      <c r="AG117" t="s">
        <v>5</v>
      </c>
      <c r="AH117">
        <v>1</v>
      </c>
      <c r="AI117" t="s">
        <v>4</v>
      </c>
      <c r="AJ117">
        <v>0</v>
      </c>
    </row>
    <row r="118" spans="1:62" x14ac:dyDescent="0.25">
      <c r="A118" t="str">
        <f t="shared" si="1"/>
        <v>feynman_I_44_4_15795</v>
      </c>
      <c r="B118" t="s">
        <v>129</v>
      </c>
      <c r="C118" t="s">
        <v>189</v>
      </c>
      <c r="D118">
        <v>7200</v>
      </c>
      <c r="E118" t="s">
        <v>190</v>
      </c>
      <c r="F118">
        <v>1000000</v>
      </c>
      <c r="G118" t="s">
        <v>191</v>
      </c>
      <c r="H118">
        <v>15795</v>
      </c>
      <c r="I118" t="s">
        <v>192</v>
      </c>
      <c r="J118">
        <v>1E-3</v>
      </c>
      <c r="K118" t="s">
        <v>3</v>
      </c>
      <c r="L118">
        <v>1</v>
      </c>
      <c r="M118" t="s">
        <v>2</v>
      </c>
      <c r="N118">
        <v>0</v>
      </c>
      <c r="O118" t="s">
        <v>17</v>
      </c>
      <c r="P118">
        <v>15</v>
      </c>
      <c r="Q118" t="s">
        <v>0</v>
      </c>
      <c r="R118">
        <v>17.5</v>
      </c>
      <c r="S118" t="s">
        <v>152</v>
      </c>
      <c r="T118">
        <v>1</v>
      </c>
      <c r="U118" t="s">
        <v>153</v>
      </c>
      <c r="V118">
        <v>7</v>
      </c>
      <c r="W118" t="s">
        <v>151</v>
      </c>
      <c r="X118">
        <v>3541</v>
      </c>
      <c r="Y118" t="s">
        <v>1</v>
      </c>
      <c r="Z118" t="s">
        <v>951</v>
      </c>
      <c r="AA118" t="s">
        <v>838</v>
      </c>
      <c r="AB118" t="s">
        <v>952</v>
      </c>
      <c r="AC118" t="s">
        <v>5</v>
      </c>
      <c r="AD118">
        <v>1</v>
      </c>
      <c r="AE118" t="s">
        <v>4</v>
      </c>
      <c r="AF118">
        <v>0</v>
      </c>
    </row>
    <row r="119" spans="1:62" x14ac:dyDescent="0.25">
      <c r="A119" t="str">
        <f t="shared" si="1"/>
        <v>feynman_test_11_23654</v>
      </c>
      <c r="B119" t="s">
        <v>91</v>
      </c>
      <c r="C119" t="s">
        <v>189</v>
      </c>
      <c r="D119">
        <v>7200</v>
      </c>
      <c r="E119" t="s">
        <v>190</v>
      </c>
      <c r="F119">
        <v>1000000</v>
      </c>
      <c r="G119" t="s">
        <v>191</v>
      </c>
      <c r="H119">
        <v>23654</v>
      </c>
      <c r="I119" t="s">
        <v>192</v>
      </c>
      <c r="J119">
        <v>1E-3</v>
      </c>
      <c r="K119" t="s">
        <v>3</v>
      </c>
      <c r="L119">
        <v>0.99505940000000004</v>
      </c>
      <c r="M119" t="s">
        <v>2</v>
      </c>
      <c r="N119">
        <v>7.3207499999999995E-2</v>
      </c>
      <c r="O119" t="s">
        <v>17</v>
      </c>
      <c r="P119">
        <v>56</v>
      </c>
      <c r="Q119" t="s">
        <v>0</v>
      </c>
      <c r="R119">
        <v>7201.9</v>
      </c>
      <c r="S119" t="s">
        <v>152</v>
      </c>
      <c r="T119">
        <v>6</v>
      </c>
      <c r="U119" t="s">
        <v>153</v>
      </c>
      <c r="V119">
        <v>313</v>
      </c>
      <c r="W119" t="s">
        <v>151</v>
      </c>
      <c r="X119">
        <v>775103</v>
      </c>
      <c r="Y119" t="s">
        <v>1</v>
      </c>
      <c r="Z119" t="s">
        <v>1034</v>
      </c>
      <c r="AA119" t="s">
        <v>838</v>
      </c>
      <c r="AB119" t="s">
        <v>1035</v>
      </c>
      <c r="AC119" t="s">
        <v>572</v>
      </c>
      <c r="AD119" t="s">
        <v>618</v>
      </c>
      <c r="AE119" t="s">
        <v>572</v>
      </c>
      <c r="AF119" t="s">
        <v>724</v>
      </c>
      <c r="AG119" t="s">
        <v>569</v>
      </c>
      <c r="AH119" t="s">
        <v>725</v>
      </c>
      <c r="AI119" t="s">
        <v>572</v>
      </c>
      <c r="AJ119" t="s">
        <v>579</v>
      </c>
      <c r="AK119" t="s">
        <v>572</v>
      </c>
      <c r="AL119" t="s">
        <v>726</v>
      </c>
      <c r="AM119" t="s">
        <v>569</v>
      </c>
      <c r="AN119" t="s">
        <v>727</v>
      </c>
      <c r="AO119" t="s">
        <v>569</v>
      </c>
      <c r="AP119" t="s">
        <v>728</v>
      </c>
      <c r="AQ119" t="s">
        <v>572</v>
      </c>
      <c r="AR119">
        <v>1.9420710637277001</v>
      </c>
      <c r="AS119" t="s">
        <v>5</v>
      </c>
      <c r="AT119">
        <v>0.99487360000000002</v>
      </c>
      <c r="AU119" t="s">
        <v>4</v>
      </c>
      <c r="AV119">
        <v>7.3399800000000001E-2</v>
      </c>
    </row>
    <row r="120" spans="1:62" x14ac:dyDescent="0.25">
      <c r="A120" t="str">
        <f t="shared" si="1"/>
        <v>feynman_I_32_17_23654</v>
      </c>
      <c r="B120" t="s">
        <v>137</v>
      </c>
      <c r="C120" t="s">
        <v>189</v>
      </c>
      <c r="D120">
        <v>7200</v>
      </c>
      <c r="E120" t="s">
        <v>190</v>
      </c>
      <c r="F120">
        <v>1000000</v>
      </c>
      <c r="G120" t="s">
        <v>191</v>
      </c>
      <c r="H120">
        <v>23654</v>
      </c>
      <c r="I120" t="s">
        <v>192</v>
      </c>
      <c r="J120">
        <v>1E-3</v>
      </c>
      <c r="K120" t="s">
        <v>3</v>
      </c>
      <c r="L120">
        <v>0.99974099999999999</v>
      </c>
      <c r="M120" t="s">
        <v>2</v>
      </c>
      <c r="N120">
        <v>7.5333200000000003E-2</v>
      </c>
      <c r="O120" t="s">
        <v>17</v>
      </c>
      <c r="P120">
        <v>82</v>
      </c>
      <c r="Q120" t="s">
        <v>0</v>
      </c>
      <c r="R120">
        <v>7203</v>
      </c>
      <c r="S120" t="s">
        <v>152</v>
      </c>
      <c r="T120">
        <v>8</v>
      </c>
      <c r="U120" t="s">
        <v>153</v>
      </c>
      <c r="V120">
        <v>177</v>
      </c>
      <c r="W120" t="s">
        <v>151</v>
      </c>
      <c r="X120">
        <v>755097</v>
      </c>
      <c r="Y120" t="s">
        <v>1</v>
      </c>
      <c r="Z120" t="e" cm="1">
        <f t="array" aca="1" ref="Z120" ca="1">-0.0103393793272+(0.016657731528*pow(((((pow(x0,2)*pow(X1,2))*pow(X2,4))*pow(X3,4))*pow(X4,2)),0.5))+((((((147557569961.464*x0)*X1)*pow(X2,2))*pow(X3,2))*pow(X4,36))*pow((X4+X5),-32))+(((((((31.6636771803927*x0)*X1)*pow(X2,2))*pow(X3,2))*pow(X4,6))*pow(X5,-2))*pow(((-1+X4)+pow(X5,2)),-2))</f>
        <v>#NAME?</v>
      </c>
      <c r="AA120" t="s">
        <v>838</v>
      </c>
      <c r="AB120" t="s">
        <v>1036</v>
      </c>
      <c r="AC120" t="s">
        <v>572</v>
      </c>
      <c r="AD120" t="s">
        <v>729</v>
      </c>
      <c r="AE120" t="s">
        <v>569</v>
      </c>
      <c r="AF120" t="s">
        <v>730</v>
      </c>
      <c r="AG120" t="s">
        <v>572</v>
      </c>
      <c r="AH120" t="s">
        <v>731</v>
      </c>
      <c r="AI120" t="s">
        <v>572</v>
      </c>
      <c r="AJ120" t="s">
        <v>732</v>
      </c>
      <c r="AK120" t="s">
        <v>572</v>
      </c>
      <c r="AL120" t="s">
        <v>733</v>
      </c>
      <c r="AM120" t="s">
        <v>569</v>
      </c>
      <c r="AN120">
        <v>1.0339379327200001E-2</v>
      </c>
      <c r="AO120" t="s">
        <v>5</v>
      </c>
      <c r="AP120">
        <v>0.9997336</v>
      </c>
      <c r="AQ120" t="s">
        <v>4</v>
      </c>
      <c r="AR120">
        <v>7.6099299999999995E-2</v>
      </c>
    </row>
    <row r="121" spans="1:62" x14ac:dyDescent="0.25">
      <c r="A121" t="str">
        <f t="shared" si="1"/>
        <v>feynman_II_13_23_23654</v>
      </c>
      <c r="B121" t="s">
        <v>58</v>
      </c>
      <c r="C121" t="s">
        <v>189</v>
      </c>
      <c r="D121">
        <v>7200</v>
      </c>
      <c r="E121" t="s">
        <v>190</v>
      </c>
      <c r="F121">
        <v>1000000</v>
      </c>
      <c r="G121" t="s">
        <v>191</v>
      </c>
      <c r="H121">
        <v>23654</v>
      </c>
      <c r="I121" t="s">
        <v>192</v>
      </c>
      <c r="J121">
        <v>1E-3</v>
      </c>
      <c r="K121" t="s">
        <v>3</v>
      </c>
      <c r="L121">
        <v>0.99997559999999996</v>
      </c>
      <c r="M121" t="s">
        <v>2</v>
      </c>
      <c r="N121">
        <v>6.0025E-3</v>
      </c>
      <c r="O121" t="s">
        <v>17</v>
      </c>
      <c r="P121">
        <v>18</v>
      </c>
      <c r="Q121" t="s">
        <v>0</v>
      </c>
      <c r="R121">
        <v>6938.3</v>
      </c>
      <c r="S121" t="s">
        <v>152</v>
      </c>
      <c r="T121">
        <v>7</v>
      </c>
      <c r="U121" t="s">
        <v>153</v>
      </c>
      <c r="V121">
        <v>1276</v>
      </c>
      <c r="W121" t="s">
        <v>151</v>
      </c>
      <c r="X121">
        <v>1000391</v>
      </c>
      <c r="Y121" t="s">
        <v>1</v>
      </c>
      <c r="Z121" t="s">
        <v>1037</v>
      </c>
      <c r="AA121" t="s">
        <v>838</v>
      </c>
      <c r="AB121" t="s">
        <v>1038</v>
      </c>
      <c r="AC121" t="s">
        <v>569</v>
      </c>
      <c r="AD121" t="s">
        <v>734</v>
      </c>
      <c r="AE121" t="s">
        <v>572</v>
      </c>
      <c r="AF121" t="s">
        <v>735</v>
      </c>
      <c r="AG121" t="s">
        <v>5</v>
      </c>
      <c r="AH121">
        <v>0.99997570000000002</v>
      </c>
      <c r="AI121" t="s">
        <v>4</v>
      </c>
      <c r="AJ121">
        <v>5.9861000000000003E-3</v>
      </c>
    </row>
    <row r="122" spans="1:62" x14ac:dyDescent="0.25">
      <c r="A122" t="str">
        <f t="shared" si="1"/>
        <v>feynman_I_29_16_23654</v>
      </c>
      <c r="B122" t="s">
        <v>88</v>
      </c>
      <c r="C122" t="s">
        <v>189</v>
      </c>
      <c r="D122">
        <v>7200</v>
      </c>
      <c r="E122" t="s">
        <v>190</v>
      </c>
      <c r="F122">
        <v>1000000</v>
      </c>
      <c r="G122" t="s">
        <v>191</v>
      </c>
      <c r="H122">
        <v>23654</v>
      </c>
      <c r="I122" t="s">
        <v>192</v>
      </c>
      <c r="J122">
        <v>1E-3</v>
      </c>
      <c r="K122" t="s">
        <v>3</v>
      </c>
      <c r="L122">
        <v>0.98528649999999995</v>
      </c>
      <c r="M122" t="s">
        <v>2</v>
      </c>
      <c r="N122">
        <v>0.23286860000000001</v>
      </c>
      <c r="O122" t="s">
        <v>17</v>
      </c>
      <c r="P122">
        <v>46</v>
      </c>
      <c r="Q122" t="s">
        <v>0</v>
      </c>
      <c r="R122">
        <v>7201.2</v>
      </c>
      <c r="S122" t="s">
        <v>152</v>
      </c>
      <c r="T122">
        <v>5</v>
      </c>
      <c r="U122" t="s">
        <v>153</v>
      </c>
      <c r="V122">
        <v>362</v>
      </c>
      <c r="W122" t="s">
        <v>151</v>
      </c>
      <c r="X122">
        <v>770116</v>
      </c>
      <c r="Y122" t="s">
        <v>1</v>
      </c>
      <c r="Z122" t="e" cm="1">
        <f t="array" aca="1" ref="Z122" ca="1">-0.3088170603794+(1.3284041095554*x0)+((1.3158656106776*pow(X1,2))*pow((x0+X1),-1))+((-1.8044943687958*pow(0.6,pow((X2+(-1*X3)),2)))*pow((((0.5+(-0.5*x0))+(-0.5*X1))+(x0*X1)),0.5))</f>
        <v>#NAME?</v>
      </c>
      <c r="AA122" t="s">
        <v>838</v>
      </c>
      <c r="AB122" t="s">
        <v>1039</v>
      </c>
      <c r="AC122" t="s">
        <v>569</v>
      </c>
      <c r="AD122" t="s">
        <v>736</v>
      </c>
      <c r="AE122" t="s">
        <v>569</v>
      </c>
      <c r="AF122" t="s">
        <v>737</v>
      </c>
      <c r="AG122" t="s">
        <v>569</v>
      </c>
      <c r="AH122" t="s">
        <v>738</v>
      </c>
      <c r="AI122" t="s">
        <v>572</v>
      </c>
      <c r="AJ122" t="s">
        <v>739</v>
      </c>
      <c r="AK122" t="s">
        <v>572</v>
      </c>
      <c r="AL122" t="s">
        <v>740</v>
      </c>
      <c r="AM122" t="s">
        <v>572</v>
      </c>
      <c r="AN122" t="s">
        <v>741</v>
      </c>
      <c r="AO122" t="s">
        <v>572</v>
      </c>
      <c r="AP122" t="s">
        <v>614</v>
      </c>
      <c r="AQ122" t="s">
        <v>569</v>
      </c>
      <c r="AR122">
        <v>0.30881706037939999</v>
      </c>
      <c r="AS122" t="s">
        <v>5</v>
      </c>
      <c r="AT122">
        <v>0.98494890000000002</v>
      </c>
      <c r="AU122" t="s">
        <v>4</v>
      </c>
      <c r="AV122">
        <v>0.23509740000000001</v>
      </c>
    </row>
    <row r="123" spans="1:62" x14ac:dyDescent="0.25">
      <c r="A123" t="str">
        <f t="shared" si="1"/>
        <v>feynman_I_15_3t_23654</v>
      </c>
      <c r="B123" t="s">
        <v>92</v>
      </c>
      <c r="C123" t="s">
        <v>189</v>
      </c>
      <c r="D123">
        <v>7200</v>
      </c>
      <c r="E123" t="s">
        <v>190</v>
      </c>
      <c r="F123">
        <v>1000000</v>
      </c>
      <c r="G123" t="s">
        <v>191</v>
      </c>
      <c r="H123">
        <v>23654</v>
      </c>
      <c r="I123" t="s">
        <v>192</v>
      </c>
      <c r="J123">
        <v>1E-3</v>
      </c>
      <c r="K123" t="s">
        <v>3</v>
      </c>
      <c r="L123">
        <v>0.99994499999999997</v>
      </c>
      <c r="M123" t="s">
        <v>2</v>
      </c>
      <c r="N123">
        <v>8.9812999999999994E-3</v>
      </c>
      <c r="O123" t="s">
        <v>17</v>
      </c>
      <c r="P123">
        <v>28</v>
      </c>
      <c r="Q123" t="s">
        <v>0</v>
      </c>
      <c r="R123">
        <v>7200.4</v>
      </c>
      <c r="S123" t="s">
        <v>152</v>
      </c>
      <c r="T123">
        <v>6</v>
      </c>
      <c r="U123" t="s">
        <v>153</v>
      </c>
      <c r="V123">
        <v>903</v>
      </c>
      <c r="W123" t="s">
        <v>151</v>
      </c>
      <c r="X123">
        <v>983307</v>
      </c>
      <c r="Y123" t="s">
        <v>1</v>
      </c>
      <c r="Z123" t="s">
        <v>1040</v>
      </c>
      <c r="AA123" t="s">
        <v>838</v>
      </c>
      <c r="AB123" t="s">
        <v>1041</v>
      </c>
      <c r="AC123" t="s">
        <v>572</v>
      </c>
      <c r="AD123" t="s">
        <v>742</v>
      </c>
      <c r="AE123" t="s">
        <v>572</v>
      </c>
      <c r="AF123" t="s">
        <v>743</v>
      </c>
      <c r="AG123" t="s">
        <v>572</v>
      </c>
      <c r="AH123" t="s">
        <v>744</v>
      </c>
      <c r="AI123" t="s">
        <v>5</v>
      </c>
      <c r="AJ123">
        <v>0.99994260000000001</v>
      </c>
      <c r="AK123" t="s">
        <v>4</v>
      </c>
      <c r="AL123">
        <v>9.1214E-3</v>
      </c>
    </row>
    <row r="124" spans="1:62" x14ac:dyDescent="0.25">
      <c r="A124" t="str">
        <f t="shared" si="1"/>
        <v>feynman_test_1_23654</v>
      </c>
      <c r="B124" t="s">
        <v>147</v>
      </c>
      <c r="C124" t="s">
        <v>189</v>
      </c>
      <c r="D124">
        <v>7200</v>
      </c>
      <c r="E124" t="s">
        <v>190</v>
      </c>
      <c r="F124">
        <v>1000000</v>
      </c>
      <c r="G124" t="s">
        <v>191</v>
      </c>
      <c r="H124">
        <v>23654</v>
      </c>
      <c r="I124" t="s">
        <v>192</v>
      </c>
      <c r="J124">
        <v>1E-3</v>
      </c>
      <c r="K124" t="s">
        <v>3</v>
      </c>
      <c r="L124">
        <v>0.99997100000000005</v>
      </c>
      <c r="M124" t="s">
        <v>2</v>
      </c>
      <c r="N124">
        <v>6.37987E-2</v>
      </c>
      <c r="O124" t="s">
        <v>17</v>
      </c>
      <c r="P124">
        <v>70</v>
      </c>
      <c r="Q124" t="s">
        <v>0</v>
      </c>
      <c r="R124">
        <v>7200.8</v>
      </c>
      <c r="S124" t="s">
        <v>152</v>
      </c>
      <c r="T124">
        <v>6</v>
      </c>
      <c r="U124" t="s">
        <v>153</v>
      </c>
      <c r="V124">
        <v>147</v>
      </c>
      <c r="W124" t="s">
        <v>151</v>
      </c>
      <c r="X124">
        <v>748776</v>
      </c>
      <c r="Y124" t="s">
        <v>1</v>
      </c>
      <c r="Z124" t="s">
        <v>1042</v>
      </c>
      <c r="AA124" t="s">
        <v>838</v>
      </c>
      <c r="AB124" t="s">
        <v>1043</v>
      </c>
      <c r="AC124" t="s">
        <v>569</v>
      </c>
      <c r="AD124" t="s">
        <v>745</v>
      </c>
      <c r="AE124" t="s">
        <v>572</v>
      </c>
      <c r="AF124" t="s">
        <v>746</v>
      </c>
      <c r="AG124" t="s">
        <v>572</v>
      </c>
      <c r="AH124" t="s">
        <v>747</v>
      </c>
      <c r="AI124" t="s">
        <v>572</v>
      </c>
      <c r="AJ124" t="s">
        <v>748</v>
      </c>
      <c r="AK124" t="s">
        <v>572</v>
      </c>
      <c r="AL124">
        <v>5.8805546232999998E-3</v>
      </c>
      <c r="AM124" t="s">
        <v>5</v>
      </c>
      <c r="AN124">
        <v>0.99996949999999996</v>
      </c>
      <c r="AO124" t="s">
        <v>4</v>
      </c>
      <c r="AP124">
        <v>6.5089800000000003E-2</v>
      </c>
    </row>
    <row r="125" spans="1:62" x14ac:dyDescent="0.25">
      <c r="A125" t="str">
        <f t="shared" si="1"/>
        <v>feynman_II_13_34_23654</v>
      </c>
      <c r="B125" t="s">
        <v>56</v>
      </c>
      <c r="C125" t="s">
        <v>189</v>
      </c>
      <c r="D125">
        <v>7200</v>
      </c>
      <c r="E125" t="s">
        <v>190</v>
      </c>
      <c r="F125">
        <v>1000000</v>
      </c>
      <c r="G125" t="s">
        <v>191</v>
      </c>
      <c r="H125">
        <v>23654</v>
      </c>
      <c r="I125" t="s">
        <v>192</v>
      </c>
      <c r="J125">
        <v>1E-3</v>
      </c>
      <c r="K125" t="s">
        <v>3</v>
      </c>
      <c r="L125">
        <v>0.99999760000000004</v>
      </c>
      <c r="M125" t="s">
        <v>2</v>
      </c>
      <c r="N125">
        <v>3.274E-3</v>
      </c>
      <c r="O125" t="s">
        <v>17</v>
      </c>
      <c r="P125">
        <v>28</v>
      </c>
      <c r="Q125" t="s">
        <v>0</v>
      </c>
      <c r="R125">
        <v>7200.3</v>
      </c>
      <c r="S125" t="s">
        <v>152</v>
      </c>
      <c r="T125">
        <v>4</v>
      </c>
      <c r="U125" t="s">
        <v>153</v>
      </c>
      <c r="V125">
        <v>832</v>
      </c>
      <c r="W125" t="s">
        <v>151</v>
      </c>
      <c r="X125">
        <v>968979</v>
      </c>
      <c r="Y125" t="s">
        <v>1</v>
      </c>
      <c r="Z125" t="s">
        <v>1044</v>
      </c>
      <c r="AA125" t="s">
        <v>838</v>
      </c>
      <c r="AB125" t="s">
        <v>1045</v>
      </c>
      <c r="AC125" t="s">
        <v>569</v>
      </c>
      <c r="AD125" t="s">
        <v>749</v>
      </c>
      <c r="AE125" t="s">
        <v>572</v>
      </c>
      <c r="AF125" t="s">
        <v>750</v>
      </c>
      <c r="AG125" t="s">
        <v>572</v>
      </c>
      <c r="AH125" t="s">
        <v>751</v>
      </c>
      <c r="AI125" t="s">
        <v>5</v>
      </c>
      <c r="AJ125">
        <v>0.99999749999999998</v>
      </c>
      <c r="AK125" t="s">
        <v>4</v>
      </c>
      <c r="AL125">
        <v>3.3313000000000001E-3</v>
      </c>
    </row>
    <row r="126" spans="1:62" x14ac:dyDescent="0.25">
      <c r="A126" t="str">
        <f t="shared" si="1"/>
        <v>strogatz_predprey1_15795</v>
      </c>
      <c r="B126" t="s">
        <v>31</v>
      </c>
      <c r="C126" t="s">
        <v>189</v>
      </c>
      <c r="D126">
        <v>7200</v>
      </c>
      <c r="E126" t="s">
        <v>190</v>
      </c>
      <c r="F126">
        <v>1000000</v>
      </c>
      <c r="G126" t="s">
        <v>191</v>
      </c>
      <c r="H126">
        <v>15795</v>
      </c>
      <c r="I126" t="s">
        <v>192</v>
      </c>
      <c r="J126">
        <v>1E-3</v>
      </c>
      <c r="K126" t="s">
        <v>3</v>
      </c>
      <c r="L126">
        <v>0.99990939999999995</v>
      </c>
      <c r="M126" t="s">
        <v>2</v>
      </c>
      <c r="N126">
        <v>1.9887700000000001E-2</v>
      </c>
      <c r="O126" t="s">
        <v>17</v>
      </c>
      <c r="P126">
        <v>54</v>
      </c>
      <c r="Q126" t="s">
        <v>0</v>
      </c>
      <c r="R126">
        <v>3225.1</v>
      </c>
      <c r="S126" t="s">
        <v>152</v>
      </c>
      <c r="T126">
        <v>24</v>
      </c>
      <c r="U126" t="s">
        <v>153</v>
      </c>
      <c r="V126">
        <v>1141</v>
      </c>
      <c r="W126" t="s">
        <v>151</v>
      </c>
      <c r="X126">
        <v>1001346</v>
      </c>
      <c r="Y126" t="s">
        <v>1</v>
      </c>
      <c r="Z126" t="s">
        <v>1046</v>
      </c>
      <c r="AA126" t="s">
        <v>838</v>
      </c>
      <c r="AB126" t="e" cm="1">
        <f t="array" ref="AB126">-0.0506358039629*x0*X1</f>
        <v>#NAME?</v>
      </c>
      <c r="AC126" t="s">
        <v>572</v>
      </c>
      <c r="AD126" t="s">
        <v>752</v>
      </c>
      <c r="AE126" t="s">
        <v>569</v>
      </c>
      <c r="AF126" t="s">
        <v>753</v>
      </c>
      <c r="AG126" t="s">
        <v>569</v>
      </c>
      <c r="AH126" t="s">
        <v>754</v>
      </c>
      <c r="AI126" t="s">
        <v>572</v>
      </c>
      <c r="AJ126" t="s">
        <v>755</v>
      </c>
      <c r="AK126" t="s">
        <v>572</v>
      </c>
      <c r="AL126" t="s">
        <v>756</v>
      </c>
      <c r="AM126" t="s">
        <v>569</v>
      </c>
      <c r="AN126" t="s">
        <v>757</v>
      </c>
      <c r="AO126" t="s">
        <v>572</v>
      </c>
      <c r="AP126" t="s">
        <v>758</v>
      </c>
      <c r="AQ126" t="s">
        <v>572</v>
      </c>
      <c r="AR126" t="s">
        <v>759</v>
      </c>
      <c r="AS126" t="s">
        <v>572</v>
      </c>
      <c r="AT126" t="s">
        <v>760</v>
      </c>
      <c r="AU126" t="s">
        <v>572</v>
      </c>
      <c r="AV126" t="s">
        <v>761</v>
      </c>
      <c r="AW126" t="s">
        <v>572</v>
      </c>
      <c r="AX126">
        <v>1.2353859605410999</v>
      </c>
      <c r="AY126" t="s">
        <v>5</v>
      </c>
      <c r="AZ126">
        <v>0.99982519999999997</v>
      </c>
      <c r="BA126" t="s">
        <v>4</v>
      </c>
      <c r="BB126">
        <v>4.1754600000000003E-2</v>
      </c>
    </row>
    <row r="127" spans="1:62" x14ac:dyDescent="0.25">
      <c r="A127" t="str">
        <f t="shared" si="1"/>
        <v>feynman_test_20_23654</v>
      </c>
      <c r="B127" t="s">
        <v>148</v>
      </c>
      <c r="C127" t="s">
        <v>189</v>
      </c>
      <c r="D127">
        <v>7200</v>
      </c>
      <c r="E127" t="s">
        <v>190</v>
      </c>
      <c r="F127">
        <v>1000000</v>
      </c>
      <c r="G127" t="s">
        <v>191</v>
      </c>
      <c r="H127">
        <v>23654</v>
      </c>
      <c r="I127" t="s">
        <v>192</v>
      </c>
      <c r="J127">
        <v>1E-3</v>
      </c>
      <c r="K127" t="s">
        <v>3</v>
      </c>
      <c r="L127">
        <v>0.97951790000000005</v>
      </c>
      <c r="M127" t="s">
        <v>2</v>
      </c>
      <c r="N127">
        <v>2.2300461999999999</v>
      </c>
      <c r="O127" t="s">
        <v>17</v>
      </c>
      <c r="P127">
        <v>70</v>
      </c>
      <c r="Q127" t="s">
        <v>0</v>
      </c>
      <c r="R127">
        <v>7202.6</v>
      </c>
      <c r="S127" t="s">
        <v>152</v>
      </c>
      <c r="T127">
        <v>7</v>
      </c>
      <c r="U127" t="s">
        <v>153</v>
      </c>
      <c r="V127">
        <v>121</v>
      </c>
      <c r="W127" t="s">
        <v>151</v>
      </c>
      <c r="X127">
        <v>717835</v>
      </c>
      <c r="Y127" t="s">
        <v>1</v>
      </c>
      <c r="Z127" t="s">
        <v>1047</v>
      </c>
      <c r="AA127" t="s">
        <v>838</v>
      </c>
      <c r="AB127" t="s">
        <v>1048</v>
      </c>
      <c r="AC127" t="s">
        <v>572</v>
      </c>
      <c r="AD127" t="s">
        <v>762</v>
      </c>
      <c r="AE127" t="s">
        <v>572</v>
      </c>
      <c r="AF127" t="s">
        <v>763</v>
      </c>
      <c r="AG127" t="s">
        <v>572</v>
      </c>
      <c r="AH127" t="s">
        <v>764</v>
      </c>
      <c r="AI127" t="s">
        <v>572</v>
      </c>
      <c r="AJ127" t="s">
        <v>762</v>
      </c>
      <c r="AK127" t="s">
        <v>572</v>
      </c>
      <c r="AL127" t="s">
        <v>765</v>
      </c>
      <c r="AM127" t="s">
        <v>572</v>
      </c>
      <c r="AN127" t="s">
        <v>766</v>
      </c>
      <c r="AO127" t="s">
        <v>572</v>
      </c>
      <c r="AP127">
        <v>7.9668154838899996E-2</v>
      </c>
      <c r="AQ127" t="s">
        <v>5</v>
      </c>
      <c r="AR127">
        <v>0.97081580000000001</v>
      </c>
      <c r="AS127" t="s">
        <v>4</v>
      </c>
      <c r="AT127">
        <v>2.2410863999999999</v>
      </c>
    </row>
    <row r="128" spans="1:62" x14ac:dyDescent="0.25">
      <c r="A128" t="str">
        <f t="shared" si="1"/>
        <v>feynman_test_16_23654</v>
      </c>
      <c r="B128" t="s">
        <v>140</v>
      </c>
      <c r="C128" t="s">
        <v>189</v>
      </c>
      <c r="D128">
        <v>7200</v>
      </c>
      <c r="E128" t="s">
        <v>190</v>
      </c>
      <c r="F128">
        <v>1000000</v>
      </c>
      <c r="G128" t="s">
        <v>191</v>
      </c>
      <c r="H128">
        <v>23654</v>
      </c>
      <c r="I128" t="s">
        <v>192</v>
      </c>
      <c r="J128">
        <v>1E-3</v>
      </c>
      <c r="K128" t="s">
        <v>3</v>
      </c>
      <c r="L128">
        <v>0.99980460000000004</v>
      </c>
      <c r="M128" t="s">
        <v>2</v>
      </c>
      <c r="N128">
        <v>0.3995261</v>
      </c>
      <c r="O128" t="s">
        <v>17</v>
      </c>
      <c r="P128">
        <v>110</v>
      </c>
      <c r="Q128" t="s">
        <v>0</v>
      </c>
      <c r="R128">
        <v>7203.8</v>
      </c>
      <c r="S128" t="s">
        <v>152</v>
      </c>
      <c r="T128">
        <v>10</v>
      </c>
      <c r="U128" t="s">
        <v>153</v>
      </c>
      <c r="V128">
        <v>122</v>
      </c>
      <c r="W128" t="s">
        <v>151</v>
      </c>
      <c r="X128">
        <v>598647</v>
      </c>
      <c r="Y128" t="s">
        <v>1</v>
      </c>
      <c r="Z128" t="s">
        <v>1049</v>
      </c>
      <c r="AA128" t="s">
        <v>838</v>
      </c>
      <c r="AB128" t="s">
        <v>1050</v>
      </c>
      <c r="AC128" t="s">
        <v>569</v>
      </c>
      <c r="AD128" t="s">
        <v>767</v>
      </c>
      <c r="AE128" t="s">
        <v>572</v>
      </c>
      <c r="AF128" t="s">
        <v>768</v>
      </c>
      <c r="AG128" t="s">
        <v>572</v>
      </c>
      <c r="AH128" t="s">
        <v>769</v>
      </c>
      <c r="AI128" t="s">
        <v>572</v>
      </c>
      <c r="AJ128" t="s">
        <v>770</v>
      </c>
      <c r="AK128" t="s">
        <v>569</v>
      </c>
      <c r="AL128" t="s">
        <v>771</v>
      </c>
      <c r="AM128" t="s">
        <v>572</v>
      </c>
      <c r="AN128" t="s">
        <v>772</v>
      </c>
      <c r="AO128" t="s">
        <v>572</v>
      </c>
      <c r="AP128" t="s">
        <v>773</v>
      </c>
      <c r="AQ128" t="s">
        <v>572</v>
      </c>
      <c r="AR128" t="s">
        <v>774</v>
      </c>
      <c r="AS128" t="s">
        <v>572</v>
      </c>
      <c r="AT128" t="s">
        <v>775</v>
      </c>
      <c r="AU128" t="s">
        <v>572</v>
      </c>
      <c r="AV128" t="s">
        <v>776</v>
      </c>
      <c r="AW128" t="s">
        <v>569</v>
      </c>
      <c r="AX128" t="s">
        <v>777</v>
      </c>
      <c r="AY128" t="s">
        <v>572</v>
      </c>
      <c r="AZ128" t="s">
        <v>772</v>
      </c>
      <c r="BA128" t="s">
        <v>572</v>
      </c>
      <c r="BB128" t="s">
        <v>778</v>
      </c>
      <c r="BC128" t="s">
        <v>569</v>
      </c>
      <c r="BD128" t="s">
        <v>779</v>
      </c>
      <c r="BE128" t="s">
        <v>572</v>
      </c>
      <c r="BF128">
        <v>0.58204431369279996</v>
      </c>
      <c r="BG128" t="s">
        <v>5</v>
      </c>
      <c r="BH128">
        <v>0.99980619999999998</v>
      </c>
      <c r="BI128" t="s">
        <v>4</v>
      </c>
      <c r="BJ128">
        <v>0.39616570000000001</v>
      </c>
    </row>
    <row r="129" spans="1:42" x14ac:dyDescent="0.25">
      <c r="A129" t="str">
        <f t="shared" si="1"/>
        <v>feynman_test_3_23654</v>
      </c>
      <c r="B129" t="s">
        <v>86</v>
      </c>
      <c r="C129" t="s">
        <v>189</v>
      </c>
      <c r="D129">
        <v>7200</v>
      </c>
      <c r="E129" t="s">
        <v>190</v>
      </c>
      <c r="F129">
        <v>1000000</v>
      </c>
      <c r="G129" t="s">
        <v>191</v>
      </c>
      <c r="H129">
        <v>23654</v>
      </c>
      <c r="I129" t="s">
        <v>192</v>
      </c>
      <c r="J129">
        <v>1E-3</v>
      </c>
      <c r="K129" t="s">
        <v>3</v>
      </c>
      <c r="L129">
        <v>0.9995406</v>
      </c>
      <c r="M129" t="s">
        <v>2</v>
      </c>
      <c r="N129">
        <v>3.9440999999999997E-2</v>
      </c>
      <c r="O129" t="s">
        <v>17</v>
      </c>
      <c r="P129">
        <v>35</v>
      </c>
      <c r="Q129" t="s">
        <v>0</v>
      </c>
      <c r="R129">
        <v>7200.7</v>
      </c>
      <c r="S129" t="s">
        <v>152</v>
      </c>
      <c r="T129">
        <v>14</v>
      </c>
      <c r="U129" t="s">
        <v>153</v>
      </c>
      <c r="V129">
        <v>605</v>
      </c>
      <c r="W129" t="s">
        <v>151</v>
      </c>
      <c r="X129">
        <v>864080</v>
      </c>
      <c r="Y129" t="s">
        <v>1</v>
      </c>
      <c r="Z129" t="s">
        <v>1051</v>
      </c>
      <c r="AA129" t="s">
        <v>838</v>
      </c>
      <c r="AB129" t="e" cm="1">
        <f t="array" ref="AB129">-1.0002129659168*x0*X1</f>
        <v>#NAME?</v>
      </c>
      <c r="AC129" t="s">
        <v>572</v>
      </c>
      <c r="AD129" t="s">
        <v>780</v>
      </c>
      <c r="AE129" t="s">
        <v>569</v>
      </c>
      <c r="AF129" t="s">
        <v>781</v>
      </c>
      <c r="AG129" t="s">
        <v>569</v>
      </c>
      <c r="AH129" t="s">
        <v>782</v>
      </c>
      <c r="AI129" t="s">
        <v>572</v>
      </c>
      <c r="AJ129" t="s">
        <v>783</v>
      </c>
      <c r="AK129" t="s">
        <v>572</v>
      </c>
      <c r="AL129">
        <v>1.0881463180900001E-2</v>
      </c>
      <c r="AM129" t="s">
        <v>5</v>
      </c>
      <c r="AN129">
        <v>0.99950410000000001</v>
      </c>
      <c r="AO129" t="s">
        <v>4</v>
      </c>
      <c r="AP129">
        <v>4.1048099999999997E-2</v>
      </c>
    </row>
    <row r="130" spans="1:42" x14ac:dyDescent="0.25">
      <c r="A130" t="str">
        <f t="shared" ref="A130:A183" si="2">CONCATENATE(B130, "_", H130)</f>
        <v>feynman_III_12_43_15795</v>
      </c>
      <c r="B130" t="s">
        <v>33</v>
      </c>
      <c r="C130" t="s">
        <v>189</v>
      </c>
      <c r="D130">
        <v>7200</v>
      </c>
      <c r="E130" t="s">
        <v>190</v>
      </c>
      <c r="F130">
        <v>1000000</v>
      </c>
      <c r="G130" t="s">
        <v>191</v>
      </c>
      <c r="H130">
        <v>15795</v>
      </c>
      <c r="I130" t="s">
        <v>192</v>
      </c>
      <c r="J130">
        <v>1E-3</v>
      </c>
      <c r="K130" t="s">
        <v>3</v>
      </c>
      <c r="L130">
        <v>1</v>
      </c>
      <c r="M130" t="s">
        <v>2</v>
      </c>
      <c r="N130">
        <v>0</v>
      </c>
      <c r="O130" t="s">
        <v>17</v>
      </c>
      <c r="P130">
        <v>6</v>
      </c>
      <c r="Q130" t="s">
        <v>0</v>
      </c>
      <c r="R130">
        <v>1.5</v>
      </c>
      <c r="S130" t="s">
        <v>152</v>
      </c>
      <c r="T130">
        <v>1</v>
      </c>
      <c r="U130" t="s">
        <v>153</v>
      </c>
      <c r="V130">
        <v>2</v>
      </c>
      <c r="W130" t="s">
        <v>151</v>
      </c>
      <c r="X130">
        <v>367</v>
      </c>
      <c r="Y130" t="s">
        <v>1</v>
      </c>
      <c r="Z130" t="s">
        <v>843</v>
      </c>
      <c r="AA130" t="s">
        <v>838</v>
      </c>
      <c r="AB130" t="s">
        <v>844</v>
      </c>
      <c r="AC130" t="s">
        <v>5</v>
      </c>
      <c r="AD130">
        <v>1</v>
      </c>
      <c r="AE130" t="s">
        <v>4</v>
      </c>
      <c r="AF130">
        <v>0</v>
      </c>
    </row>
    <row r="131" spans="1:42" x14ac:dyDescent="0.25">
      <c r="A131" t="str">
        <f t="shared" si="2"/>
        <v>feynman_I_43_31_15795</v>
      </c>
      <c r="B131" t="s">
        <v>72</v>
      </c>
      <c r="C131" t="s">
        <v>189</v>
      </c>
      <c r="D131">
        <v>7200</v>
      </c>
      <c r="E131" t="s">
        <v>190</v>
      </c>
      <c r="F131">
        <v>1000000</v>
      </c>
      <c r="G131" t="s">
        <v>191</v>
      </c>
      <c r="H131">
        <v>15795</v>
      </c>
      <c r="I131" t="s">
        <v>192</v>
      </c>
      <c r="J131">
        <v>1E-3</v>
      </c>
      <c r="K131" t="s">
        <v>3</v>
      </c>
      <c r="L131">
        <v>1</v>
      </c>
      <c r="M131" t="s">
        <v>2</v>
      </c>
      <c r="N131">
        <v>0</v>
      </c>
      <c r="O131" t="s">
        <v>17</v>
      </c>
      <c r="P131">
        <v>8</v>
      </c>
      <c r="Q131" t="s">
        <v>0</v>
      </c>
      <c r="R131">
        <v>3.8</v>
      </c>
      <c r="S131" t="s">
        <v>152</v>
      </c>
      <c r="T131">
        <v>1</v>
      </c>
      <c r="U131" t="s">
        <v>153</v>
      </c>
      <c r="V131">
        <v>3</v>
      </c>
      <c r="W131" t="s">
        <v>151</v>
      </c>
      <c r="X131">
        <v>758</v>
      </c>
      <c r="Y131" t="s">
        <v>1</v>
      </c>
      <c r="Z131" t="s">
        <v>851</v>
      </c>
      <c r="AA131" t="s">
        <v>838</v>
      </c>
      <c r="AB131" t="s">
        <v>852</v>
      </c>
      <c r="AC131" t="s">
        <v>5</v>
      </c>
      <c r="AD131">
        <v>1</v>
      </c>
      <c r="AE131" t="s">
        <v>4</v>
      </c>
      <c r="AF131">
        <v>0</v>
      </c>
    </row>
    <row r="132" spans="1:42" x14ac:dyDescent="0.25">
      <c r="A132" t="str">
        <f t="shared" si="2"/>
        <v>feynman_II_38_14_15795</v>
      </c>
      <c r="B132" t="s">
        <v>40</v>
      </c>
      <c r="C132" t="s">
        <v>189</v>
      </c>
      <c r="D132">
        <v>7200</v>
      </c>
      <c r="E132" t="s">
        <v>190</v>
      </c>
      <c r="F132">
        <v>1000000</v>
      </c>
      <c r="G132" t="s">
        <v>191</v>
      </c>
      <c r="H132">
        <v>15795</v>
      </c>
      <c r="I132" t="s">
        <v>192</v>
      </c>
      <c r="J132">
        <v>1E-3</v>
      </c>
      <c r="K132" t="s">
        <v>3</v>
      </c>
      <c r="L132">
        <v>1</v>
      </c>
      <c r="M132" t="s">
        <v>2</v>
      </c>
      <c r="N132">
        <v>0</v>
      </c>
      <c r="O132" t="s">
        <v>17</v>
      </c>
      <c r="P132">
        <v>12</v>
      </c>
      <c r="Q132" t="s">
        <v>0</v>
      </c>
      <c r="R132">
        <v>5.6</v>
      </c>
      <c r="S132" t="s">
        <v>152</v>
      </c>
      <c r="T132">
        <v>1</v>
      </c>
      <c r="U132" t="s">
        <v>153</v>
      </c>
      <c r="V132">
        <v>3</v>
      </c>
      <c r="W132" t="s">
        <v>151</v>
      </c>
      <c r="X132">
        <v>1079</v>
      </c>
      <c r="Y132" t="s">
        <v>1</v>
      </c>
      <c r="Z132" t="s">
        <v>869</v>
      </c>
      <c r="AA132" t="s">
        <v>838</v>
      </c>
      <c r="AB132" t="s">
        <v>870</v>
      </c>
      <c r="AC132" t="s">
        <v>569</v>
      </c>
      <c r="AD132" t="s">
        <v>571</v>
      </c>
      <c r="AE132" t="s">
        <v>5</v>
      </c>
      <c r="AF132">
        <v>1</v>
      </c>
      <c r="AG132" t="s">
        <v>4</v>
      </c>
      <c r="AH132">
        <v>0</v>
      </c>
    </row>
    <row r="133" spans="1:42" x14ac:dyDescent="0.25">
      <c r="A133" t="str">
        <f t="shared" si="2"/>
        <v>feynman_I_12_4_15795</v>
      </c>
      <c r="B133" t="s">
        <v>83</v>
      </c>
      <c r="C133" t="s">
        <v>189</v>
      </c>
      <c r="D133">
        <v>7200</v>
      </c>
      <c r="E133" t="s">
        <v>190</v>
      </c>
      <c r="F133">
        <v>1000000</v>
      </c>
      <c r="G133" t="s">
        <v>191</v>
      </c>
      <c r="H133">
        <v>15795</v>
      </c>
      <c r="I133" t="s">
        <v>192</v>
      </c>
      <c r="J133">
        <v>1E-3</v>
      </c>
      <c r="K133" t="s">
        <v>3</v>
      </c>
      <c r="L133">
        <v>1</v>
      </c>
      <c r="M133" t="s">
        <v>2</v>
      </c>
      <c r="N133">
        <v>0</v>
      </c>
      <c r="O133" t="s">
        <v>17</v>
      </c>
      <c r="P133">
        <v>12</v>
      </c>
      <c r="Q133" t="s">
        <v>0</v>
      </c>
      <c r="R133">
        <v>12.9</v>
      </c>
      <c r="S133" t="s">
        <v>152</v>
      </c>
      <c r="T133">
        <v>1</v>
      </c>
      <c r="U133" t="s">
        <v>153</v>
      </c>
      <c r="V133">
        <v>4</v>
      </c>
      <c r="W133" t="s">
        <v>151</v>
      </c>
      <c r="X133">
        <v>2246</v>
      </c>
      <c r="Y133" t="s">
        <v>1</v>
      </c>
      <c r="Z133" t="s">
        <v>887</v>
      </c>
      <c r="AA133" t="s">
        <v>838</v>
      </c>
      <c r="AB133" t="s">
        <v>888</v>
      </c>
      <c r="AC133" t="s">
        <v>5</v>
      </c>
      <c r="AD133">
        <v>1</v>
      </c>
      <c r="AE133" t="s">
        <v>4</v>
      </c>
      <c r="AF133">
        <v>0</v>
      </c>
    </row>
    <row r="134" spans="1:42" x14ac:dyDescent="0.25">
      <c r="A134" t="str">
        <f t="shared" si="2"/>
        <v>feynman_I_27_6_15795</v>
      </c>
      <c r="B134" t="s">
        <v>60</v>
      </c>
      <c r="C134" t="s">
        <v>189</v>
      </c>
      <c r="D134">
        <v>7200</v>
      </c>
      <c r="E134" t="s">
        <v>190</v>
      </c>
      <c r="F134">
        <v>1000000</v>
      </c>
      <c r="G134" t="s">
        <v>191</v>
      </c>
      <c r="H134">
        <v>15795</v>
      </c>
      <c r="I134" t="s">
        <v>192</v>
      </c>
      <c r="J134">
        <v>1E-3</v>
      </c>
      <c r="K134" t="s">
        <v>3</v>
      </c>
      <c r="L134">
        <v>1</v>
      </c>
      <c r="M134" t="s">
        <v>2</v>
      </c>
      <c r="N134">
        <v>0</v>
      </c>
      <c r="O134" t="s">
        <v>17</v>
      </c>
      <c r="P134">
        <v>14</v>
      </c>
      <c r="Q134" t="s">
        <v>0</v>
      </c>
      <c r="R134">
        <v>16.5</v>
      </c>
      <c r="S134" t="s">
        <v>152</v>
      </c>
      <c r="T134">
        <v>1</v>
      </c>
      <c r="U134" t="s">
        <v>153</v>
      </c>
      <c r="V134">
        <v>5</v>
      </c>
      <c r="W134" t="s">
        <v>151</v>
      </c>
      <c r="X134">
        <v>3009</v>
      </c>
      <c r="Y134" t="s">
        <v>1</v>
      </c>
      <c r="Z134" t="s">
        <v>903</v>
      </c>
      <c r="AA134" t="s">
        <v>838</v>
      </c>
      <c r="AB134" t="s">
        <v>904</v>
      </c>
      <c r="AC134" t="s">
        <v>572</v>
      </c>
      <c r="AD134" t="s">
        <v>579</v>
      </c>
      <c r="AE134" t="s">
        <v>5</v>
      </c>
      <c r="AF134">
        <v>1</v>
      </c>
      <c r="AG134" t="s">
        <v>4</v>
      </c>
      <c r="AH134">
        <v>0</v>
      </c>
    </row>
    <row r="135" spans="1:42" x14ac:dyDescent="0.25">
      <c r="A135" t="str">
        <f t="shared" si="2"/>
        <v>feynman_II_11_3_15795</v>
      </c>
      <c r="B135" t="s">
        <v>126</v>
      </c>
      <c r="C135" t="s">
        <v>189</v>
      </c>
      <c r="D135">
        <v>7200</v>
      </c>
      <c r="E135" t="s">
        <v>190</v>
      </c>
      <c r="F135">
        <v>1000000</v>
      </c>
      <c r="G135" t="s">
        <v>191</v>
      </c>
      <c r="H135">
        <v>15795</v>
      </c>
      <c r="I135" t="s">
        <v>192</v>
      </c>
      <c r="J135">
        <v>1E-3</v>
      </c>
      <c r="K135" t="s">
        <v>3</v>
      </c>
      <c r="L135">
        <v>1</v>
      </c>
      <c r="M135" t="s">
        <v>2</v>
      </c>
      <c r="N135">
        <v>0</v>
      </c>
      <c r="O135" t="s">
        <v>17</v>
      </c>
      <c r="P135">
        <v>24</v>
      </c>
      <c r="Q135" t="s">
        <v>0</v>
      </c>
      <c r="R135">
        <v>71.599999999999994</v>
      </c>
      <c r="S135" t="s">
        <v>152</v>
      </c>
      <c r="T135">
        <v>2</v>
      </c>
      <c r="U135" t="s">
        <v>153</v>
      </c>
      <c r="V135">
        <v>14</v>
      </c>
      <c r="W135" t="s">
        <v>151</v>
      </c>
      <c r="X135">
        <v>11941</v>
      </c>
      <c r="Y135" t="s">
        <v>1</v>
      </c>
      <c r="Z135" t="s">
        <v>1052</v>
      </c>
      <c r="AA135" t="s">
        <v>838</v>
      </c>
      <c r="AB135" t="s">
        <v>1053</v>
      </c>
      <c r="AC135" t="s">
        <v>569</v>
      </c>
      <c r="AD135" t="s">
        <v>784</v>
      </c>
      <c r="AE135" t="s">
        <v>572</v>
      </c>
      <c r="AF135" t="s">
        <v>785</v>
      </c>
      <c r="AG135" t="s">
        <v>5</v>
      </c>
      <c r="AH135">
        <v>1</v>
      </c>
      <c r="AI135" t="s">
        <v>4</v>
      </c>
      <c r="AJ135">
        <v>0</v>
      </c>
    </row>
    <row r="136" spans="1:42" x14ac:dyDescent="0.25">
      <c r="A136" t="str">
        <f t="shared" si="2"/>
        <v>feynman_I_34_14_23654</v>
      </c>
      <c r="B136" t="s">
        <v>51</v>
      </c>
      <c r="C136" t="s">
        <v>189</v>
      </c>
      <c r="D136">
        <v>7200</v>
      </c>
      <c r="E136" t="s">
        <v>190</v>
      </c>
      <c r="F136">
        <v>1000000</v>
      </c>
      <c r="G136" t="s">
        <v>191</v>
      </c>
      <c r="H136">
        <v>23654</v>
      </c>
      <c r="I136" t="s">
        <v>192</v>
      </c>
      <c r="J136">
        <v>1E-3</v>
      </c>
      <c r="K136" t="s">
        <v>3</v>
      </c>
      <c r="L136">
        <v>0.99999360000000004</v>
      </c>
      <c r="M136" t="s">
        <v>2</v>
      </c>
      <c r="N136">
        <v>4.1038999999999997E-3</v>
      </c>
      <c r="O136" t="s">
        <v>17</v>
      </c>
      <c r="P136">
        <v>18</v>
      </c>
      <c r="Q136" t="s">
        <v>0</v>
      </c>
      <c r="R136">
        <v>6938.4</v>
      </c>
      <c r="S136" t="s">
        <v>152</v>
      </c>
      <c r="T136">
        <v>6</v>
      </c>
      <c r="U136" t="s">
        <v>153</v>
      </c>
      <c r="V136">
        <v>1124</v>
      </c>
      <c r="W136" t="s">
        <v>151</v>
      </c>
      <c r="X136">
        <v>1000303</v>
      </c>
      <c r="Y136" t="s">
        <v>1</v>
      </c>
      <c r="Z136" t="s">
        <v>1054</v>
      </c>
      <c r="AA136" t="s">
        <v>838</v>
      </c>
      <c r="AB136" t="s">
        <v>1055</v>
      </c>
      <c r="AC136" t="s">
        <v>572</v>
      </c>
      <c r="AD136" t="s">
        <v>614</v>
      </c>
      <c r="AE136" t="s">
        <v>572</v>
      </c>
      <c r="AF136" t="s">
        <v>786</v>
      </c>
      <c r="AG136" t="s">
        <v>5</v>
      </c>
      <c r="AH136">
        <v>0.99999309999999997</v>
      </c>
      <c r="AI136" t="s">
        <v>4</v>
      </c>
      <c r="AJ136">
        <v>4.2475999999999998E-3</v>
      </c>
    </row>
    <row r="137" spans="1:42" x14ac:dyDescent="0.25">
      <c r="A137" t="str">
        <f t="shared" si="2"/>
        <v>feynman_II_24_17_23654</v>
      </c>
      <c r="B137" t="s">
        <v>49</v>
      </c>
      <c r="C137" t="s">
        <v>189</v>
      </c>
      <c r="D137">
        <v>7200</v>
      </c>
      <c r="E137" t="s">
        <v>190</v>
      </c>
      <c r="F137">
        <v>1000000</v>
      </c>
      <c r="G137" t="s">
        <v>191</v>
      </c>
      <c r="H137">
        <v>23654</v>
      </c>
      <c r="I137" t="s">
        <v>192</v>
      </c>
      <c r="J137">
        <v>1E-3</v>
      </c>
      <c r="K137" t="s">
        <v>3</v>
      </c>
      <c r="L137">
        <v>0.99997119999999995</v>
      </c>
      <c r="M137" t="s">
        <v>2</v>
      </c>
      <c r="N137">
        <v>4.6220999999999996E-3</v>
      </c>
      <c r="O137" t="s">
        <v>17</v>
      </c>
      <c r="P137">
        <v>22</v>
      </c>
      <c r="Q137" t="s">
        <v>0</v>
      </c>
      <c r="R137">
        <v>6144</v>
      </c>
      <c r="S137" t="s">
        <v>152</v>
      </c>
      <c r="T137">
        <v>6</v>
      </c>
      <c r="U137" t="s">
        <v>153</v>
      </c>
      <c r="V137">
        <v>1487</v>
      </c>
      <c r="W137" t="s">
        <v>151</v>
      </c>
      <c r="X137">
        <v>1000545</v>
      </c>
      <c r="Y137" t="s">
        <v>1</v>
      </c>
      <c r="Z137" t="s">
        <v>1056</v>
      </c>
      <c r="AA137" t="s">
        <v>838</v>
      </c>
      <c r="AB137" t="s">
        <v>1057</v>
      </c>
      <c r="AC137" t="s">
        <v>572</v>
      </c>
      <c r="AD137" t="s">
        <v>787</v>
      </c>
      <c r="AE137" t="s">
        <v>572</v>
      </c>
      <c r="AF137">
        <v>6.5655726790999997E-3</v>
      </c>
      <c r="AG137" t="s">
        <v>5</v>
      </c>
      <c r="AH137">
        <v>0.9999709</v>
      </c>
      <c r="AI137" t="s">
        <v>4</v>
      </c>
      <c r="AJ137">
        <v>4.6495E-3</v>
      </c>
    </row>
    <row r="138" spans="1:42" x14ac:dyDescent="0.25">
      <c r="A138" t="str">
        <f t="shared" si="2"/>
        <v>feynman_I_34_27_15795</v>
      </c>
      <c r="B138" t="s">
        <v>34</v>
      </c>
      <c r="C138" t="s">
        <v>189</v>
      </c>
      <c r="D138">
        <v>7200</v>
      </c>
      <c r="E138" t="s">
        <v>190</v>
      </c>
      <c r="F138">
        <v>1000000</v>
      </c>
      <c r="G138" t="s">
        <v>191</v>
      </c>
      <c r="H138">
        <v>15795</v>
      </c>
      <c r="I138" t="s">
        <v>192</v>
      </c>
      <c r="J138">
        <v>1E-3</v>
      </c>
      <c r="K138" t="s">
        <v>3</v>
      </c>
      <c r="L138">
        <v>1</v>
      </c>
      <c r="M138" t="s">
        <v>2</v>
      </c>
      <c r="N138">
        <v>0</v>
      </c>
      <c r="O138" t="s">
        <v>17</v>
      </c>
      <c r="P138">
        <v>6</v>
      </c>
      <c r="Q138" t="s">
        <v>0</v>
      </c>
      <c r="R138">
        <v>1.7</v>
      </c>
      <c r="S138" t="s">
        <v>152</v>
      </c>
      <c r="T138">
        <v>1</v>
      </c>
      <c r="U138" t="s">
        <v>153</v>
      </c>
      <c r="V138">
        <v>2</v>
      </c>
      <c r="W138" t="s">
        <v>151</v>
      </c>
      <c r="X138">
        <v>350</v>
      </c>
      <c r="Y138" t="s">
        <v>1</v>
      </c>
      <c r="Z138" t="s">
        <v>843</v>
      </c>
      <c r="AA138" t="s">
        <v>838</v>
      </c>
      <c r="AB138" t="s">
        <v>844</v>
      </c>
      <c r="AC138" t="s">
        <v>5</v>
      </c>
      <c r="AD138">
        <v>1</v>
      </c>
      <c r="AE138" t="s">
        <v>4</v>
      </c>
      <c r="AF138">
        <v>0</v>
      </c>
    </row>
    <row r="139" spans="1:42" x14ac:dyDescent="0.25">
      <c r="A139" t="str">
        <f t="shared" si="2"/>
        <v>feynman_II_27_18_15795</v>
      </c>
      <c r="B139" t="s">
        <v>43</v>
      </c>
      <c r="C139" t="s">
        <v>189</v>
      </c>
      <c r="D139">
        <v>7200</v>
      </c>
      <c r="E139" t="s">
        <v>190</v>
      </c>
      <c r="F139">
        <v>1000000</v>
      </c>
      <c r="G139" t="s">
        <v>191</v>
      </c>
      <c r="H139">
        <v>15795</v>
      </c>
      <c r="I139" t="s">
        <v>192</v>
      </c>
      <c r="J139">
        <v>1E-3</v>
      </c>
      <c r="K139" t="s">
        <v>3</v>
      </c>
      <c r="L139">
        <v>1</v>
      </c>
      <c r="M139" t="s">
        <v>2</v>
      </c>
      <c r="N139">
        <v>0</v>
      </c>
      <c r="O139" t="s">
        <v>17</v>
      </c>
      <c r="P139">
        <v>8</v>
      </c>
      <c r="Q139" t="s">
        <v>0</v>
      </c>
      <c r="R139">
        <v>3.2</v>
      </c>
      <c r="S139" t="s">
        <v>152</v>
      </c>
      <c r="T139">
        <v>1</v>
      </c>
      <c r="U139" t="s">
        <v>153</v>
      </c>
      <c r="V139">
        <v>3</v>
      </c>
      <c r="W139" t="s">
        <v>151</v>
      </c>
      <c r="X139">
        <v>718</v>
      </c>
      <c r="Y139" t="s">
        <v>1</v>
      </c>
      <c r="Z139" t="s">
        <v>853</v>
      </c>
      <c r="AA139" t="s">
        <v>838</v>
      </c>
      <c r="AB139" t="s">
        <v>854</v>
      </c>
      <c r="AC139" t="s">
        <v>5</v>
      </c>
      <c r="AD139">
        <v>1</v>
      </c>
      <c r="AE139" t="s">
        <v>4</v>
      </c>
      <c r="AF139">
        <v>0</v>
      </c>
    </row>
    <row r="140" spans="1:42" x14ac:dyDescent="0.25">
      <c r="A140" t="str">
        <f t="shared" si="2"/>
        <v>feynman_II_37_1_15795</v>
      </c>
      <c r="B140" t="s">
        <v>75</v>
      </c>
      <c r="C140" t="s">
        <v>189</v>
      </c>
      <c r="D140">
        <v>7200</v>
      </c>
      <c r="E140" t="s">
        <v>190</v>
      </c>
      <c r="F140">
        <v>1000000</v>
      </c>
      <c r="G140" t="s">
        <v>191</v>
      </c>
      <c r="H140">
        <v>15795</v>
      </c>
      <c r="I140" t="s">
        <v>192</v>
      </c>
      <c r="J140">
        <v>1E-3</v>
      </c>
      <c r="K140" t="s">
        <v>3</v>
      </c>
      <c r="L140">
        <v>1</v>
      </c>
      <c r="M140" t="s">
        <v>2</v>
      </c>
      <c r="N140">
        <v>0</v>
      </c>
      <c r="O140" t="s">
        <v>17</v>
      </c>
      <c r="P140">
        <v>14</v>
      </c>
      <c r="Q140" t="s">
        <v>0</v>
      </c>
      <c r="R140">
        <v>6.8</v>
      </c>
      <c r="S140" t="s">
        <v>152</v>
      </c>
      <c r="T140">
        <v>1</v>
      </c>
      <c r="U140" t="s">
        <v>153</v>
      </c>
      <c r="V140">
        <v>4</v>
      </c>
      <c r="W140" t="s">
        <v>151</v>
      </c>
      <c r="X140">
        <v>1428</v>
      </c>
      <c r="Y140" t="s">
        <v>1</v>
      </c>
      <c r="Z140" t="s">
        <v>873</v>
      </c>
      <c r="AA140" t="s">
        <v>838</v>
      </c>
      <c r="AB140" t="s">
        <v>874</v>
      </c>
      <c r="AC140" t="s">
        <v>572</v>
      </c>
      <c r="AD140" t="s">
        <v>573</v>
      </c>
      <c r="AE140" t="s">
        <v>5</v>
      </c>
      <c r="AF140">
        <v>1</v>
      </c>
      <c r="AG140" t="s">
        <v>4</v>
      </c>
      <c r="AH140">
        <v>0</v>
      </c>
    </row>
    <row r="141" spans="1:42" x14ac:dyDescent="0.25">
      <c r="A141" t="str">
        <f t="shared" si="2"/>
        <v>feynman_II_10_9_15795</v>
      </c>
      <c r="B141" t="s">
        <v>68</v>
      </c>
      <c r="C141" t="s">
        <v>189</v>
      </c>
      <c r="D141">
        <v>7200</v>
      </c>
      <c r="E141" t="s">
        <v>190</v>
      </c>
      <c r="F141">
        <v>1000000</v>
      </c>
      <c r="G141" t="s">
        <v>191</v>
      </c>
      <c r="H141">
        <v>15795</v>
      </c>
      <c r="I141" t="s">
        <v>192</v>
      </c>
      <c r="J141">
        <v>1E-3</v>
      </c>
      <c r="K141" t="s">
        <v>3</v>
      </c>
      <c r="L141">
        <v>1</v>
      </c>
      <c r="M141" t="s">
        <v>2</v>
      </c>
      <c r="N141">
        <v>0</v>
      </c>
      <c r="O141" t="s">
        <v>17</v>
      </c>
      <c r="P141">
        <v>16</v>
      </c>
      <c r="Q141" t="s">
        <v>0</v>
      </c>
      <c r="R141">
        <v>10.199999999999999</v>
      </c>
      <c r="S141" t="s">
        <v>152</v>
      </c>
      <c r="T141">
        <v>1</v>
      </c>
      <c r="U141" t="s">
        <v>153</v>
      </c>
      <c r="V141">
        <v>4</v>
      </c>
      <c r="W141" t="s">
        <v>151</v>
      </c>
      <c r="X141">
        <v>1986</v>
      </c>
      <c r="Y141" t="s">
        <v>1</v>
      </c>
      <c r="Z141" t="s">
        <v>891</v>
      </c>
      <c r="AA141" t="s">
        <v>838</v>
      </c>
      <c r="AB141" t="s">
        <v>892</v>
      </c>
      <c r="AC141" t="s">
        <v>569</v>
      </c>
      <c r="AD141" t="s">
        <v>575</v>
      </c>
      <c r="AE141" t="s">
        <v>5</v>
      </c>
      <c r="AF141">
        <v>1</v>
      </c>
      <c r="AG141" t="s">
        <v>4</v>
      </c>
      <c r="AH141">
        <v>0</v>
      </c>
    </row>
    <row r="142" spans="1:42" x14ac:dyDescent="0.25">
      <c r="A142" t="str">
        <f t="shared" si="2"/>
        <v>feynman_I_38_12_15795</v>
      </c>
      <c r="B142" t="s">
        <v>104</v>
      </c>
      <c r="C142" t="s">
        <v>189</v>
      </c>
      <c r="D142">
        <v>7200</v>
      </c>
      <c r="E142" t="s">
        <v>190</v>
      </c>
      <c r="F142">
        <v>1000000</v>
      </c>
      <c r="G142" t="s">
        <v>191</v>
      </c>
      <c r="H142">
        <v>15795</v>
      </c>
      <c r="I142" t="s">
        <v>192</v>
      </c>
      <c r="J142">
        <v>1E-3</v>
      </c>
      <c r="K142" t="s">
        <v>3</v>
      </c>
      <c r="L142">
        <v>1</v>
      </c>
      <c r="M142" t="s">
        <v>2</v>
      </c>
      <c r="N142">
        <v>0</v>
      </c>
      <c r="O142" t="s">
        <v>17</v>
      </c>
      <c r="P142">
        <v>16</v>
      </c>
      <c r="Q142" t="s">
        <v>0</v>
      </c>
      <c r="R142">
        <v>29</v>
      </c>
      <c r="S142" t="s">
        <v>152</v>
      </c>
      <c r="T142">
        <v>1</v>
      </c>
      <c r="U142" t="s">
        <v>153</v>
      </c>
      <c r="V142">
        <v>6</v>
      </c>
      <c r="W142" t="s">
        <v>151</v>
      </c>
      <c r="X142">
        <v>5073</v>
      </c>
      <c r="Y142" t="s">
        <v>1</v>
      </c>
      <c r="Z142" t="s">
        <v>908</v>
      </c>
      <c r="AA142" t="s">
        <v>838</v>
      </c>
      <c r="AB142" t="s">
        <v>909</v>
      </c>
      <c r="AC142" t="s">
        <v>5</v>
      </c>
      <c r="AD142">
        <v>1</v>
      </c>
      <c r="AE142" t="s">
        <v>4</v>
      </c>
      <c r="AF142">
        <v>0</v>
      </c>
    </row>
    <row r="143" spans="1:42" x14ac:dyDescent="0.25">
      <c r="A143" t="str">
        <f t="shared" si="2"/>
        <v>feynman_II_15_4_15795</v>
      </c>
      <c r="B143" t="s">
        <v>70</v>
      </c>
      <c r="C143" t="s">
        <v>189</v>
      </c>
      <c r="D143">
        <v>7200</v>
      </c>
      <c r="E143" t="s">
        <v>190</v>
      </c>
      <c r="F143">
        <v>1000000</v>
      </c>
      <c r="G143" t="s">
        <v>191</v>
      </c>
      <c r="H143">
        <v>15795</v>
      </c>
      <c r="I143" t="s">
        <v>192</v>
      </c>
      <c r="J143">
        <v>1E-3</v>
      </c>
      <c r="K143" t="s">
        <v>3</v>
      </c>
      <c r="L143">
        <v>1</v>
      </c>
      <c r="M143" t="s">
        <v>2</v>
      </c>
      <c r="N143">
        <v>0</v>
      </c>
      <c r="O143" t="s">
        <v>17</v>
      </c>
      <c r="P143">
        <v>9</v>
      </c>
      <c r="Q143" t="s">
        <v>0</v>
      </c>
      <c r="R143">
        <v>100.8</v>
      </c>
      <c r="S143" t="s">
        <v>152</v>
      </c>
      <c r="T143">
        <v>1</v>
      </c>
      <c r="U143" t="s">
        <v>153</v>
      </c>
      <c r="V143">
        <v>15</v>
      </c>
      <c r="W143" t="s">
        <v>151</v>
      </c>
      <c r="X143">
        <v>13473</v>
      </c>
      <c r="Y143" t="s">
        <v>1</v>
      </c>
      <c r="Z143" t="s">
        <v>907</v>
      </c>
      <c r="AA143" t="s">
        <v>838</v>
      </c>
      <c r="AB143" t="e" cm="1">
        <f t="array" ref="AB143">-1*x0*X1*COS(X2)</f>
        <v>#NAME?</v>
      </c>
      <c r="AC143" t="s">
        <v>5</v>
      </c>
      <c r="AD143">
        <v>1</v>
      </c>
      <c r="AE143" t="s">
        <v>4</v>
      </c>
      <c r="AF143">
        <v>0</v>
      </c>
    </row>
    <row r="144" spans="1:42" x14ac:dyDescent="0.25">
      <c r="A144" t="str">
        <f t="shared" si="2"/>
        <v>feynman_II_36_38_15795</v>
      </c>
      <c r="B144" t="s">
        <v>149</v>
      </c>
      <c r="C144" t="s">
        <v>189</v>
      </c>
      <c r="D144">
        <v>7200</v>
      </c>
      <c r="E144" t="s">
        <v>190</v>
      </c>
      <c r="F144">
        <v>1000000</v>
      </c>
      <c r="G144" t="s">
        <v>191</v>
      </c>
      <c r="H144">
        <v>15795</v>
      </c>
      <c r="I144" t="s">
        <v>192</v>
      </c>
      <c r="J144">
        <v>1E-3</v>
      </c>
      <c r="K144" t="s">
        <v>3</v>
      </c>
      <c r="L144">
        <v>1</v>
      </c>
      <c r="M144" t="s">
        <v>2</v>
      </c>
      <c r="N144">
        <v>0</v>
      </c>
      <c r="O144" t="s">
        <v>17</v>
      </c>
      <c r="P144">
        <v>38</v>
      </c>
      <c r="Q144" t="s">
        <v>0</v>
      </c>
      <c r="R144">
        <v>169.4</v>
      </c>
      <c r="S144" t="s">
        <v>152</v>
      </c>
      <c r="T144">
        <v>1</v>
      </c>
      <c r="U144" t="s">
        <v>153</v>
      </c>
      <c r="V144">
        <v>10</v>
      </c>
      <c r="W144" t="s">
        <v>151</v>
      </c>
      <c r="X144">
        <v>22196</v>
      </c>
      <c r="Y144" t="s">
        <v>1</v>
      </c>
      <c r="Z144" t="s">
        <v>936</v>
      </c>
      <c r="AA144" t="s">
        <v>838</v>
      </c>
      <c r="AB144" t="s">
        <v>937</v>
      </c>
      <c r="AC144" t="s">
        <v>572</v>
      </c>
      <c r="AD144" t="s">
        <v>595</v>
      </c>
      <c r="AE144" t="s">
        <v>5</v>
      </c>
      <c r="AF144">
        <v>1</v>
      </c>
      <c r="AG144" t="s">
        <v>4</v>
      </c>
      <c r="AH144">
        <v>0</v>
      </c>
    </row>
    <row r="145" spans="1:86" x14ac:dyDescent="0.25">
      <c r="A145" t="str">
        <f t="shared" si="2"/>
        <v>feynman_I_50_26_15795</v>
      </c>
      <c r="B145" t="s">
        <v>105</v>
      </c>
      <c r="C145" t="s">
        <v>189</v>
      </c>
      <c r="D145">
        <v>7200</v>
      </c>
      <c r="E145" t="s">
        <v>190</v>
      </c>
      <c r="F145">
        <v>1000000</v>
      </c>
      <c r="G145" t="s">
        <v>191</v>
      </c>
      <c r="H145">
        <v>15795</v>
      </c>
      <c r="I145" t="s">
        <v>192</v>
      </c>
      <c r="J145">
        <v>1E-3</v>
      </c>
      <c r="K145" t="s">
        <v>3</v>
      </c>
      <c r="L145">
        <v>1</v>
      </c>
      <c r="M145" t="s">
        <v>2</v>
      </c>
      <c r="N145">
        <v>0</v>
      </c>
      <c r="O145" t="s">
        <v>17</v>
      </c>
      <c r="P145">
        <v>28</v>
      </c>
      <c r="Q145" t="s">
        <v>0</v>
      </c>
      <c r="R145">
        <v>173.2</v>
      </c>
      <c r="S145" t="s">
        <v>152</v>
      </c>
      <c r="T145">
        <v>1</v>
      </c>
      <c r="U145" t="s">
        <v>153</v>
      </c>
      <c r="V145">
        <v>15</v>
      </c>
      <c r="W145" t="s">
        <v>151</v>
      </c>
      <c r="X145">
        <v>21835</v>
      </c>
      <c r="Y145" t="s">
        <v>1</v>
      </c>
      <c r="Z145" t="s">
        <v>1058</v>
      </c>
      <c r="AA145" t="s">
        <v>838</v>
      </c>
      <c r="AB145" t="s">
        <v>1059</v>
      </c>
      <c r="AC145" t="s">
        <v>572</v>
      </c>
      <c r="AD145" t="s">
        <v>788</v>
      </c>
      <c r="AE145" t="s">
        <v>572</v>
      </c>
      <c r="AF145" t="s">
        <v>789</v>
      </c>
      <c r="AG145" t="s">
        <v>5</v>
      </c>
      <c r="AH145">
        <v>1</v>
      </c>
      <c r="AI145" t="s">
        <v>4</v>
      </c>
      <c r="AJ145">
        <v>0</v>
      </c>
    </row>
    <row r="146" spans="1:86" x14ac:dyDescent="0.25">
      <c r="A146" t="str">
        <f t="shared" si="2"/>
        <v>feynman_test_2_23654</v>
      </c>
      <c r="B146" t="s">
        <v>143</v>
      </c>
      <c r="C146" t="s">
        <v>189</v>
      </c>
      <c r="D146">
        <v>7200</v>
      </c>
      <c r="E146" t="s">
        <v>190</v>
      </c>
      <c r="F146">
        <v>1000000</v>
      </c>
      <c r="G146" t="s">
        <v>191</v>
      </c>
      <c r="H146">
        <v>23654</v>
      </c>
      <c r="I146" t="s">
        <v>192</v>
      </c>
      <c r="J146">
        <v>1E-3</v>
      </c>
      <c r="K146" t="s">
        <v>3</v>
      </c>
      <c r="L146">
        <v>0.28083079999999999</v>
      </c>
      <c r="M146" t="s">
        <v>2</v>
      </c>
      <c r="N146">
        <v>1.7167406999999999</v>
      </c>
      <c r="O146" t="s">
        <v>17</v>
      </c>
      <c r="P146">
        <v>20</v>
      </c>
      <c r="Q146" t="s">
        <v>0</v>
      </c>
      <c r="R146">
        <v>5289.3</v>
      </c>
      <c r="S146" t="s">
        <v>152</v>
      </c>
      <c r="T146">
        <v>10</v>
      </c>
      <c r="U146" t="s">
        <v>153</v>
      </c>
      <c r="V146">
        <v>1071</v>
      </c>
      <c r="W146" t="s">
        <v>151</v>
      </c>
      <c r="X146">
        <v>1000460</v>
      </c>
      <c r="Y146" t="s">
        <v>1</v>
      </c>
      <c r="Z146" t="s">
        <v>1060</v>
      </c>
      <c r="AA146" t="s">
        <v>838</v>
      </c>
      <c r="AB146" t="s">
        <v>1061</v>
      </c>
      <c r="AC146" t="s">
        <v>5</v>
      </c>
      <c r="AD146">
        <v>0.27565070000000003</v>
      </c>
      <c r="AE146" t="s">
        <v>4</v>
      </c>
      <c r="AF146">
        <v>1.7154084999999999</v>
      </c>
    </row>
    <row r="147" spans="1:86" x14ac:dyDescent="0.25">
      <c r="A147" t="str">
        <f t="shared" si="2"/>
        <v>feynman_II_2_42_23654</v>
      </c>
      <c r="B147" t="s">
        <v>127</v>
      </c>
      <c r="C147" t="s">
        <v>189</v>
      </c>
      <c r="D147">
        <v>7200</v>
      </c>
      <c r="E147" t="s">
        <v>190</v>
      </c>
      <c r="F147">
        <v>1000000</v>
      </c>
      <c r="G147" t="s">
        <v>191</v>
      </c>
      <c r="H147">
        <v>23654</v>
      </c>
      <c r="I147" t="s">
        <v>192</v>
      </c>
      <c r="J147">
        <v>1E-3</v>
      </c>
      <c r="K147" t="s">
        <v>3</v>
      </c>
      <c r="L147">
        <v>0.98645930000000004</v>
      </c>
      <c r="M147" t="s">
        <v>2</v>
      </c>
      <c r="N147">
        <v>0.87452770000000002</v>
      </c>
      <c r="O147" t="s">
        <v>17</v>
      </c>
      <c r="P147">
        <v>231</v>
      </c>
      <c r="Q147" t="s">
        <v>0</v>
      </c>
      <c r="R147">
        <v>7201.3</v>
      </c>
      <c r="S147" t="s">
        <v>152</v>
      </c>
      <c r="T147">
        <v>5</v>
      </c>
      <c r="U147" t="s">
        <v>153</v>
      </c>
      <c r="V147">
        <v>86</v>
      </c>
      <c r="W147" t="s">
        <v>151</v>
      </c>
      <c r="X147">
        <v>554684</v>
      </c>
      <c r="Y147" t="s">
        <v>1</v>
      </c>
      <c r="Z147" t="e" cm="1">
        <f t="array" aca="1" ref="Z147" ca="1">-2.4883196968813+((2.7067275810329*pow((((X1+(X1*pow((-0.5+x0),-1)))+(X4*pow(x0,-1)))+SIN((((((1*pow(x0,-1))*pow(X4,-1))+((-1*X1)*pow(X4,-1)))+((X4*pow(x0,-1))*pow(X1,-1)))+(((-1*pow(x0,-1))*pow(X2,-1))*pow(X4,-1))))),-1))*pow((((X4+(X1*pow(x0,-1)))+(X2*X3))+((-1*X3)*SIN(((1+(X2*SIN(pow(X4,-1))))+((X4*pow(x0,-1))*pow(X2,-1)))))),1))+((((-1.9749062240469*X1)*pow(X2,-1))*pow((((X2+(X1*X3))+((-1*X1)*pow(x0,-1)))+(((pow(x0,1)*pow(X2,1))*pow(X4,-1))*SIN((((1+((0.5*X1)*pow(X4,-1)))+((-1*X2)*pow(X4,-1)))+((X4*pow(x0,-1))*pow(X2,-1)))))),1))*pow(((((((X1*pow(x0,-1))+(X1*pow(X3,-1)))+((3.1415926535898*X4)*pow(x0,-1)))+((X1*pow(x0,-1))*pow(X2,-1)))+((X4*pow(x0,-1))*pow(X2,-1)))+SIN(((pow(x0,-1)+(X1*pow(X4,-1)))+((X4*pow(x0,-1))*pow(X1,-1))))),-1))</f>
        <v>#NAME?</v>
      </c>
      <c r="AA147" t="s">
        <v>838</v>
      </c>
      <c r="AB147" t="s">
        <v>1062</v>
      </c>
      <c r="AC147" t="s">
        <v>572</v>
      </c>
      <c r="AD147" t="s">
        <v>790</v>
      </c>
      <c r="AE147" t="s">
        <v>572</v>
      </c>
      <c r="AF147" t="s">
        <v>791</v>
      </c>
      <c r="AG147" t="s">
        <v>569</v>
      </c>
      <c r="AH147" t="s">
        <v>792</v>
      </c>
      <c r="AI147" t="s">
        <v>572</v>
      </c>
      <c r="AJ147" t="s">
        <v>793</v>
      </c>
      <c r="AK147" t="s">
        <v>572</v>
      </c>
      <c r="AL147" t="s">
        <v>794</v>
      </c>
      <c r="AM147" t="s">
        <v>572</v>
      </c>
      <c r="AN147" t="s">
        <v>795</v>
      </c>
      <c r="AO147" t="s">
        <v>572</v>
      </c>
      <c r="AP147" t="s">
        <v>796</v>
      </c>
      <c r="AQ147" t="s">
        <v>572</v>
      </c>
      <c r="AR147" t="s">
        <v>797</v>
      </c>
      <c r="AS147" t="s">
        <v>572</v>
      </c>
      <c r="AT147" t="s">
        <v>798</v>
      </c>
      <c r="AU147" t="s">
        <v>572</v>
      </c>
      <c r="AV147" t="s">
        <v>799</v>
      </c>
      <c r="AW147" t="s">
        <v>572</v>
      </c>
      <c r="AX147" t="s">
        <v>800</v>
      </c>
      <c r="AY147" t="s">
        <v>572</v>
      </c>
      <c r="AZ147" t="s">
        <v>801</v>
      </c>
      <c r="BA147" t="s">
        <v>572</v>
      </c>
      <c r="BB147" t="s">
        <v>802</v>
      </c>
      <c r="BC147" t="s">
        <v>572</v>
      </c>
      <c r="BD147" t="s">
        <v>803</v>
      </c>
      <c r="BE147" t="s">
        <v>572</v>
      </c>
      <c r="BF147" t="s">
        <v>804</v>
      </c>
      <c r="BG147" t="s">
        <v>569</v>
      </c>
      <c r="BH147" t="s">
        <v>805</v>
      </c>
      <c r="BI147" t="s">
        <v>572</v>
      </c>
      <c r="BJ147" t="s">
        <v>806</v>
      </c>
      <c r="BK147" t="s">
        <v>572</v>
      </c>
      <c r="BL147" t="s">
        <v>692</v>
      </c>
      <c r="BM147" t="s">
        <v>572</v>
      </c>
      <c r="BN147" t="s">
        <v>807</v>
      </c>
      <c r="BO147" t="s">
        <v>572</v>
      </c>
      <c r="BP147" t="s">
        <v>808</v>
      </c>
      <c r="BQ147" t="s">
        <v>569</v>
      </c>
      <c r="BR147" t="s">
        <v>620</v>
      </c>
      <c r="BS147" t="s">
        <v>572</v>
      </c>
      <c r="BT147" t="s">
        <v>762</v>
      </c>
      <c r="BU147" t="s">
        <v>572</v>
      </c>
      <c r="BV147" t="s">
        <v>800</v>
      </c>
      <c r="BW147" t="s">
        <v>569</v>
      </c>
      <c r="BX147" t="s">
        <v>809</v>
      </c>
      <c r="BY147" t="s">
        <v>572</v>
      </c>
      <c r="BZ147" t="s">
        <v>810</v>
      </c>
      <c r="CA147" t="s">
        <v>569</v>
      </c>
      <c r="CB147" t="s">
        <v>811</v>
      </c>
      <c r="CC147" t="s">
        <v>569</v>
      </c>
      <c r="CD147">
        <v>2.4883196968812999</v>
      </c>
      <c r="CE147" t="s">
        <v>5</v>
      </c>
      <c r="CF147">
        <v>0.98628910000000003</v>
      </c>
      <c r="CG147" t="s">
        <v>4</v>
      </c>
      <c r="CH147">
        <v>0.87643899999999997</v>
      </c>
    </row>
    <row r="148" spans="1:86" x14ac:dyDescent="0.25">
      <c r="A148" t="str">
        <f t="shared" si="2"/>
        <v>feynman_I_39_1_15795</v>
      </c>
      <c r="B148" t="s">
        <v>39</v>
      </c>
      <c r="C148" t="s">
        <v>189</v>
      </c>
      <c r="D148">
        <v>7200</v>
      </c>
      <c r="E148" t="s">
        <v>190</v>
      </c>
      <c r="F148">
        <v>1000000</v>
      </c>
      <c r="G148" t="s">
        <v>191</v>
      </c>
      <c r="H148">
        <v>15795</v>
      </c>
      <c r="I148" t="s">
        <v>192</v>
      </c>
      <c r="J148">
        <v>1E-3</v>
      </c>
      <c r="K148" t="s">
        <v>3</v>
      </c>
      <c r="L148">
        <v>1</v>
      </c>
      <c r="M148" t="s">
        <v>2</v>
      </c>
      <c r="N148">
        <v>0</v>
      </c>
      <c r="O148" t="s">
        <v>17</v>
      </c>
      <c r="P148">
        <v>6</v>
      </c>
      <c r="Q148" t="s">
        <v>0</v>
      </c>
      <c r="R148">
        <v>1.5</v>
      </c>
      <c r="S148" t="s">
        <v>152</v>
      </c>
      <c r="T148">
        <v>1</v>
      </c>
      <c r="U148" t="s">
        <v>153</v>
      </c>
      <c r="V148">
        <v>2</v>
      </c>
      <c r="W148" t="s">
        <v>151</v>
      </c>
      <c r="X148">
        <v>350</v>
      </c>
      <c r="Y148" t="s">
        <v>1</v>
      </c>
      <c r="Z148" t="s">
        <v>841</v>
      </c>
      <c r="AA148" t="s">
        <v>838</v>
      </c>
      <c r="AB148" t="s">
        <v>842</v>
      </c>
      <c r="AC148" t="s">
        <v>5</v>
      </c>
      <c r="AD148">
        <v>1</v>
      </c>
      <c r="AE148" t="s">
        <v>4</v>
      </c>
      <c r="AF148">
        <v>0</v>
      </c>
    </row>
    <row r="149" spans="1:86" x14ac:dyDescent="0.25">
      <c r="A149" t="str">
        <f t="shared" si="2"/>
        <v>feynman_II_34_2_15795</v>
      </c>
      <c r="B149" t="s">
        <v>63</v>
      </c>
      <c r="C149" t="s">
        <v>189</v>
      </c>
      <c r="D149">
        <v>7200</v>
      </c>
      <c r="E149" t="s">
        <v>190</v>
      </c>
      <c r="F149">
        <v>1000000</v>
      </c>
      <c r="G149" t="s">
        <v>191</v>
      </c>
      <c r="H149">
        <v>15795</v>
      </c>
      <c r="I149" t="s">
        <v>192</v>
      </c>
      <c r="J149">
        <v>1E-3</v>
      </c>
      <c r="K149" t="s">
        <v>3</v>
      </c>
      <c r="L149">
        <v>1</v>
      </c>
      <c r="M149" t="s">
        <v>2</v>
      </c>
      <c r="N149">
        <v>0</v>
      </c>
      <c r="O149" t="s">
        <v>17</v>
      </c>
      <c r="P149">
        <v>8</v>
      </c>
      <c r="Q149" t="s">
        <v>0</v>
      </c>
      <c r="R149">
        <v>3</v>
      </c>
      <c r="S149" t="s">
        <v>152</v>
      </c>
      <c r="T149">
        <v>1</v>
      </c>
      <c r="U149" t="s">
        <v>153</v>
      </c>
      <c r="V149">
        <v>3</v>
      </c>
      <c r="W149" t="s">
        <v>151</v>
      </c>
      <c r="X149">
        <v>738</v>
      </c>
      <c r="Y149" t="s">
        <v>1</v>
      </c>
      <c r="Z149" t="s">
        <v>855</v>
      </c>
      <c r="AA149" t="s">
        <v>838</v>
      </c>
      <c r="AB149" t="s">
        <v>856</v>
      </c>
      <c r="AC149" t="s">
        <v>5</v>
      </c>
      <c r="AD149">
        <v>1</v>
      </c>
      <c r="AE149" t="s">
        <v>4</v>
      </c>
      <c r="AF149">
        <v>0</v>
      </c>
    </row>
    <row r="150" spans="1:86" x14ac:dyDescent="0.25">
      <c r="A150" t="str">
        <f t="shared" si="2"/>
        <v>feynman_III_15_27_15795</v>
      </c>
      <c r="B150" t="s">
        <v>59</v>
      </c>
      <c r="C150" t="s">
        <v>189</v>
      </c>
      <c r="D150">
        <v>7200</v>
      </c>
      <c r="E150" t="s">
        <v>190</v>
      </c>
      <c r="F150">
        <v>1000000</v>
      </c>
      <c r="G150" t="s">
        <v>191</v>
      </c>
      <c r="H150">
        <v>15795</v>
      </c>
      <c r="I150" t="s">
        <v>192</v>
      </c>
      <c r="J150">
        <v>1E-3</v>
      </c>
      <c r="K150" t="s">
        <v>3</v>
      </c>
      <c r="L150">
        <v>1</v>
      </c>
      <c r="M150" t="s">
        <v>2</v>
      </c>
      <c r="N150">
        <v>0</v>
      </c>
      <c r="O150" t="s">
        <v>17</v>
      </c>
      <c r="P150">
        <v>12</v>
      </c>
      <c r="Q150" t="s">
        <v>0</v>
      </c>
      <c r="R150">
        <v>5.7</v>
      </c>
      <c r="S150" t="s">
        <v>152</v>
      </c>
      <c r="T150">
        <v>1</v>
      </c>
      <c r="U150" t="s">
        <v>153</v>
      </c>
      <c r="V150">
        <v>3</v>
      </c>
      <c r="W150" t="s">
        <v>151</v>
      </c>
      <c r="X150">
        <v>1134</v>
      </c>
      <c r="Y150" t="s">
        <v>1</v>
      </c>
      <c r="Z150" t="s">
        <v>871</v>
      </c>
      <c r="AA150" t="s">
        <v>838</v>
      </c>
      <c r="AB150" t="s">
        <v>872</v>
      </c>
      <c r="AC150" t="s">
        <v>5</v>
      </c>
      <c r="AD150">
        <v>1</v>
      </c>
      <c r="AE150" t="s">
        <v>4</v>
      </c>
      <c r="AF150">
        <v>0</v>
      </c>
    </row>
    <row r="151" spans="1:86" x14ac:dyDescent="0.25">
      <c r="A151" t="str">
        <f t="shared" si="2"/>
        <v>feynman_I_39_22_15795</v>
      </c>
      <c r="B151" t="s">
        <v>99</v>
      </c>
      <c r="C151" t="s">
        <v>189</v>
      </c>
      <c r="D151">
        <v>7200</v>
      </c>
      <c r="E151" t="s">
        <v>190</v>
      </c>
      <c r="F151">
        <v>1000000</v>
      </c>
      <c r="G151" t="s">
        <v>191</v>
      </c>
      <c r="H151">
        <v>15795</v>
      </c>
      <c r="I151" t="s">
        <v>192</v>
      </c>
      <c r="J151">
        <v>1E-3</v>
      </c>
      <c r="K151" t="s">
        <v>3</v>
      </c>
      <c r="L151">
        <v>1</v>
      </c>
      <c r="M151" t="s">
        <v>2</v>
      </c>
      <c r="N151">
        <v>0</v>
      </c>
      <c r="O151" t="s">
        <v>17</v>
      </c>
      <c r="P151">
        <v>12</v>
      </c>
      <c r="Q151" t="s">
        <v>0</v>
      </c>
      <c r="R151">
        <v>9.1</v>
      </c>
      <c r="S151" t="s">
        <v>152</v>
      </c>
      <c r="T151">
        <v>1</v>
      </c>
      <c r="U151" t="s">
        <v>153</v>
      </c>
      <c r="V151">
        <v>4</v>
      </c>
      <c r="W151" t="s">
        <v>151</v>
      </c>
      <c r="X151">
        <v>1776</v>
      </c>
      <c r="Y151" t="s">
        <v>1</v>
      </c>
      <c r="Z151" t="s">
        <v>877</v>
      </c>
      <c r="AA151" t="s">
        <v>838</v>
      </c>
      <c r="AB151" t="s">
        <v>878</v>
      </c>
      <c r="AC151" t="s">
        <v>5</v>
      </c>
      <c r="AD151">
        <v>1</v>
      </c>
      <c r="AE151" t="s">
        <v>4</v>
      </c>
      <c r="AF151">
        <v>0</v>
      </c>
    </row>
    <row r="152" spans="1:86" x14ac:dyDescent="0.25">
      <c r="A152" t="str">
        <f t="shared" si="2"/>
        <v>feynman_I_43_43_15795</v>
      </c>
      <c r="B152" t="s">
        <v>90</v>
      </c>
      <c r="C152" t="s">
        <v>189</v>
      </c>
      <c r="D152">
        <v>7200</v>
      </c>
      <c r="E152" t="s">
        <v>190</v>
      </c>
      <c r="F152">
        <v>1000000</v>
      </c>
      <c r="G152" t="s">
        <v>191</v>
      </c>
      <c r="H152">
        <v>15795</v>
      </c>
      <c r="I152" t="s">
        <v>192</v>
      </c>
      <c r="J152">
        <v>1E-3</v>
      </c>
      <c r="K152" t="s">
        <v>3</v>
      </c>
      <c r="L152">
        <v>1</v>
      </c>
      <c r="M152" t="s">
        <v>2</v>
      </c>
      <c r="N152">
        <v>0</v>
      </c>
      <c r="O152" t="s">
        <v>17</v>
      </c>
      <c r="P152">
        <v>18</v>
      </c>
      <c r="Q152" t="s">
        <v>0</v>
      </c>
      <c r="R152">
        <v>16.5</v>
      </c>
      <c r="S152" t="s">
        <v>152</v>
      </c>
      <c r="T152">
        <v>1</v>
      </c>
      <c r="U152" t="s">
        <v>153</v>
      </c>
      <c r="V152">
        <v>5</v>
      </c>
      <c r="W152" t="s">
        <v>151</v>
      </c>
      <c r="X152">
        <v>2999</v>
      </c>
      <c r="Y152" t="s">
        <v>1</v>
      </c>
      <c r="Z152" t="s">
        <v>938</v>
      </c>
      <c r="AA152" t="s">
        <v>838</v>
      </c>
      <c r="AB152" t="s">
        <v>939</v>
      </c>
      <c r="AC152" t="s">
        <v>569</v>
      </c>
      <c r="AD152" t="s">
        <v>596</v>
      </c>
      <c r="AE152" t="s">
        <v>5</v>
      </c>
      <c r="AF152">
        <v>1</v>
      </c>
      <c r="AG152" t="s">
        <v>4</v>
      </c>
      <c r="AH152">
        <v>0</v>
      </c>
    </row>
    <row r="153" spans="1:86" x14ac:dyDescent="0.25">
      <c r="A153" t="str">
        <f t="shared" si="2"/>
        <v>strogatz_shearflow2_15795</v>
      </c>
      <c r="B153" t="s">
        <v>20</v>
      </c>
      <c r="C153" t="s">
        <v>189</v>
      </c>
      <c r="D153">
        <v>7200</v>
      </c>
      <c r="E153" t="s">
        <v>190</v>
      </c>
      <c r="F153">
        <v>1000000</v>
      </c>
      <c r="G153" t="s">
        <v>191</v>
      </c>
      <c r="H153">
        <v>15795</v>
      </c>
      <c r="I153" t="s">
        <v>192</v>
      </c>
      <c r="J153">
        <v>1E-3</v>
      </c>
      <c r="K153" t="s">
        <v>3</v>
      </c>
      <c r="L153">
        <v>1</v>
      </c>
      <c r="M153" t="s">
        <v>2</v>
      </c>
      <c r="N153">
        <v>0</v>
      </c>
      <c r="O153" t="s">
        <v>17</v>
      </c>
      <c r="P153">
        <v>15</v>
      </c>
      <c r="Q153" t="s">
        <v>0</v>
      </c>
      <c r="R153">
        <v>1992.2</v>
      </c>
      <c r="S153" t="s">
        <v>152</v>
      </c>
      <c r="T153">
        <v>14</v>
      </c>
      <c r="U153" t="s">
        <v>153</v>
      </c>
      <c r="V153">
        <v>595</v>
      </c>
      <c r="W153" t="s">
        <v>151</v>
      </c>
      <c r="X153">
        <v>779403</v>
      </c>
      <c r="Y153" t="s">
        <v>1</v>
      </c>
      <c r="Z153" t="s">
        <v>1063</v>
      </c>
      <c r="AA153" t="s">
        <v>838</v>
      </c>
      <c r="AB153" t="s">
        <v>1064</v>
      </c>
      <c r="AC153" t="s">
        <v>569</v>
      </c>
      <c r="AD153" t="s">
        <v>812</v>
      </c>
      <c r="AE153" t="s">
        <v>5</v>
      </c>
      <c r="AF153">
        <v>1</v>
      </c>
      <c r="AG153" t="s">
        <v>4</v>
      </c>
      <c r="AH153">
        <v>0</v>
      </c>
    </row>
    <row r="154" spans="1:86" x14ac:dyDescent="0.25">
      <c r="A154" t="str">
        <f t="shared" si="2"/>
        <v>feynman_III_4_33_23654</v>
      </c>
      <c r="B154" t="s">
        <v>96</v>
      </c>
      <c r="C154" t="s">
        <v>189</v>
      </c>
      <c r="D154">
        <v>7200</v>
      </c>
      <c r="E154" t="s">
        <v>190</v>
      </c>
      <c r="F154">
        <v>1000000</v>
      </c>
      <c r="G154" t="s">
        <v>191</v>
      </c>
      <c r="H154">
        <v>23654</v>
      </c>
      <c r="I154" t="s">
        <v>192</v>
      </c>
      <c r="J154">
        <v>1E-3</v>
      </c>
      <c r="K154" t="s">
        <v>3</v>
      </c>
      <c r="L154">
        <v>0.99999990000000005</v>
      </c>
      <c r="M154" t="s">
        <v>2</v>
      </c>
      <c r="N154">
        <v>1.2581999999999999E-3</v>
      </c>
      <c r="O154" t="s">
        <v>17</v>
      </c>
      <c r="P154">
        <v>28</v>
      </c>
      <c r="Q154" t="s">
        <v>0</v>
      </c>
      <c r="R154">
        <v>6933</v>
      </c>
      <c r="S154" t="s">
        <v>152</v>
      </c>
      <c r="T154">
        <v>7</v>
      </c>
      <c r="U154" t="s">
        <v>153</v>
      </c>
      <c r="V154">
        <v>1205</v>
      </c>
      <c r="W154" t="s">
        <v>151</v>
      </c>
      <c r="X154">
        <v>1000400</v>
      </c>
      <c r="Y154" t="s">
        <v>1</v>
      </c>
      <c r="Z154" t="s">
        <v>1065</v>
      </c>
      <c r="AA154" t="s">
        <v>838</v>
      </c>
      <c r="AB154" t="e" cm="1">
        <f t="array" ref="AB154">-0.0794018828263*x0*X1</f>
        <v>#NAME?</v>
      </c>
      <c r="AC154" t="s">
        <v>572</v>
      </c>
      <c r="AD154" t="s">
        <v>813</v>
      </c>
      <c r="AE154" t="s">
        <v>572</v>
      </c>
      <c r="AF154" t="s">
        <v>814</v>
      </c>
      <c r="AG154" t="s">
        <v>5</v>
      </c>
      <c r="AH154">
        <v>0.99999990000000005</v>
      </c>
      <c r="AI154" t="s">
        <v>4</v>
      </c>
      <c r="AJ154">
        <v>1.5485E-3</v>
      </c>
    </row>
    <row r="155" spans="1:86" x14ac:dyDescent="0.25">
      <c r="A155" t="str">
        <f t="shared" si="2"/>
        <v>strogatz_glider1_15795</v>
      </c>
      <c r="B155" t="s">
        <v>25</v>
      </c>
      <c r="C155" t="s">
        <v>189</v>
      </c>
      <c r="D155">
        <v>7200</v>
      </c>
      <c r="E155" t="s">
        <v>190</v>
      </c>
      <c r="F155">
        <v>1000000</v>
      </c>
      <c r="G155" t="s">
        <v>191</v>
      </c>
      <c r="H155">
        <v>15795</v>
      </c>
      <c r="I155" t="s">
        <v>192</v>
      </c>
      <c r="J155">
        <v>1E-3</v>
      </c>
      <c r="K155" t="s">
        <v>3</v>
      </c>
      <c r="L155">
        <v>1</v>
      </c>
      <c r="M155" t="s">
        <v>2</v>
      </c>
      <c r="N155">
        <v>0</v>
      </c>
      <c r="O155" t="s">
        <v>17</v>
      </c>
      <c r="P155">
        <v>11</v>
      </c>
      <c r="Q155" t="s">
        <v>0</v>
      </c>
      <c r="R155">
        <v>1.9</v>
      </c>
      <c r="S155" t="s">
        <v>152</v>
      </c>
      <c r="T155">
        <v>1</v>
      </c>
      <c r="U155" t="s">
        <v>153</v>
      </c>
      <c r="V155">
        <v>5</v>
      </c>
      <c r="W155" t="s">
        <v>151</v>
      </c>
      <c r="X155">
        <v>1260</v>
      </c>
      <c r="Y155" t="s">
        <v>1</v>
      </c>
      <c r="Z155" t="s">
        <v>839</v>
      </c>
      <c r="AA155" t="s">
        <v>838</v>
      </c>
      <c r="AB155" t="s">
        <v>840</v>
      </c>
      <c r="AC155" t="s">
        <v>569</v>
      </c>
      <c r="AD155" t="s">
        <v>570</v>
      </c>
      <c r="AE155" t="s">
        <v>5</v>
      </c>
      <c r="AF155">
        <v>1</v>
      </c>
      <c r="AG155" t="s">
        <v>4</v>
      </c>
      <c r="AH155">
        <v>0</v>
      </c>
    </row>
    <row r="156" spans="1:86" x14ac:dyDescent="0.25">
      <c r="A156" t="str">
        <f t="shared" si="2"/>
        <v>feynman_I_14_3_15795</v>
      </c>
      <c r="B156" t="s">
        <v>73</v>
      </c>
      <c r="C156" t="s">
        <v>189</v>
      </c>
      <c r="D156">
        <v>7200</v>
      </c>
      <c r="E156" t="s">
        <v>190</v>
      </c>
      <c r="F156">
        <v>1000000</v>
      </c>
      <c r="G156" t="s">
        <v>191</v>
      </c>
      <c r="H156">
        <v>15795</v>
      </c>
      <c r="I156" t="s">
        <v>192</v>
      </c>
      <c r="J156">
        <v>1E-3</v>
      </c>
      <c r="K156" t="s">
        <v>3</v>
      </c>
      <c r="L156">
        <v>1</v>
      </c>
      <c r="M156" t="s">
        <v>2</v>
      </c>
      <c r="N156">
        <v>0</v>
      </c>
      <c r="O156" t="s">
        <v>17</v>
      </c>
      <c r="P156">
        <v>8</v>
      </c>
      <c r="Q156" t="s">
        <v>0</v>
      </c>
      <c r="R156">
        <v>3.5</v>
      </c>
      <c r="S156" t="s">
        <v>152</v>
      </c>
      <c r="T156">
        <v>1</v>
      </c>
      <c r="U156" t="s">
        <v>153</v>
      </c>
      <c r="V156">
        <v>3</v>
      </c>
      <c r="W156" t="s">
        <v>151</v>
      </c>
      <c r="X156">
        <v>758</v>
      </c>
      <c r="Y156" t="s">
        <v>1</v>
      </c>
      <c r="Z156" t="s">
        <v>851</v>
      </c>
      <c r="AA156" t="s">
        <v>838</v>
      </c>
      <c r="AB156" t="s">
        <v>852</v>
      </c>
      <c r="AC156" t="s">
        <v>5</v>
      </c>
      <c r="AD156">
        <v>1</v>
      </c>
      <c r="AE156" t="s">
        <v>4</v>
      </c>
      <c r="AF156">
        <v>0</v>
      </c>
    </row>
    <row r="157" spans="1:86" x14ac:dyDescent="0.25">
      <c r="A157" t="str">
        <f t="shared" si="2"/>
        <v>feynman_I_47_23_15795</v>
      </c>
      <c r="B157" t="s">
        <v>54</v>
      </c>
      <c r="C157" t="s">
        <v>189</v>
      </c>
      <c r="D157">
        <v>7200</v>
      </c>
      <c r="E157" t="s">
        <v>190</v>
      </c>
      <c r="F157">
        <v>1000000</v>
      </c>
      <c r="G157" t="s">
        <v>191</v>
      </c>
      <c r="H157">
        <v>15795</v>
      </c>
      <c r="I157" t="s">
        <v>192</v>
      </c>
      <c r="J157">
        <v>1E-3</v>
      </c>
      <c r="K157" t="s">
        <v>3</v>
      </c>
      <c r="L157">
        <v>1</v>
      </c>
      <c r="M157" t="s">
        <v>2</v>
      </c>
      <c r="N157">
        <v>0</v>
      </c>
      <c r="O157" t="s">
        <v>17</v>
      </c>
      <c r="P157">
        <v>12</v>
      </c>
      <c r="Q157" t="s">
        <v>0</v>
      </c>
      <c r="R157">
        <v>7.5</v>
      </c>
      <c r="S157" t="s">
        <v>152</v>
      </c>
      <c r="T157">
        <v>1</v>
      </c>
      <c r="U157" t="s">
        <v>153</v>
      </c>
      <c r="V157">
        <v>4</v>
      </c>
      <c r="W157" t="s">
        <v>151</v>
      </c>
      <c r="X157">
        <v>1490</v>
      </c>
      <c r="Y157" t="s">
        <v>1</v>
      </c>
      <c r="Z157" t="s">
        <v>875</v>
      </c>
      <c r="AA157" t="s">
        <v>838</v>
      </c>
      <c r="AB157" t="s">
        <v>876</v>
      </c>
      <c r="AC157" t="s">
        <v>5</v>
      </c>
      <c r="AD157">
        <v>1</v>
      </c>
      <c r="AE157" t="s">
        <v>4</v>
      </c>
      <c r="AF157">
        <v>0</v>
      </c>
    </row>
    <row r="158" spans="1:86" x14ac:dyDescent="0.25">
      <c r="A158" t="str">
        <f t="shared" si="2"/>
        <v>feynman_I_39_11_15795</v>
      </c>
      <c r="B158" t="s">
        <v>53</v>
      </c>
      <c r="C158" t="s">
        <v>189</v>
      </c>
      <c r="D158">
        <v>7200</v>
      </c>
      <c r="E158" t="s">
        <v>190</v>
      </c>
      <c r="F158">
        <v>1000000</v>
      </c>
      <c r="G158" t="s">
        <v>191</v>
      </c>
      <c r="H158">
        <v>15795</v>
      </c>
      <c r="I158" t="s">
        <v>192</v>
      </c>
      <c r="J158">
        <v>1E-3</v>
      </c>
      <c r="K158" t="s">
        <v>3</v>
      </c>
      <c r="L158">
        <v>1</v>
      </c>
      <c r="M158" t="s">
        <v>2</v>
      </c>
      <c r="N158">
        <v>0</v>
      </c>
      <c r="O158" t="s">
        <v>17</v>
      </c>
      <c r="P158">
        <v>14</v>
      </c>
      <c r="Q158" t="s">
        <v>0</v>
      </c>
      <c r="R158">
        <v>9</v>
      </c>
      <c r="S158" t="s">
        <v>152</v>
      </c>
      <c r="T158">
        <v>1</v>
      </c>
      <c r="U158" t="s">
        <v>153</v>
      </c>
      <c r="V158">
        <v>4</v>
      </c>
      <c r="W158" t="s">
        <v>151</v>
      </c>
      <c r="X158">
        <v>1713</v>
      </c>
      <c r="Y158" t="s">
        <v>1</v>
      </c>
      <c r="Z158" t="s">
        <v>889</v>
      </c>
      <c r="AA158" t="s">
        <v>838</v>
      </c>
      <c r="AB158" t="s">
        <v>890</v>
      </c>
      <c r="AC158" t="s">
        <v>569</v>
      </c>
      <c r="AD158" t="s">
        <v>574</v>
      </c>
      <c r="AE158" t="s">
        <v>5</v>
      </c>
      <c r="AF158">
        <v>1</v>
      </c>
      <c r="AG158" t="s">
        <v>4</v>
      </c>
      <c r="AH158">
        <v>0</v>
      </c>
    </row>
    <row r="159" spans="1:86" x14ac:dyDescent="0.25">
      <c r="A159" t="str">
        <f t="shared" si="2"/>
        <v>feynman_I_11_19_15795</v>
      </c>
      <c r="B159" t="s">
        <v>138</v>
      </c>
      <c r="C159" t="s">
        <v>189</v>
      </c>
      <c r="D159">
        <v>7200</v>
      </c>
      <c r="E159" t="s">
        <v>190</v>
      </c>
      <c r="F159">
        <v>1000000</v>
      </c>
      <c r="G159" t="s">
        <v>191</v>
      </c>
      <c r="H159">
        <v>15795</v>
      </c>
      <c r="I159" t="s">
        <v>192</v>
      </c>
      <c r="J159">
        <v>1E-3</v>
      </c>
      <c r="K159" t="s">
        <v>3</v>
      </c>
      <c r="L159">
        <v>1</v>
      </c>
      <c r="M159" t="s">
        <v>2</v>
      </c>
      <c r="N159">
        <v>0</v>
      </c>
      <c r="O159" t="s">
        <v>17</v>
      </c>
      <c r="P159">
        <v>20</v>
      </c>
      <c r="Q159" t="s">
        <v>0</v>
      </c>
      <c r="R159">
        <v>22.3</v>
      </c>
      <c r="S159" t="s">
        <v>152</v>
      </c>
      <c r="T159">
        <v>1</v>
      </c>
      <c r="U159" t="s">
        <v>153</v>
      </c>
      <c r="V159">
        <v>6</v>
      </c>
      <c r="W159" t="s">
        <v>151</v>
      </c>
      <c r="X159">
        <v>3849</v>
      </c>
      <c r="Y159" t="s">
        <v>1</v>
      </c>
      <c r="Z159" t="s">
        <v>1066</v>
      </c>
      <c r="AA159" t="s">
        <v>838</v>
      </c>
      <c r="AB159" t="s">
        <v>906</v>
      </c>
      <c r="AC159" t="s">
        <v>572</v>
      </c>
      <c r="AD159" t="s">
        <v>815</v>
      </c>
      <c r="AE159" t="s">
        <v>572</v>
      </c>
      <c r="AF159" t="s">
        <v>816</v>
      </c>
      <c r="AG159" t="s">
        <v>5</v>
      </c>
      <c r="AH159">
        <v>1</v>
      </c>
      <c r="AI159" t="s">
        <v>4</v>
      </c>
      <c r="AJ159">
        <v>0</v>
      </c>
    </row>
    <row r="160" spans="1:86" x14ac:dyDescent="0.25">
      <c r="A160" t="str">
        <f t="shared" si="2"/>
        <v>strogatz_lv2_15795</v>
      </c>
      <c r="B160" t="s">
        <v>27</v>
      </c>
      <c r="C160" t="s">
        <v>189</v>
      </c>
      <c r="D160">
        <v>7200</v>
      </c>
      <c r="E160" t="s">
        <v>190</v>
      </c>
      <c r="F160">
        <v>1000000</v>
      </c>
      <c r="G160" t="s">
        <v>191</v>
      </c>
      <c r="H160">
        <v>15795</v>
      </c>
      <c r="I160" t="s">
        <v>192</v>
      </c>
      <c r="J160">
        <v>1E-3</v>
      </c>
      <c r="K160" t="s">
        <v>3</v>
      </c>
      <c r="L160">
        <v>1</v>
      </c>
      <c r="M160" t="s">
        <v>2</v>
      </c>
      <c r="N160">
        <v>0</v>
      </c>
      <c r="O160" t="s">
        <v>17</v>
      </c>
      <c r="P160">
        <v>18</v>
      </c>
      <c r="Q160" t="s">
        <v>0</v>
      </c>
      <c r="R160">
        <v>3.1</v>
      </c>
      <c r="S160" t="s">
        <v>152</v>
      </c>
      <c r="T160">
        <v>1</v>
      </c>
      <c r="U160" t="s">
        <v>153</v>
      </c>
      <c r="V160">
        <v>5</v>
      </c>
      <c r="W160" t="s">
        <v>151</v>
      </c>
      <c r="X160">
        <v>1725</v>
      </c>
      <c r="Y160" t="s">
        <v>1</v>
      </c>
      <c r="Z160" t="s">
        <v>1067</v>
      </c>
      <c r="AA160" t="s">
        <v>838</v>
      </c>
      <c r="AB160" t="s">
        <v>1068</v>
      </c>
      <c r="AC160" t="s">
        <v>572</v>
      </c>
      <c r="AD160" t="s">
        <v>817</v>
      </c>
      <c r="AE160" t="s">
        <v>569</v>
      </c>
      <c r="AF160" t="s">
        <v>586</v>
      </c>
      <c r="AG160" t="s">
        <v>5</v>
      </c>
      <c r="AH160">
        <v>1</v>
      </c>
      <c r="AI160" t="s">
        <v>4</v>
      </c>
      <c r="AJ160">
        <v>0</v>
      </c>
    </row>
    <row r="161" spans="1:62" x14ac:dyDescent="0.25">
      <c r="A161" t="str">
        <f t="shared" si="2"/>
        <v>feynman_III_4_32_23654</v>
      </c>
      <c r="B161" t="s">
        <v>98</v>
      </c>
      <c r="C161" t="s">
        <v>189</v>
      </c>
      <c r="D161">
        <v>7200</v>
      </c>
      <c r="E161" t="s">
        <v>190</v>
      </c>
      <c r="F161">
        <v>1000000</v>
      </c>
      <c r="G161" t="s">
        <v>191</v>
      </c>
      <c r="H161">
        <v>23654</v>
      </c>
      <c r="I161" t="s">
        <v>192</v>
      </c>
      <c r="J161">
        <v>1E-3</v>
      </c>
      <c r="K161" t="s">
        <v>3</v>
      </c>
      <c r="L161">
        <v>0.99999700000000002</v>
      </c>
      <c r="M161" t="s">
        <v>2</v>
      </c>
      <c r="N161">
        <v>1.6053899999999999E-2</v>
      </c>
      <c r="O161" t="s">
        <v>17</v>
      </c>
      <c r="P161">
        <v>14</v>
      </c>
      <c r="Q161" t="s">
        <v>0</v>
      </c>
      <c r="R161">
        <v>7200.7</v>
      </c>
      <c r="S161" t="s">
        <v>152</v>
      </c>
      <c r="T161">
        <v>4</v>
      </c>
      <c r="U161" t="s">
        <v>153</v>
      </c>
      <c r="V161">
        <v>764</v>
      </c>
      <c r="W161" t="s">
        <v>151</v>
      </c>
      <c r="X161">
        <v>972292</v>
      </c>
      <c r="Y161" t="s">
        <v>1</v>
      </c>
      <c r="Z161" t="e" cm="1">
        <f t="array" aca="1" ref="Z161" ca="1">-0.4715506744078+(((6.276657967116*X2)*X3)*pow((x0*X1),-1))</f>
        <v>#NAME?</v>
      </c>
      <c r="AA161" t="s">
        <v>838</v>
      </c>
      <c r="AB161" t="s">
        <v>1069</v>
      </c>
      <c r="AC161" t="s">
        <v>569</v>
      </c>
      <c r="AD161">
        <v>0.47155067440780002</v>
      </c>
      <c r="AE161" t="s">
        <v>5</v>
      </c>
      <c r="AF161">
        <v>0.99999680000000002</v>
      </c>
      <c r="AG161" t="s">
        <v>4</v>
      </c>
      <c r="AH161">
        <v>1.6480600000000001E-2</v>
      </c>
    </row>
    <row r="162" spans="1:62" x14ac:dyDescent="0.25">
      <c r="A162" t="str">
        <f t="shared" si="2"/>
        <v>feynman_I_12_5_15795</v>
      </c>
      <c r="B162" t="s">
        <v>36</v>
      </c>
      <c r="C162" t="s">
        <v>189</v>
      </c>
      <c r="D162">
        <v>7200</v>
      </c>
      <c r="E162" t="s">
        <v>190</v>
      </c>
      <c r="F162">
        <v>1000000</v>
      </c>
      <c r="G162" t="s">
        <v>191</v>
      </c>
      <c r="H162">
        <v>15795</v>
      </c>
      <c r="I162" t="s">
        <v>192</v>
      </c>
      <c r="J162">
        <v>1E-3</v>
      </c>
      <c r="K162" t="s">
        <v>3</v>
      </c>
      <c r="L162">
        <v>1</v>
      </c>
      <c r="M162" t="s">
        <v>2</v>
      </c>
      <c r="N162">
        <v>0</v>
      </c>
      <c r="O162" t="s">
        <v>17</v>
      </c>
      <c r="P162">
        <v>6</v>
      </c>
      <c r="Q162" t="s">
        <v>0</v>
      </c>
      <c r="R162">
        <v>1.6</v>
      </c>
      <c r="S162" t="s">
        <v>152</v>
      </c>
      <c r="T162">
        <v>1</v>
      </c>
      <c r="U162" t="s">
        <v>153</v>
      </c>
      <c r="V162">
        <v>2</v>
      </c>
      <c r="W162" t="s">
        <v>151</v>
      </c>
      <c r="X162">
        <v>366</v>
      </c>
      <c r="Y162" t="s">
        <v>1</v>
      </c>
      <c r="Z162" t="s">
        <v>845</v>
      </c>
      <c r="AA162" t="s">
        <v>838</v>
      </c>
      <c r="AB162" t="s">
        <v>846</v>
      </c>
      <c r="AC162" t="s">
        <v>5</v>
      </c>
      <c r="AD162">
        <v>1</v>
      </c>
      <c r="AE162" t="s">
        <v>4</v>
      </c>
      <c r="AF162">
        <v>0</v>
      </c>
    </row>
    <row r="163" spans="1:62" x14ac:dyDescent="0.25">
      <c r="A163" t="str">
        <f t="shared" si="2"/>
        <v>feynman_II_34_29a_15795</v>
      </c>
      <c r="B163" t="s">
        <v>71</v>
      </c>
      <c r="C163" t="s">
        <v>189</v>
      </c>
      <c r="D163">
        <v>7200</v>
      </c>
      <c r="E163" t="s">
        <v>190</v>
      </c>
      <c r="F163">
        <v>1000000</v>
      </c>
      <c r="G163" t="s">
        <v>191</v>
      </c>
      <c r="H163">
        <v>15795</v>
      </c>
      <c r="I163" t="s">
        <v>192</v>
      </c>
      <c r="J163">
        <v>1E-3</v>
      </c>
      <c r="K163" t="s">
        <v>3</v>
      </c>
      <c r="L163">
        <v>1</v>
      </c>
      <c r="M163" t="s">
        <v>2</v>
      </c>
      <c r="N163">
        <v>0</v>
      </c>
      <c r="O163" t="s">
        <v>17</v>
      </c>
      <c r="P163">
        <v>10</v>
      </c>
      <c r="Q163" t="s">
        <v>0</v>
      </c>
      <c r="R163">
        <v>4.8</v>
      </c>
      <c r="S163" t="s">
        <v>152</v>
      </c>
      <c r="T163">
        <v>1</v>
      </c>
      <c r="U163" t="s">
        <v>153</v>
      </c>
      <c r="V163">
        <v>3</v>
      </c>
      <c r="W163" t="s">
        <v>151</v>
      </c>
      <c r="X163">
        <v>945</v>
      </c>
      <c r="Y163" t="s">
        <v>1</v>
      </c>
      <c r="Z163" t="s">
        <v>859</v>
      </c>
      <c r="AA163" t="s">
        <v>838</v>
      </c>
      <c r="AB163" t="s">
        <v>860</v>
      </c>
      <c r="AC163" t="s">
        <v>5</v>
      </c>
      <c r="AD163">
        <v>1</v>
      </c>
      <c r="AE163" t="s">
        <v>4</v>
      </c>
      <c r="AF163">
        <v>0</v>
      </c>
    </row>
    <row r="164" spans="1:62" x14ac:dyDescent="0.25">
      <c r="A164" t="str">
        <f t="shared" si="2"/>
        <v>feynman_II_34_11_15795</v>
      </c>
      <c r="B164" t="s">
        <v>95</v>
      </c>
      <c r="C164" t="s">
        <v>189</v>
      </c>
      <c r="D164">
        <v>7200</v>
      </c>
      <c r="E164" t="s">
        <v>190</v>
      </c>
      <c r="F164">
        <v>1000000</v>
      </c>
      <c r="G164" t="s">
        <v>191</v>
      </c>
      <c r="H164">
        <v>15795</v>
      </c>
      <c r="I164" t="s">
        <v>192</v>
      </c>
      <c r="J164">
        <v>1E-3</v>
      </c>
      <c r="K164" t="s">
        <v>3</v>
      </c>
      <c r="L164">
        <v>1</v>
      </c>
      <c r="M164" t="s">
        <v>2</v>
      </c>
      <c r="N164">
        <v>0</v>
      </c>
      <c r="O164" t="s">
        <v>17</v>
      </c>
      <c r="P164">
        <v>12</v>
      </c>
      <c r="Q164" t="s">
        <v>0</v>
      </c>
      <c r="R164">
        <v>7.8</v>
      </c>
      <c r="S164" t="s">
        <v>152</v>
      </c>
      <c r="T164">
        <v>1</v>
      </c>
      <c r="U164" t="s">
        <v>153</v>
      </c>
      <c r="V164">
        <v>4</v>
      </c>
      <c r="W164" t="s">
        <v>151</v>
      </c>
      <c r="X164">
        <v>1663</v>
      </c>
      <c r="Y164" t="s">
        <v>1</v>
      </c>
      <c r="Z164" t="s">
        <v>879</v>
      </c>
      <c r="AA164" t="s">
        <v>838</v>
      </c>
      <c r="AB164" t="s">
        <v>880</v>
      </c>
      <c r="AC164" t="s">
        <v>5</v>
      </c>
      <c r="AD164">
        <v>1</v>
      </c>
      <c r="AE164" t="s">
        <v>4</v>
      </c>
      <c r="AF164">
        <v>0</v>
      </c>
    </row>
    <row r="165" spans="1:62" x14ac:dyDescent="0.25">
      <c r="A165" t="str">
        <f t="shared" si="2"/>
        <v>strogatz_bacres1_15795</v>
      </c>
      <c r="B165" t="s">
        <v>26</v>
      </c>
      <c r="C165" t="s">
        <v>189</v>
      </c>
      <c r="D165">
        <v>7200</v>
      </c>
      <c r="E165" t="s">
        <v>190</v>
      </c>
      <c r="F165">
        <v>1000000</v>
      </c>
      <c r="G165" t="s">
        <v>191</v>
      </c>
      <c r="H165">
        <v>15795</v>
      </c>
      <c r="I165" t="s">
        <v>192</v>
      </c>
      <c r="J165">
        <v>1E-3</v>
      </c>
      <c r="K165" t="s">
        <v>3</v>
      </c>
      <c r="L165">
        <v>1</v>
      </c>
      <c r="M165" t="s">
        <v>2</v>
      </c>
      <c r="N165">
        <v>0</v>
      </c>
      <c r="O165" t="s">
        <v>17</v>
      </c>
      <c r="P165">
        <v>20</v>
      </c>
      <c r="Q165" t="s">
        <v>0</v>
      </c>
      <c r="R165">
        <v>356.6</v>
      </c>
      <c r="S165" t="s">
        <v>152</v>
      </c>
      <c r="T165">
        <v>6</v>
      </c>
      <c r="U165" t="s">
        <v>153</v>
      </c>
      <c r="V165">
        <v>291</v>
      </c>
      <c r="W165" t="s">
        <v>151</v>
      </c>
      <c r="X165">
        <v>176072</v>
      </c>
      <c r="Y165" t="s">
        <v>1</v>
      </c>
      <c r="Z165" t="s">
        <v>948</v>
      </c>
      <c r="AA165" t="s">
        <v>838</v>
      </c>
      <c r="AB165" t="e" cm="1">
        <f t="array" ref="AB165">-1*x0</f>
        <v>#NAME?</v>
      </c>
      <c r="AC165" t="s">
        <v>569</v>
      </c>
      <c r="AD165" t="s">
        <v>602</v>
      </c>
      <c r="AE165" t="s">
        <v>572</v>
      </c>
      <c r="AF165" t="s">
        <v>574</v>
      </c>
      <c r="AG165" t="s">
        <v>572</v>
      </c>
      <c r="AH165">
        <v>20</v>
      </c>
      <c r="AI165" t="s">
        <v>5</v>
      </c>
      <c r="AJ165">
        <v>1</v>
      </c>
      <c r="AK165" t="s">
        <v>4</v>
      </c>
      <c r="AL165">
        <v>0</v>
      </c>
    </row>
    <row r="166" spans="1:62" x14ac:dyDescent="0.25">
      <c r="A166" t="str">
        <f t="shared" si="2"/>
        <v>feynman_I_34_1_15795</v>
      </c>
      <c r="B166" t="s">
        <v>52</v>
      </c>
      <c r="C166" t="s">
        <v>189</v>
      </c>
      <c r="D166">
        <v>7200</v>
      </c>
      <c r="E166" t="s">
        <v>190</v>
      </c>
      <c r="F166">
        <v>1000000</v>
      </c>
      <c r="G166" t="s">
        <v>191</v>
      </c>
      <c r="H166">
        <v>15795</v>
      </c>
      <c r="I166" t="s">
        <v>192</v>
      </c>
      <c r="J166">
        <v>1E-3</v>
      </c>
      <c r="K166" t="s">
        <v>3</v>
      </c>
      <c r="L166">
        <v>1</v>
      </c>
      <c r="M166" t="s">
        <v>2</v>
      </c>
      <c r="N166">
        <v>0</v>
      </c>
      <c r="O166" t="s">
        <v>17</v>
      </c>
      <c r="P166">
        <v>18</v>
      </c>
      <c r="Q166" t="s">
        <v>0</v>
      </c>
      <c r="R166">
        <v>12.2</v>
      </c>
      <c r="S166" t="s">
        <v>152</v>
      </c>
      <c r="T166">
        <v>1</v>
      </c>
      <c r="U166" t="s">
        <v>153</v>
      </c>
      <c r="V166">
        <v>5</v>
      </c>
      <c r="W166" t="s">
        <v>151</v>
      </c>
      <c r="X166">
        <v>2167</v>
      </c>
      <c r="Y166" t="s">
        <v>1</v>
      </c>
      <c r="Z166" t="s">
        <v>895</v>
      </c>
      <c r="AA166" t="s">
        <v>838</v>
      </c>
      <c r="AB166" t="s">
        <v>896</v>
      </c>
      <c r="AC166" t="s">
        <v>569</v>
      </c>
      <c r="AD166" t="s">
        <v>576</v>
      </c>
      <c r="AE166" t="s">
        <v>572</v>
      </c>
      <c r="AF166" t="s">
        <v>577</v>
      </c>
      <c r="AG166" t="s">
        <v>5</v>
      </c>
      <c r="AH166">
        <v>1</v>
      </c>
      <c r="AI166" t="s">
        <v>4</v>
      </c>
      <c r="AJ166">
        <v>0</v>
      </c>
    </row>
    <row r="167" spans="1:62" x14ac:dyDescent="0.25">
      <c r="A167" t="str">
        <f t="shared" si="2"/>
        <v>feynman_test_9_23654</v>
      </c>
      <c r="B167" t="s">
        <v>136</v>
      </c>
      <c r="C167" t="s">
        <v>189</v>
      </c>
      <c r="D167">
        <v>7200</v>
      </c>
      <c r="E167" t="s">
        <v>190</v>
      </c>
      <c r="F167">
        <v>1000000</v>
      </c>
      <c r="G167" t="s">
        <v>191</v>
      </c>
      <c r="H167">
        <v>23654</v>
      </c>
      <c r="I167" t="s">
        <v>192</v>
      </c>
      <c r="J167">
        <v>1E-3</v>
      </c>
      <c r="K167" t="s">
        <v>3</v>
      </c>
      <c r="L167">
        <v>0.99995670000000003</v>
      </c>
      <c r="M167" t="s">
        <v>2</v>
      </c>
      <c r="N167">
        <v>44.857387000000003</v>
      </c>
      <c r="O167" t="s">
        <v>17</v>
      </c>
      <c r="P167">
        <v>141</v>
      </c>
      <c r="Q167" t="s">
        <v>0</v>
      </c>
      <c r="R167">
        <v>7205</v>
      </c>
      <c r="S167" t="s">
        <v>152</v>
      </c>
      <c r="T167">
        <v>4</v>
      </c>
      <c r="U167" t="s">
        <v>153</v>
      </c>
      <c r="V167">
        <v>88</v>
      </c>
      <c r="W167" t="s">
        <v>151</v>
      </c>
      <c r="X167">
        <v>602129</v>
      </c>
      <c r="Y167" t="s">
        <v>1</v>
      </c>
      <c r="Z167" t="s">
        <v>1070</v>
      </c>
      <c r="AA167" t="s">
        <v>838</v>
      </c>
      <c r="AB167" t="s">
        <v>1071</v>
      </c>
      <c r="AC167" t="s">
        <v>572</v>
      </c>
      <c r="AD167" t="s">
        <v>620</v>
      </c>
      <c r="AE167" t="s">
        <v>572</v>
      </c>
      <c r="AF167" t="s">
        <v>818</v>
      </c>
      <c r="AG167" t="s">
        <v>572</v>
      </c>
      <c r="AH167" t="s">
        <v>819</v>
      </c>
      <c r="AI167" t="s">
        <v>569</v>
      </c>
      <c r="AJ167" t="s">
        <v>820</v>
      </c>
      <c r="AK167" t="s">
        <v>572</v>
      </c>
      <c r="AL167" t="s">
        <v>821</v>
      </c>
      <c r="AM167" t="s">
        <v>572</v>
      </c>
      <c r="AN167" t="s">
        <v>822</v>
      </c>
      <c r="AO167" t="s">
        <v>572</v>
      </c>
      <c r="AP167" t="s">
        <v>823</v>
      </c>
      <c r="AQ167" t="s">
        <v>569</v>
      </c>
      <c r="AR167" t="s">
        <v>824</v>
      </c>
      <c r="AS167" t="s">
        <v>572</v>
      </c>
      <c r="AT167" t="s">
        <v>825</v>
      </c>
      <c r="AU167" t="s">
        <v>572</v>
      </c>
      <c r="AV167" t="s">
        <v>826</v>
      </c>
      <c r="AW167" t="s">
        <v>572</v>
      </c>
      <c r="AX167" t="s">
        <v>827</v>
      </c>
      <c r="AY167" t="s">
        <v>572</v>
      </c>
      <c r="AZ167" t="s">
        <v>828</v>
      </c>
      <c r="BA167" t="s">
        <v>572</v>
      </c>
      <c r="BB167" t="s">
        <v>829</v>
      </c>
      <c r="BC167" t="s">
        <v>572</v>
      </c>
      <c r="BD167" t="s">
        <v>830</v>
      </c>
      <c r="BE167" t="s">
        <v>569</v>
      </c>
      <c r="BF167" t="s">
        <v>831</v>
      </c>
      <c r="BG167" t="s">
        <v>5</v>
      </c>
      <c r="BH167">
        <v>0.99995040000000002</v>
      </c>
      <c r="BI167" t="s">
        <v>4</v>
      </c>
      <c r="BJ167">
        <v>48.238428399999997</v>
      </c>
    </row>
    <row r="168" spans="1:62" x14ac:dyDescent="0.25">
      <c r="A168" t="str">
        <f t="shared" si="2"/>
        <v>feynman_I_12_1_15795</v>
      </c>
      <c r="B168" t="s">
        <v>37</v>
      </c>
      <c r="C168" t="s">
        <v>189</v>
      </c>
      <c r="D168">
        <v>7200</v>
      </c>
      <c r="E168" t="s">
        <v>190</v>
      </c>
      <c r="F168">
        <v>1000000</v>
      </c>
      <c r="G168" t="s">
        <v>191</v>
      </c>
      <c r="H168">
        <v>15795</v>
      </c>
      <c r="I168" t="s">
        <v>192</v>
      </c>
      <c r="J168">
        <v>1E-3</v>
      </c>
      <c r="K168" t="s">
        <v>3</v>
      </c>
      <c r="L168">
        <v>1</v>
      </c>
      <c r="M168" t="s">
        <v>2</v>
      </c>
      <c r="N168">
        <v>0</v>
      </c>
      <c r="O168" t="s">
        <v>17</v>
      </c>
      <c r="P168">
        <v>6</v>
      </c>
      <c r="Q168" t="s">
        <v>0</v>
      </c>
      <c r="R168">
        <v>1.7</v>
      </c>
      <c r="S168" t="s">
        <v>152</v>
      </c>
      <c r="T168">
        <v>1</v>
      </c>
      <c r="U168" t="s">
        <v>153</v>
      </c>
      <c r="V168">
        <v>2</v>
      </c>
      <c r="W168" t="s">
        <v>151</v>
      </c>
      <c r="X168">
        <v>366</v>
      </c>
      <c r="Y168" t="s">
        <v>1</v>
      </c>
      <c r="Z168" t="s">
        <v>845</v>
      </c>
      <c r="AA168" t="s">
        <v>838</v>
      </c>
      <c r="AB168" t="s">
        <v>846</v>
      </c>
      <c r="AC168" t="s">
        <v>5</v>
      </c>
      <c r="AD168">
        <v>1</v>
      </c>
      <c r="AE168" t="s">
        <v>4</v>
      </c>
      <c r="AF168">
        <v>0</v>
      </c>
    </row>
    <row r="169" spans="1:62" x14ac:dyDescent="0.25">
      <c r="A169" t="str">
        <f t="shared" si="2"/>
        <v>feynman_II_3_24_15795</v>
      </c>
      <c r="B169" t="s">
        <v>46</v>
      </c>
      <c r="C169" t="s">
        <v>189</v>
      </c>
      <c r="D169">
        <v>7200</v>
      </c>
      <c r="E169" t="s">
        <v>190</v>
      </c>
      <c r="F169">
        <v>1000000</v>
      </c>
      <c r="G169" t="s">
        <v>191</v>
      </c>
      <c r="H169">
        <v>15795</v>
      </c>
      <c r="I169" t="s">
        <v>192</v>
      </c>
      <c r="J169">
        <v>1E-3</v>
      </c>
      <c r="K169" t="s">
        <v>3</v>
      </c>
      <c r="L169">
        <v>1</v>
      </c>
      <c r="M169" t="s">
        <v>2</v>
      </c>
      <c r="N169">
        <v>0</v>
      </c>
      <c r="O169" t="s">
        <v>17</v>
      </c>
      <c r="P169">
        <v>8</v>
      </c>
      <c r="Q169" t="s">
        <v>0</v>
      </c>
      <c r="R169">
        <v>3.9</v>
      </c>
      <c r="S169" t="s">
        <v>152</v>
      </c>
      <c r="T169">
        <v>1</v>
      </c>
      <c r="U169" t="s">
        <v>153</v>
      </c>
      <c r="V169">
        <v>3</v>
      </c>
      <c r="W169" t="s">
        <v>151</v>
      </c>
      <c r="X169">
        <v>798</v>
      </c>
      <c r="Y169" t="s">
        <v>1</v>
      </c>
      <c r="Z169" t="s">
        <v>857</v>
      </c>
      <c r="AA169" t="s">
        <v>838</v>
      </c>
      <c r="AB169" t="s">
        <v>858</v>
      </c>
      <c r="AC169" t="s">
        <v>5</v>
      </c>
      <c r="AD169">
        <v>1</v>
      </c>
      <c r="AE169" t="s">
        <v>4</v>
      </c>
      <c r="AF169">
        <v>0</v>
      </c>
    </row>
    <row r="170" spans="1:62" x14ac:dyDescent="0.25">
      <c r="A170" t="str">
        <f t="shared" si="2"/>
        <v>feynman_II_38_3_15795</v>
      </c>
      <c r="B170" t="s">
        <v>101</v>
      </c>
      <c r="C170" t="s">
        <v>189</v>
      </c>
      <c r="D170">
        <v>7200</v>
      </c>
      <c r="E170" t="s">
        <v>190</v>
      </c>
      <c r="F170">
        <v>1000000</v>
      </c>
      <c r="G170" t="s">
        <v>191</v>
      </c>
      <c r="H170">
        <v>15795</v>
      </c>
      <c r="I170" t="s">
        <v>192</v>
      </c>
      <c r="J170">
        <v>1E-3</v>
      </c>
      <c r="K170" t="s">
        <v>3</v>
      </c>
      <c r="L170">
        <v>1</v>
      </c>
      <c r="M170" t="s">
        <v>2</v>
      </c>
      <c r="N170">
        <v>0</v>
      </c>
      <c r="O170" t="s">
        <v>17</v>
      </c>
      <c r="P170">
        <v>12</v>
      </c>
      <c r="Q170" t="s">
        <v>0</v>
      </c>
      <c r="R170">
        <v>8.6999999999999993</v>
      </c>
      <c r="S170" t="s">
        <v>152</v>
      </c>
      <c r="T170">
        <v>1</v>
      </c>
      <c r="U170" t="s">
        <v>153</v>
      </c>
      <c r="V170">
        <v>4</v>
      </c>
      <c r="W170" t="s">
        <v>151</v>
      </c>
      <c r="X170">
        <v>1690</v>
      </c>
      <c r="Y170" t="s">
        <v>1</v>
      </c>
      <c r="Z170" t="s">
        <v>877</v>
      </c>
      <c r="AA170" t="s">
        <v>838</v>
      </c>
      <c r="AB170" t="s">
        <v>878</v>
      </c>
      <c r="AC170" t="s">
        <v>5</v>
      </c>
      <c r="AD170">
        <v>1</v>
      </c>
      <c r="AE170" t="s">
        <v>4</v>
      </c>
      <c r="AF170">
        <v>0</v>
      </c>
    </row>
    <row r="171" spans="1:62" x14ac:dyDescent="0.25">
      <c r="A171" t="str">
        <f t="shared" si="2"/>
        <v>feynman_III_15_14_15795</v>
      </c>
      <c r="B171" t="s">
        <v>84</v>
      </c>
      <c r="C171" t="s">
        <v>189</v>
      </c>
      <c r="D171">
        <v>7200</v>
      </c>
      <c r="E171" t="s">
        <v>190</v>
      </c>
      <c r="F171">
        <v>1000000</v>
      </c>
      <c r="G171" t="s">
        <v>191</v>
      </c>
      <c r="H171">
        <v>15795</v>
      </c>
      <c r="I171" t="s">
        <v>192</v>
      </c>
      <c r="J171">
        <v>1E-3</v>
      </c>
      <c r="K171" t="s">
        <v>3</v>
      </c>
      <c r="L171">
        <v>1</v>
      </c>
      <c r="M171" t="s">
        <v>2</v>
      </c>
      <c r="N171">
        <v>0</v>
      </c>
      <c r="O171" t="s">
        <v>17</v>
      </c>
      <c r="P171">
        <v>18</v>
      </c>
      <c r="Q171" t="s">
        <v>0</v>
      </c>
      <c r="R171">
        <v>71.2</v>
      </c>
      <c r="S171" t="s">
        <v>152</v>
      </c>
      <c r="T171">
        <v>1</v>
      </c>
      <c r="U171" t="s">
        <v>153</v>
      </c>
      <c r="V171">
        <v>9</v>
      </c>
      <c r="W171" t="s">
        <v>151</v>
      </c>
      <c r="X171">
        <v>9851</v>
      </c>
      <c r="Y171" t="s">
        <v>1</v>
      </c>
      <c r="Z171" t="s">
        <v>1072</v>
      </c>
      <c r="AA171" t="s">
        <v>838</v>
      </c>
      <c r="AB171" t="s">
        <v>1073</v>
      </c>
      <c r="AC171" t="s">
        <v>5</v>
      </c>
      <c r="AD171">
        <v>1</v>
      </c>
      <c r="AE171" t="s">
        <v>4</v>
      </c>
      <c r="AF171">
        <v>0</v>
      </c>
    </row>
    <row r="172" spans="1:62" x14ac:dyDescent="0.25">
      <c r="A172" t="str">
        <f t="shared" si="2"/>
        <v>feynman_I_12_11_15795</v>
      </c>
      <c r="B172" t="s">
        <v>130</v>
      </c>
      <c r="C172" t="s">
        <v>189</v>
      </c>
      <c r="D172">
        <v>7200</v>
      </c>
      <c r="E172" t="s">
        <v>190</v>
      </c>
      <c r="F172">
        <v>1000000</v>
      </c>
      <c r="G172" t="s">
        <v>191</v>
      </c>
      <c r="H172">
        <v>15795</v>
      </c>
      <c r="I172" t="s">
        <v>192</v>
      </c>
      <c r="J172">
        <v>1E-3</v>
      </c>
      <c r="K172" t="s">
        <v>3</v>
      </c>
      <c r="L172">
        <v>1</v>
      </c>
      <c r="M172" t="s">
        <v>2</v>
      </c>
      <c r="N172">
        <v>0</v>
      </c>
      <c r="O172" t="s">
        <v>17</v>
      </c>
      <c r="P172">
        <v>19</v>
      </c>
      <c r="Q172" t="s">
        <v>0</v>
      </c>
      <c r="R172">
        <v>29.2</v>
      </c>
      <c r="S172" t="s">
        <v>152</v>
      </c>
      <c r="T172">
        <v>1</v>
      </c>
      <c r="U172" t="s">
        <v>153</v>
      </c>
      <c r="V172">
        <v>7</v>
      </c>
      <c r="W172" t="s">
        <v>151</v>
      </c>
      <c r="X172">
        <v>5230</v>
      </c>
      <c r="Y172" t="s">
        <v>1</v>
      </c>
      <c r="Z172" t="s">
        <v>1074</v>
      </c>
      <c r="AA172" t="s">
        <v>838</v>
      </c>
      <c r="AB172" t="s">
        <v>1075</v>
      </c>
      <c r="AC172" t="s">
        <v>572</v>
      </c>
      <c r="AD172" t="s">
        <v>582</v>
      </c>
      <c r="AE172" t="s">
        <v>5</v>
      </c>
      <c r="AF172">
        <v>1</v>
      </c>
      <c r="AG172" t="s">
        <v>4</v>
      </c>
      <c r="AH172">
        <v>0</v>
      </c>
    </row>
    <row r="173" spans="1:62" x14ac:dyDescent="0.25">
      <c r="A173" t="str">
        <f t="shared" si="2"/>
        <v>feynman_III_17_37_15795</v>
      </c>
      <c r="B173" t="s">
        <v>77</v>
      </c>
      <c r="C173" t="s">
        <v>189</v>
      </c>
      <c r="D173">
        <v>7200</v>
      </c>
      <c r="E173" t="s">
        <v>190</v>
      </c>
      <c r="F173">
        <v>1000000</v>
      </c>
      <c r="G173" t="s">
        <v>191</v>
      </c>
      <c r="H173">
        <v>15795</v>
      </c>
      <c r="I173" t="s">
        <v>192</v>
      </c>
      <c r="J173">
        <v>1E-3</v>
      </c>
      <c r="K173" t="s">
        <v>3</v>
      </c>
      <c r="L173">
        <v>1</v>
      </c>
      <c r="M173" t="s">
        <v>2</v>
      </c>
      <c r="N173">
        <v>0</v>
      </c>
      <c r="O173" t="s">
        <v>17</v>
      </c>
      <c r="P173">
        <v>23</v>
      </c>
      <c r="Q173" t="s">
        <v>0</v>
      </c>
      <c r="R173">
        <v>169.5</v>
      </c>
      <c r="S173" t="s">
        <v>152</v>
      </c>
      <c r="T173">
        <v>1</v>
      </c>
      <c r="U173" t="s">
        <v>153</v>
      </c>
      <c r="V173">
        <v>17</v>
      </c>
      <c r="W173" t="s">
        <v>151</v>
      </c>
      <c r="X173">
        <v>19244</v>
      </c>
      <c r="Y173" t="s">
        <v>1</v>
      </c>
      <c r="Z173" t="s">
        <v>1076</v>
      </c>
      <c r="AA173" t="s">
        <v>838</v>
      </c>
      <c r="AB173" t="s">
        <v>1077</v>
      </c>
      <c r="AC173" t="s">
        <v>572</v>
      </c>
      <c r="AD173" t="s">
        <v>832</v>
      </c>
      <c r="AE173" t="s">
        <v>572</v>
      </c>
      <c r="AF173" t="s">
        <v>692</v>
      </c>
      <c r="AG173" t="s">
        <v>5</v>
      </c>
      <c r="AH173">
        <v>1</v>
      </c>
      <c r="AI173" t="s">
        <v>4</v>
      </c>
      <c r="AJ173">
        <v>0</v>
      </c>
    </row>
    <row r="174" spans="1:62" x14ac:dyDescent="0.25">
      <c r="A174" t="str">
        <f t="shared" si="2"/>
        <v>feynman_II_13_17_15795</v>
      </c>
      <c r="B174" t="s">
        <v>113</v>
      </c>
      <c r="C174" t="s">
        <v>189</v>
      </c>
      <c r="D174">
        <v>7200</v>
      </c>
      <c r="E174" t="s">
        <v>190</v>
      </c>
      <c r="F174">
        <v>1000000</v>
      </c>
      <c r="G174" t="s">
        <v>191</v>
      </c>
      <c r="H174">
        <v>15795</v>
      </c>
      <c r="I174" t="s">
        <v>192</v>
      </c>
      <c r="J174">
        <v>1E-3</v>
      </c>
      <c r="K174" t="s">
        <v>3</v>
      </c>
      <c r="L174">
        <v>1</v>
      </c>
      <c r="M174" t="s">
        <v>2</v>
      </c>
      <c r="N174">
        <v>0</v>
      </c>
      <c r="O174" t="s">
        <v>17</v>
      </c>
      <c r="P174">
        <v>16</v>
      </c>
      <c r="Q174" t="s">
        <v>0</v>
      </c>
      <c r="R174">
        <v>431.1</v>
      </c>
      <c r="S174" t="s">
        <v>152</v>
      </c>
      <c r="T174">
        <v>3</v>
      </c>
      <c r="U174" t="s">
        <v>153</v>
      </c>
      <c r="V174">
        <v>87</v>
      </c>
      <c r="W174" t="s">
        <v>151</v>
      </c>
      <c r="X174">
        <v>78199</v>
      </c>
      <c r="Y174" t="s">
        <v>1</v>
      </c>
      <c r="Z174" t="s">
        <v>946</v>
      </c>
      <c r="AA174" t="s">
        <v>838</v>
      </c>
      <c r="AB174" t="s">
        <v>947</v>
      </c>
      <c r="AC174" t="s">
        <v>5</v>
      </c>
      <c r="AD174">
        <v>1</v>
      </c>
      <c r="AE174" t="s">
        <v>4</v>
      </c>
      <c r="AF174">
        <v>0</v>
      </c>
    </row>
    <row r="175" spans="1:62" x14ac:dyDescent="0.25">
      <c r="A175" t="str">
        <f t="shared" si="2"/>
        <v>feynman_I_24_6_15795</v>
      </c>
      <c r="B175" t="s">
        <v>106</v>
      </c>
      <c r="C175" t="s">
        <v>189</v>
      </c>
      <c r="D175">
        <v>7200</v>
      </c>
      <c r="E175" t="s">
        <v>190</v>
      </c>
      <c r="F175">
        <v>1000000</v>
      </c>
      <c r="G175" t="s">
        <v>191</v>
      </c>
      <c r="H175">
        <v>15795</v>
      </c>
      <c r="I175" t="s">
        <v>192</v>
      </c>
      <c r="J175">
        <v>1E-3</v>
      </c>
      <c r="K175" t="s">
        <v>3</v>
      </c>
      <c r="L175">
        <v>1</v>
      </c>
      <c r="M175" t="s">
        <v>2</v>
      </c>
      <c r="N175">
        <v>0</v>
      </c>
      <c r="O175" t="s">
        <v>17</v>
      </c>
      <c r="P175">
        <v>24</v>
      </c>
      <c r="Q175" t="s">
        <v>0</v>
      </c>
      <c r="R175">
        <v>79.7</v>
      </c>
      <c r="S175" t="s">
        <v>152</v>
      </c>
      <c r="T175">
        <v>1</v>
      </c>
      <c r="U175" t="s">
        <v>153</v>
      </c>
      <c r="V175">
        <v>12</v>
      </c>
      <c r="W175" t="s">
        <v>151</v>
      </c>
      <c r="X175">
        <v>12043</v>
      </c>
      <c r="Y175" t="s">
        <v>1</v>
      </c>
      <c r="Z175" t="s">
        <v>1078</v>
      </c>
      <c r="AA175" t="s">
        <v>838</v>
      </c>
      <c r="AB175" t="s">
        <v>1079</v>
      </c>
      <c r="AC175" t="s">
        <v>572</v>
      </c>
      <c r="AD175" t="s">
        <v>833</v>
      </c>
      <c r="AE175" t="s">
        <v>5</v>
      </c>
      <c r="AF175">
        <v>1</v>
      </c>
      <c r="AG175" t="s">
        <v>4</v>
      </c>
      <c r="AH175">
        <v>0</v>
      </c>
    </row>
    <row r="176" spans="1:62" x14ac:dyDescent="0.25">
      <c r="A176" t="str">
        <f t="shared" si="2"/>
        <v>feynman_I_10_7_23654</v>
      </c>
      <c r="B176" t="s">
        <v>57</v>
      </c>
      <c r="C176" t="s">
        <v>189</v>
      </c>
      <c r="D176">
        <v>7200</v>
      </c>
      <c r="E176" t="s">
        <v>190</v>
      </c>
      <c r="F176">
        <v>1000000</v>
      </c>
      <c r="G176" t="s">
        <v>191</v>
      </c>
      <c r="H176">
        <v>23654</v>
      </c>
      <c r="I176" t="s">
        <v>192</v>
      </c>
      <c r="J176">
        <v>1E-3</v>
      </c>
      <c r="K176" t="s">
        <v>3</v>
      </c>
      <c r="L176">
        <v>0.99997590000000003</v>
      </c>
      <c r="M176" t="s">
        <v>2</v>
      </c>
      <c r="N176">
        <v>5.9597000000000001E-3</v>
      </c>
      <c r="O176" t="s">
        <v>17</v>
      </c>
      <c r="P176">
        <v>18</v>
      </c>
      <c r="Q176" t="s">
        <v>0</v>
      </c>
      <c r="R176">
        <v>6666.6</v>
      </c>
      <c r="S176" t="s">
        <v>152</v>
      </c>
      <c r="T176">
        <v>8</v>
      </c>
      <c r="U176" t="s">
        <v>153</v>
      </c>
      <c r="V176">
        <v>1274</v>
      </c>
      <c r="W176" t="s">
        <v>151</v>
      </c>
      <c r="X176">
        <v>1000342</v>
      </c>
      <c r="Y176" t="s">
        <v>1</v>
      </c>
      <c r="Z176" t="s">
        <v>1080</v>
      </c>
      <c r="AA176" t="s">
        <v>838</v>
      </c>
      <c r="AB176" t="s">
        <v>1081</v>
      </c>
      <c r="AC176" t="s">
        <v>569</v>
      </c>
      <c r="AD176" t="s">
        <v>734</v>
      </c>
      <c r="AE176" t="s">
        <v>572</v>
      </c>
      <c r="AF176" t="s">
        <v>834</v>
      </c>
      <c r="AG176" t="s">
        <v>5</v>
      </c>
      <c r="AH176">
        <v>0.99997610000000003</v>
      </c>
      <c r="AI176" t="s">
        <v>4</v>
      </c>
      <c r="AJ176">
        <v>5.9395000000000003E-3</v>
      </c>
    </row>
    <row r="177" spans="1:36" x14ac:dyDescent="0.25">
      <c r="A177" t="str">
        <f t="shared" si="2"/>
        <v>feynman_I_25_13_15795</v>
      </c>
      <c r="B177" t="s">
        <v>35</v>
      </c>
      <c r="C177" t="s">
        <v>189</v>
      </c>
      <c r="D177">
        <v>7200</v>
      </c>
      <c r="E177" t="s">
        <v>190</v>
      </c>
      <c r="F177">
        <v>1000000</v>
      </c>
      <c r="G177" t="s">
        <v>191</v>
      </c>
      <c r="H177">
        <v>15795</v>
      </c>
      <c r="I177" t="s">
        <v>192</v>
      </c>
      <c r="J177">
        <v>1E-3</v>
      </c>
      <c r="K177" t="s">
        <v>3</v>
      </c>
      <c r="L177">
        <v>1</v>
      </c>
      <c r="M177" t="s">
        <v>2</v>
      </c>
      <c r="N177">
        <v>0</v>
      </c>
      <c r="O177" t="s">
        <v>17</v>
      </c>
      <c r="P177">
        <v>8</v>
      </c>
      <c r="Q177" t="s">
        <v>0</v>
      </c>
      <c r="R177">
        <v>2.1</v>
      </c>
      <c r="S177" t="s">
        <v>152</v>
      </c>
      <c r="T177">
        <v>1</v>
      </c>
      <c r="U177" t="s">
        <v>153</v>
      </c>
      <c r="V177">
        <v>2</v>
      </c>
      <c r="W177" t="s">
        <v>151</v>
      </c>
      <c r="X177">
        <v>445</v>
      </c>
      <c r="Y177" t="s">
        <v>1</v>
      </c>
      <c r="Z177" t="s">
        <v>847</v>
      </c>
      <c r="AA177" t="s">
        <v>838</v>
      </c>
      <c r="AB177" t="s">
        <v>848</v>
      </c>
      <c r="AC177" t="s">
        <v>5</v>
      </c>
      <c r="AD177">
        <v>1</v>
      </c>
      <c r="AE177" t="s">
        <v>4</v>
      </c>
      <c r="AF177">
        <v>0</v>
      </c>
    </row>
    <row r="178" spans="1:36" x14ac:dyDescent="0.25">
      <c r="A178" t="str">
        <f t="shared" si="2"/>
        <v>feynman_II_34_2a_15795</v>
      </c>
      <c r="B178" t="s">
        <v>66</v>
      </c>
      <c r="C178" t="s">
        <v>189</v>
      </c>
      <c r="D178">
        <v>7200</v>
      </c>
      <c r="E178" t="s">
        <v>190</v>
      </c>
      <c r="F178">
        <v>1000000</v>
      </c>
      <c r="G178" t="s">
        <v>191</v>
      </c>
      <c r="H178">
        <v>15795</v>
      </c>
      <c r="I178" t="s">
        <v>192</v>
      </c>
      <c r="J178">
        <v>1E-3</v>
      </c>
      <c r="K178" t="s">
        <v>3</v>
      </c>
      <c r="L178">
        <v>1</v>
      </c>
      <c r="M178" t="s">
        <v>2</v>
      </c>
      <c r="N178">
        <v>0</v>
      </c>
      <c r="O178" t="s">
        <v>17</v>
      </c>
      <c r="P178">
        <v>10</v>
      </c>
      <c r="Q178" t="s">
        <v>0</v>
      </c>
      <c r="R178">
        <v>4.5999999999999996</v>
      </c>
      <c r="S178" t="s">
        <v>152</v>
      </c>
      <c r="T178">
        <v>1</v>
      </c>
      <c r="U178" t="s">
        <v>153</v>
      </c>
      <c r="V178">
        <v>3</v>
      </c>
      <c r="W178" t="s">
        <v>151</v>
      </c>
      <c r="X178">
        <v>945</v>
      </c>
      <c r="Y178" t="s">
        <v>1</v>
      </c>
      <c r="Z178" t="s">
        <v>861</v>
      </c>
      <c r="AA178" t="s">
        <v>838</v>
      </c>
      <c r="AB178" t="s">
        <v>862</v>
      </c>
      <c r="AC178" t="s">
        <v>5</v>
      </c>
      <c r="AD178">
        <v>1</v>
      </c>
      <c r="AE178" t="s">
        <v>4</v>
      </c>
      <c r="AF178">
        <v>0</v>
      </c>
    </row>
    <row r="179" spans="1:36" x14ac:dyDescent="0.25">
      <c r="A179" t="str">
        <f t="shared" si="2"/>
        <v>feynman_I_43_16_15795</v>
      </c>
      <c r="B179" t="s">
        <v>100</v>
      </c>
      <c r="C179" t="s">
        <v>189</v>
      </c>
      <c r="D179">
        <v>7200</v>
      </c>
      <c r="E179" t="s">
        <v>190</v>
      </c>
      <c r="F179">
        <v>1000000</v>
      </c>
      <c r="G179" t="s">
        <v>191</v>
      </c>
      <c r="H179">
        <v>15795</v>
      </c>
      <c r="I179" t="s">
        <v>192</v>
      </c>
      <c r="J179">
        <v>1E-3</v>
      </c>
      <c r="K179" t="s">
        <v>3</v>
      </c>
      <c r="L179">
        <v>1</v>
      </c>
      <c r="M179" t="s">
        <v>2</v>
      </c>
      <c r="N179">
        <v>0</v>
      </c>
      <c r="O179" t="s">
        <v>17</v>
      </c>
      <c r="P179">
        <v>12</v>
      </c>
      <c r="Q179" t="s">
        <v>0</v>
      </c>
      <c r="R179">
        <v>8.3000000000000007</v>
      </c>
      <c r="S179" t="s">
        <v>152</v>
      </c>
      <c r="T179">
        <v>1</v>
      </c>
      <c r="U179" t="s">
        <v>153</v>
      </c>
      <c r="V179">
        <v>4</v>
      </c>
      <c r="W179" t="s">
        <v>151</v>
      </c>
      <c r="X179">
        <v>1690</v>
      </c>
      <c r="Y179" t="s">
        <v>1</v>
      </c>
      <c r="Z179" t="s">
        <v>881</v>
      </c>
      <c r="AA179" t="s">
        <v>838</v>
      </c>
      <c r="AB179" t="s">
        <v>882</v>
      </c>
      <c r="AC179" t="s">
        <v>5</v>
      </c>
      <c r="AD179">
        <v>1</v>
      </c>
      <c r="AE179" t="s">
        <v>4</v>
      </c>
      <c r="AF179">
        <v>0</v>
      </c>
    </row>
    <row r="180" spans="1:36" x14ac:dyDescent="0.25">
      <c r="A180" t="str">
        <f t="shared" si="2"/>
        <v>strogatz_glider2_15795</v>
      </c>
      <c r="B180" t="s">
        <v>19</v>
      </c>
      <c r="C180" t="s">
        <v>189</v>
      </c>
      <c r="D180">
        <v>7200</v>
      </c>
      <c r="E180" t="s">
        <v>190</v>
      </c>
      <c r="F180">
        <v>1000000</v>
      </c>
      <c r="G180" t="s">
        <v>191</v>
      </c>
      <c r="H180">
        <v>15795</v>
      </c>
      <c r="I180" t="s">
        <v>192</v>
      </c>
      <c r="J180">
        <v>1E-3</v>
      </c>
      <c r="K180" t="s">
        <v>3</v>
      </c>
      <c r="L180">
        <v>1</v>
      </c>
      <c r="M180" t="s">
        <v>2</v>
      </c>
      <c r="N180">
        <v>0</v>
      </c>
      <c r="O180" t="s">
        <v>17</v>
      </c>
      <c r="P180">
        <v>13</v>
      </c>
      <c r="Q180" t="s">
        <v>0</v>
      </c>
      <c r="R180">
        <v>16</v>
      </c>
      <c r="S180" t="s">
        <v>152</v>
      </c>
      <c r="T180">
        <v>4</v>
      </c>
      <c r="U180" t="s">
        <v>153</v>
      </c>
      <c r="V180">
        <v>45</v>
      </c>
      <c r="W180" t="s">
        <v>151</v>
      </c>
      <c r="X180">
        <v>11477</v>
      </c>
      <c r="Y180" t="s">
        <v>1</v>
      </c>
      <c r="Z180" t="s">
        <v>901</v>
      </c>
      <c r="AA180" t="s">
        <v>838</v>
      </c>
      <c r="AB180" t="s">
        <v>902</v>
      </c>
      <c r="AC180" t="s">
        <v>572</v>
      </c>
      <c r="AD180" t="s">
        <v>578</v>
      </c>
      <c r="AE180" t="s">
        <v>5</v>
      </c>
      <c r="AF180">
        <v>1</v>
      </c>
      <c r="AG180" t="s">
        <v>4</v>
      </c>
      <c r="AH180">
        <v>0</v>
      </c>
    </row>
    <row r="181" spans="1:36" x14ac:dyDescent="0.25">
      <c r="A181" t="str">
        <f t="shared" si="2"/>
        <v>feynman_II_27_16_15795</v>
      </c>
      <c r="B181" t="s">
        <v>79</v>
      </c>
      <c r="C181" t="s">
        <v>189</v>
      </c>
      <c r="D181">
        <v>7200</v>
      </c>
      <c r="E181" t="s">
        <v>190</v>
      </c>
      <c r="F181">
        <v>1000000</v>
      </c>
      <c r="G181" t="s">
        <v>191</v>
      </c>
      <c r="H181">
        <v>15795</v>
      </c>
      <c r="I181" t="s">
        <v>192</v>
      </c>
      <c r="J181">
        <v>1E-3</v>
      </c>
      <c r="K181" t="s">
        <v>3</v>
      </c>
      <c r="L181">
        <v>1</v>
      </c>
      <c r="M181" t="s">
        <v>2</v>
      </c>
      <c r="N181">
        <v>0</v>
      </c>
      <c r="O181" t="s">
        <v>17</v>
      </c>
      <c r="P181">
        <v>10</v>
      </c>
      <c r="Q181" t="s">
        <v>0</v>
      </c>
      <c r="R181">
        <v>5.7</v>
      </c>
      <c r="S181" t="s">
        <v>152</v>
      </c>
      <c r="T181">
        <v>1</v>
      </c>
      <c r="U181" t="s">
        <v>153</v>
      </c>
      <c r="V181">
        <v>4</v>
      </c>
      <c r="W181" t="s">
        <v>151</v>
      </c>
      <c r="X181">
        <v>1303</v>
      </c>
      <c r="Y181" t="s">
        <v>1</v>
      </c>
      <c r="Z181" t="s">
        <v>914</v>
      </c>
      <c r="AA181" t="s">
        <v>838</v>
      </c>
      <c r="AB181" t="s">
        <v>915</v>
      </c>
      <c r="AC181" t="s">
        <v>5</v>
      </c>
      <c r="AD181">
        <v>1</v>
      </c>
      <c r="AE181" t="s">
        <v>4</v>
      </c>
      <c r="AF181">
        <v>0</v>
      </c>
    </row>
    <row r="182" spans="1:36" x14ac:dyDescent="0.25">
      <c r="A182" t="str">
        <f t="shared" si="2"/>
        <v>feynman_test_19_15795</v>
      </c>
      <c r="B182" t="s">
        <v>139</v>
      </c>
      <c r="C182" t="s">
        <v>189</v>
      </c>
      <c r="D182">
        <v>7200</v>
      </c>
      <c r="E182" t="s">
        <v>190</v>
      </c>
      <c r="F182">
        <v>1000000</v>
      </c>
      <c r="G182" t="s">
        <v>191</v>
      </c>
      <c r="H182">
        <v>15795</v>
      </c>
      <c r="I182" t="s">
        <v>192</v>
      </c>
      <c r="J182">
        <v>1E-3</v>
      </c>
      <c r="K182" t="s">
        <v>3</v>
      </c>
      <c r="L182">
        <v>1</v>
      </c>
      <c r="M182" t="s">
        <v>2</v>
      </c>
      <c r="N182">
        <v>0</v>
      </c>
      <c r="O182" t="s">
        <v>17</v>
      </c>
      <c r="P182">
        <v>50</v>
      </c>
      <c r="Q182" t="s">
        <v>0</v>
      </c>
      <c r="R182">
        <v>189.8</v>
      </c>
      <c r="S182" t="s">
        <v>152</v>
      </c>
      <c r="T182">
        <v>1</v>
      </c>
      <c r="U182" t="s">
        <v>153</v>
      </c>
      <c r="V182">
        <v>11</v>
      </c>
      <c r="W182" t="s">
        <v>151</v>
      </c>
      <c r="X182">
        <v>23419</v>
      </c>
      <c r="Y182" t="s">
        <v>1</v>
      </c>
      <c r="Z182" t="s">
        <v>1082</v>
      </c>
      <c r="AA182" t="s">
        <v>838</v>
      </c>
      <c r="AB182" t="s">
        <v>1083</v>
      </c>
      <c r="AC182" t="s">
        <v>572</v>
      </c>
      <c r="AD182" t="s">
        <v>835</v>
      </c>
      <c r="AE182" t="s">
        <v>569</v>
      </c>
      <c r="AF182" t="s">
        <v>836</v>
      </c>
      <c r="AG182" t="s">
        <v>5</v>
      </c>
      <c r="AH182">
        <v>1</v>
      </c>
      <c r="AI182" t="s">
        <v>4</v>
      </c>
      <c r="AJ182">
        <v>0</v>
      </c>
    </row>
    <row r="183" spans="1:36" x14ac:dyDescent="0.25">
      <c r="A183" t="str">
        <f t="shared" si="2"/>
        <v>feynman_I_12_2_15795</v>
      </c>
      <c r="B183" t="s">
        <v>110</v>
      </c>
      <c r="C183" t="s">
        <v>189</v>
      </c>
      <c r="D183">
        <v>7200</v>
      </c>
      <c r="E183" t="s">
        <v>190</v>
      </c>
      <c r="F183">
        <v>1000000</v>
      </c>
      <c r="G183" t="s">
        <v>191</v>
      </c>
      <c r="H183">
        <v>15795</v>
      </c>
      <c r="I183" t="s">
        <v>192</v>
      </c>
      <c r="J183">
        <v>1E-3</v>
      </c>
      <c r="K183" t="s">
        <v>3</v>
      </c>
      <c r="L183">
        <v>1</v>
      </c>
      <c r="M183" t="s">
        <v>2</v>
      </c>
      <c r="N183">
        <v>0</v>
      </c>
      <c r="O183" t="s">
        <v>17</v>
      </c>
      <c r="P183">
        <v>14</v>
      </c>
      <c r="Q183" t="s">
        <v>0</v>
      </c>
      <c r="R183">
        <v>20.3</v>
      </c>
      <c r="S183" t="s">
        <v>152</v>
      </c>
      <c r="T183">
        <v>1</v>
      </c>
      <c r="U183" t="s">
        <v>153</v>
      </c>
      <c r="V183">
        <v>5</v>
      </c>
      <c r="W183" t="s">
        <v>151</v>
      </c>
      <c r="X183">
        <v>3509</v>
      </c>
      <c r="Y183" t="s">
        <v>1</v>
      </c>
      <c r="Z183" t="s">
        <v>958</v>
      </c>
      <c r="AA183" t="s">
        <v>838</v>
      </c>
      <c r="AB183" t="s">
        <v>959</v>
      </c>
      <c r="AC183" t="s">
        <v>5</v>
      </c>
      <c r="AD183">
        <v>1</v>
      </c>
      <c r="AE183" t="s">
        <v>4</v>
      </c>
      <c r="AF183">
        <v>0</v>
      </c>
    </row>
    <row r="184" spans="1:36" x14ac:dyDescent="0.25">
      <c r="B184" t="s">
        <v>1084</v>
      </c>
      <c r="C184" t="s">
        <v>4</v>
      </c>
      <c r="D184">
        <v>0</v>
      </c>
      <c r="E184" t="s">
        <v>5</v>
      </c>
      <c r="F184">
        <v>1</v>
      </c>
      <c r="G184" t="s">
        <v>189</v>
      </c>
      <c r="H184">
        <v>200</v>
      </c>
      <c r="I184" t="s">
        <v>190</v>
      </c>
      <c r="J184">
        <v>1000000</v>
      </c>
      <c r="K184" t="s">
        <v>191</v>
      </c>
      <c r="L184">
        <v>12345</v>
      </c>
      <c r="M184" t="s">
        <v>192</v>
      </c>
      <c r="N184">
        <v>1E-3</v>
      </c>
      <c r="O184" t="s">
        <v>3</v>
      </c>
      <c r="P184">
        <v>1</v>
      </c>
      <c r="Q184" t="s">
        <v>2</v>
      </c>
      <c r="R184">
        <v>0</v>
      </c>
      <c r="S184" t="s">
        <v>17</v>
      </c>
      <c r="T184">
        <v>4</v>
      </c>
      <c r="U184" t="s">
        <v>0</v>
      </c>
      <c r="V184">
        <v>0.1</v>
      </c>
      <c r="W184" t="s">
        <v>152</v>
      </c>
      <c r="X184">
        <v>1</v>
      </c>
      <c r="Y184" t="s">
        <v>153</v>
      </c>
      <c r="Z184">
        <v>1</v>
      </c>
      <c r="AA184" t="s">
        <v>151</v>
      </c>
      <c r="AB184">
        <v>76</v>
      </c>
      <c r="AC184" t="s">
        <v>1</v>
      </c>
      <c r="AD184" t="s">
        <v>1085</v>
      </c>
      <c r="AE184" t="s">
        <v>838</v>
      </c>
      <c r="AF184" t="s">
        <v>578</v>
      </c>
    </row>
    <row r="185" spans="1:36" x14ac:dyDescent="0.25">
      <c r="B185" t="s">
        <v>1086</v>
      </c>
      <c r="C185" t="s">
        <v>4</v>
      </c>
      <c r="D185">
        <v>0</v>
      </c>
      <c r="E185" t="s">
        <v>5</v>
      </c>
      <c r="F185">
        <v>1</v>
      </c>
      <c r="G185" t="s">
        <v>189</v>
      </c>
      <c r="H185">
        <v>200</v>
      </c>
      <c r="I185" t="s">
        <v>190</v>
      </c>
      <c r="J185">
        <v>1000000</v>
      </c>
      <c r="K185" t="s">
        <v>191</v>
      </c>
      <c r="L185">
        <v>12345</v>
      </c>
      <c r="M185" t="s">
        <v>192</v>
      </c>
      <c r="N185">
        <v>1E-3</v>
      </c>
      <c r="O185" t="s">
        <v>3</v>
      </c>
      <c r="P185">
        <v>1</v>
      </c>
      <c r="Q185" t="s">
        <v>2</v>
      </c>
      <c r="R185">
        <v>0</v>
      </c>
      <c r="S185" t="s">
        <v>17</v>
      </c>
      <c r="T185">
        <v>6</v>
      </c>
      <c r="U185" t="s">
        <v>0</v>
      </c>
      <c r="V185">
        <v>0.6</v>
      </c>
      <c r="W185" t="s">
        <v>152</v>
      </c>
      <c r="X185">
        <v>1</v>
      </c>
      <c r="Y185" t="s">
        <v>153</v>
      </c>
      <c r="Z185">
        <v>3</v>
      </c>
      <c r="AA185" t="s">
        <v>151</v>
      </c>
      <c r="AB185">
        <v>409</v>
      </c>
      <c r="AC185" t="s">
        <v>1</v>
      </c>
      <c r="AD185" t="s">
        <v>1087</v>
      </c>
      <c r="AE185" t="s">
        <v>838</v>
      </c>
      <c r="AF185" t="s">
        <v>1088</v>
      </c>
    </row>
    <row r="186" spans="1:36" x14ac:dyDescent="0.25">
      <c r="B186" t="s">
        <v>1089</v>
      </c>
      <c r="C186" t="s">
        <v>4</v>
      </c>
      <c r="D186">
        <v>0</v>
      </c>
      <c r="E186" t="s">
        <v>5</v>
      </c>
      <c r="F186">
        <v>1</v>
      </c>
      <c r="G186" t="s">
        <v>189</v>
      </c>
      <c r="H186">
        <v>200</v>
      </c>
      <c r="I186" t="s">
        <v>190</v>
      </c>
      <c r="J186">
        <v>1000000</v>
      </c>
      <c r="K186" t="s">
        <v>191</v>
      </c>
      <c r="L186">
        <v>12345</v>
      </c>
      <c r="M186" t="s">
        <v>192</v>
      </c>
      <c r="N186">
        <v>1E-3</v>
      </c>
      <c r="O186" t="s">
        <v>3</v>
      </c>
      <c r="P186">
        <v>1</v>
      </c>
      <c r="Q186" t="s">
        <v>2</v>
      </c>
      <c r="R186">
        <v>0</v>
      </c>
      <c r="S186" t="s">
        <v>17</v>
      </c>
      <c r="T186">
        <v>6</v>
      </c>
      <c r="U186" t="s">
        <v>0</v>
      </c>
      <c r="V186">
        <v>0.2</v>
      </c>
      <c r="W186" t="s">
        <v>152</v>
      </c>
      <c r="X186">
        <v>1</v>
      </c>
      <c r="Y186" t="s">
        <v>153</v>
      </c>
      <c r="Z186">
        <v>2</v>
      </c>
      <c r="AA186" t="s">
        <v>151</v>
      </c>
      <c r="AB186">
        <v>207</v>
      </c>
      <c r="AC186" t="s">
        <v>1</v>
      </c>
      <c r="AD186" t="s">
        <v>1090</v>
      </c>
      <c r="AE186" t="s">
        <v>838</v>
      </c>
      <c r="AF186" t="s">
        <v>578</v>
      </c>
      <c r="AG186" t="s">
        <v>572</v>
      </c>
      <c r="AH186">
        <v>1</v>
      </c>
    </row>
    <row r="187" spans="1:36" x14ac:dyDescent="0.25">
      <c r="B187" t="s">
        <v>1091</v>
      </c>
      <c r="C187" t="s">
        <v>4</v>
      </c>
      <c r="D187">
        <v>0</v>
      </c>
      <c r="E187" t="s">
        <v>5</v>
      </c>
      <c r="F187">
        <v>1</v>
      </c>
      <c r="G187" t="s">
        <v>189</v>
      </c>
      <c r="H187">
        <v>200</v>
      </c>
      <c r="I187" t="s">
        <v>190</v>
      </c>
      <c r="J187">
        <v>1000000</v>
      </c>
      <c r="K187" t="s">
        <v>191</v>
      </c>
      <c r="L187">
        <v>12345</v>
      </c>
      <c r="M187" t="s">
        <v>192</v>
      </c>
      <c r="N187">
        <v>1E-3</v>
      </c>
      <c r="O187" t="s">
        <v>3</v>
      </c>
      <c r="P187">
        <v>1</v>
      </c>
      <c r="Q187" t="s">
        <v>2</v>
      </c>
      <c r="R187">
        <v>0</v>
      </c>
      <c r="S187" t="s">
        <v>17</v>
      </c>
      <c r="T187">
        <v>4</v>
      </c>
      <c r="U187" t="s">
        <v>0</v>
      </c>
      <c r="V187">
        <v>0.1</v>
      </c>
      <c r="W187" t="s">
        <v>152</v>
      </c>
      <c r="X187">
        <v>1</v>
      </c>
      <c r="Y187" t="s">
        <v>153</v>
      </c>
      <c r="Z187">
        <v>2</v>
      </c>
      <c r="AA187" t="s">
        <v>151</v>
      </c>
      <c r="AB187">
        <v>141</v>
      </c>
      <c r="AC187" t="s">
        <v>1</v>
      </c>
      <c r="AD187" t="s">
        <v>1092</v>
      </c>
      <c r="AE187" t="s">
        <v>838</v>
      </c>
      <c r="AF187" t="s">
        <v>1093</v>
      </c>
    </row>
    <row r="188" spans="1:36" x14ac:dyDescent="0.25">
      <c r="B188" t="s">
        <v>1094</v>
      </c>
      <c r="C188" t="s">
        <v>4</v>
      </c>
      <c r="D188">
        <v>0</v>
      </c>
      <c r="E188" t="s">
        <v>5</v>
      </c>
      <c r="F188">
        <v>1</v>
      </c>
      <c r="G188" t="s">
        <v>189</v>
      </c>
      <c r="H188">
        <v>200</v>
      </c>
      <c r="I188" t="s">
        <v>190</v>
      </c>
      <c r="J188">
        <v>1000000</v>
      </c>
      <c r="K188" t="s">
        <v>191</v>
      </c>
      <c r="L188">
        <v>12345</v>
      </c>
      <c r="M188" t="s">
        <v>192</v>
      </c>
      <c r="N188">
        <v>1E-3</v>
      </c>
      <c r="O188" t="s">
        <v>3</v>
      </c>
      <c r="P188">
        <v>1</v>
      </c>
      <c r="Q188" t="s">
        <v>2</v>
      </c>
      <c r="R188">
        <v>0</v>
      </c>
      <c r="S188" t="s">
        <v>17</v>
      </c>
      <c r="T188">
        <v>6</v>
      </c>
      <c r="U188" t="s">
        <v>0</v>
      </c>
      <c r="V188">
        <v>0.3</v>
      </c>
      <c r="W188" t="s">
        <v>152</v>
      </c>
      <c r="X188">
        <v>1</v>
      </c>
      <c r="Y188" t="s">
        <v>153</v>
      </c>
      <c r="Z188">
        <v>2</v>
      </c>
      <c r="AA188" t="s">
        <v>151</v>
      </c>
      <c r="AB188">
        <v>206</v>
      </c>
      <c r="AC188" t="s">
        <v>1</v>
      </c>
      <c r="AD188" t="e" cm="1">
        <f t="array" ref="AD188">-1+(1*x0)</f>
        <v>#NAME?</v>
      </c>
      <c r="AE188" t="s">
        <v>838</v>
      </c>
      <c r="AF188" t="s">
        <v>578</v>
      </c>
      <c r="AG188" t="s">
        <v>569</v>
      </c>
      <c r="AH188">
        <v>1</v>
      </c>
    </row>
    <row r="189" spans="1:36" x14ac:dyDescent="0.25">
      <c r="B189" t="s">
        <v>1095</v>
      </c>
      <c r="C189" t="s">
        <v>4</v>
      </c>
      <c r="D189">
        <v>0</v>
      </c>
      <c r="E189" t="s">
        <v>5</v>
      </c>
      <c r="F189">
        <v>1</v>
      </c>
      <c r="G189" t="s">
        <v>189</v>
      </c>
      <c r="H189">
        <v>200</v>
      </c>
      <c r="I189" t="s">
        <v>190</v>
      </c>
      <c r="J189">
        <v>1000000</v>
      </c>
      <c r="K189" t="s">
        <v>191</v>
      </c>
      <c r="L189">
        <v>12345</v>
      </c>
      <c r="M189" t="s">
        <v>192</v>
      </c>
      <c r="N189">
        <v>1E-3</v>
      </c>
      <c r="O189" t="s">
        <v>3</v>
      </c>
      <c r="P189">
        <v>1</v>
      </c>
      <c r="Q189" t="s">
        <v>2</v>
      </c>
      <c r="R189">
        <v>0</v>
      </c>
      <c r="S189" t="s">
        <v>17</v>
      </c>
      <c r="T189">
        <v>7</v>
      </c>
      <c r="U189" t="s">
        <v>0</v>
      </c>
      <c r="V189">
        <v>0.4</v>
      </c>
      <c r="W189" t="s">
        <v>152</v>
      </c>
      <c r="X189">
        <v>1</v>
      </c>
      <c r="Y189" t="s">
        <v>153</v>
      </c>
      <c r="Z189">
        <v>2</v>
      </c>
      <c r="AA189" t="s">
        <v>151</v>
      </c>
      <c r="AB189">
        <v>304</v>
      </c>
      <c r="AC189" t="s">
        <v>1</v>
      </c>
      <c r="AD189" t="s">
        <v>1096</v>
      </c>
      <c r="AE189" t="s">
        <v>838</v>
      </c>
      <c r="AF189" t="s">
        <v>1097</v>
      </c>
      <c r="AG189" t="s">
        <v>572</v>
      </c>
      <c r="AH189">
        <v>1</v>
      </c>
    </row>
    <row r="190" spans="1:36" x14ac:dyDescent="0.25">
      <c r="B190" t="s">
        <v>1098</v>
      </c>
      <c r="C190" t="s">
        <v>4</v>
      </c>
      <c r="D190">
        <v>0</v>
      </c>
      <c r="E190" t="s">
        <v>5</v>
      </c>
      <c r="F190">
        <v>1</v>
      </c>
      <c r="G190" t="s">
        <v>189</v>
      </c>
      <c r="H190">
        <v>200</v>
      </c>
      <c r="I190" t="s">
        <v>190</v>
      </c>
      <c r="J190">
        <v>1000000</v>
      </c>
      <c r="K190" t="s">
        <v>191</v>
      </c>
      <c r="L190">
        <v>12345</v>
      </c>
      <c r="M190" t="s">
        <v>192</v>
      </c>
      <c r="N190">
        <v>1E-3</v>
      </c>
      <c r="O190" t="s">
        <v>3</v>
      </c>
      <c r="P190">
        <v>1</v>
      </c>
      <c r="Q190" t="s">
        <v>2</v>
      </c>
      <c r="R190">
        <v>0</v>
      </c>
      <c r="S190" t="s">
        <v>17</v>
      </c>
      <c r="T190">
        <v>9</v>
      </c>
      <c r="U190" t="s">
        <v>0</v>
      </c>
      <c r="V190">
        <v>0.5</v>
      </c>
      <c r="W190" t="s">
        <v>152</v>
      </c>
      <c r="X190">
        <v>1</v>
      </c>
      <c r="Y190" t="s">
        <v>153</v>
      </c>
      <c r="Z190">
        <v>2</v>
      </c>
      <c r="AA190" t="s">
        <v>151</v>
      </c>
      <c r="AB190">
        <v>383</v>
      </c>
      <c r="AC190" t="s">
        <v>1</v>
      </c>
      <c r="AD190" t="s">
        <v>1099</v>
      </c>
      <c r="AE190" t="s">
        <v>838</v>
      </c>
      <c r="AF190" t="s">
        <v>1100</v>
      </c>
      <c r="AG190" t="s">
        <v>572</v>
      </c>
      <c r="AH190">
        <v>3.1415926535898002</v>
      </c>
    </row>
    <row r="191" spans="1:36" x14ac:dyDescent="0.25">
      <c r="B191" t="s">
        <v>1101</v>
      </c>
      <c r="C191" t="s">
        <v>4</v>
      </c>
      <c r="D191">
        <v>0</v>
      </c>
      <c r="E191" t="s">
        <v>5</v>
      </c>
      <c r="F191">
        <v>1</v>
      </c>
      <c r="G191" t="s">
        <v>189</v>
      </c>
      <c r="H191">
        <v>200</v>
      </c>
      <c r="I191" t="s">
        <v>190</v>
      </c>
      <c r="J191">
        <v>1000000</v>
      </c>
      <c r="K191" t="s">
        <v>191</v>
      </c>
      <c r="L191">
        <v>12345</v>
      </c>
      <c r="M191" t="s">
        <v>192</v>
      </c>
      <c r="N191">
        <v>1E-3</v>
      </c>
      <c r="O191" t="s">
        <v>3</v>
      </c>
      <c r="P191">
        <v>1</v>
      </c>
      <c r="Q191" t="s">
        <v>2</v>
      </c>
      <c r="R191">
        <v>0</v>
      </c>
      <c r="S191" t="s">
        <v>17</v>
      </c>
      <c r="T191">
        <v>7</v>
      </c>
      <c r="U191" t="s">
        <v>0</v>
      </c>
      <c r="V191">
        <v>0.5</v>
      </c>
      <c r="W191" t="s">
        <v>152</v>
      </c>
      <c r="X191">
        <v>1</v>
      </c>
      <c r="Y191" t="s">
        <v>153</v>
      </c>
      <c r="Z191">
        <v>2</v>
      </c>
      <c r="AA191" t="s">
        <v>151</v>
      </c>
      <c r="AB191">
        <v>323</v>
      </c>
      <c r="AC191" t="s">
        <v>1</v>
      </c>
      <c r="AD191" t="s">
        <v>1102</v>
      </c>
      <c r="AE191" t="s">
        <v>838</v>
      </c>
      <c r="AF191" t="s">
        <v>1103</v>
      </c>
    </row>
    <row r="192" spans="1:36" x14ac:dyDescent="0.25">
      <c r="B192" t="s">
        <v>1104</v>
      </c>
      <c r="C192" t="s">
        <v>4</v>
      </c>
      <c r="D192">
        <v>0</v>
      </c>
      <c r="E192" t="s">
        <v>5</v>
      </c>
      <c r="F192">
        <v>1</v>
      </c>
      <c r="G192" t="s">
        <v>189</v>
      </c>
      <c r="H192">
        <v>200</v>
      </c>
      <c r="I192" t="s">
        <v>190</v>
      </c>
      <c r="J192">
        <v>1000000</v>
      </c>
      <c r="K192" t="s">
        <v>191</v>
      </c>
      <c r="L192">
        <v>12345</v>
      </c>
      <c r="M192" t="s">
        <v>192</v>
      </c>
      <c r="N192">
        <v>1E-3</v>
      </c>
      <c r="O192" t="s">
        <v>3</v>
      </c>
      <c r="P192">
        <v>1</v>
      </c>
      <c r="Q192" t="s">
        <v>2</v>
      </c>
      <c r="R192">
        <v>0</v>
      </c>
      <c r="S192" t="s">
        <v>17</v>
      </c>
      <c r="T192">
        <v>9</v>
      </c>
      <c r="U192" t="s">
        <v>0</v>
      </c>
      <c r="V192">
        <v>0.5</v>
      </c>
      <c r="W192" t="s">
        <v>152</v>
      </c>
      <c r="X192">
        <v>1</v>
      </c>
      <c r="Y192" t="s">
        <v>153</v>
      </c>
      <c r="Z192">
        <v>2</v>
      </c>
      <c r="AA192" t="s">
        <v>151</v>
      </c>
      <c r="AB192">
        <v>390</v>
      </c>
      <c r="AC192" t="s">
        <v>1</v>
      </c>
      <c r="AD192" t="s">
        <v>1105</v>
      </c>
      <c r="AE192" t="s">
        <v>838</v>
      </c>
      <c r="AF192" t="s">
        <v>1100</v>
      </c>
      <c r="AG192" t="s">
        <v>572</v>
      </c>
      <c r="AH192">
        <v>2</v>
      </c>
    </row>
    <row r="193" spans="2:36" x14ac:dyDescent="0.25">
      <c r="B193" t="s">
        <v>1106</v>
      </c>
      <c r="C193" t="s">
        <v>4</v>
      </c>
      <c r="D193">
        <v>3.9770000000000002E-4</v>
      </c>
      <c r="E193" t="s">
        <v>5</v>
      </c>
      <c r="F193">
        <v>0.99983160000000004</v>
      </c>
      <c r="G193" t="s">
        <v>189</v>
      </c>
      <c r="H193">
        <v>200</v>
      </c>
      <c r="I193" t="s">
        <v>190</v>
      </c>
      <c r="J193">
        <v>1000000</v>
      </c>
      <c r="K193" t="s">
        <v>191</v>
      </c>
      <c r="L193">
        <v>12345</v>
      </c>
      <c r="M193" t="s">
        <v>192</v>
      </c>
      <c r="N193">
        <v>1E-3</v>
      </c>
      <c r="O193" t="s">
        <v>3</v>
      </c>
      <c r="P193">
        <v>0.99983239999999995</v>
      </c>
      <c r="Q193" t="s">
        <v>2</v>
      </c>
      <c r="R193">
        <v>3.9159999999999998E-4</v>
      </c>
      <c r="S193" t="s">
        <v>17</v>
      </c>
      <c r="T193">
        <v>6</v>
      </c>
      <c r="U193" t="s">
        <v>0</v>
      </c>
      <c r="V193">
        <v>200.1</v>
      </c>
      <c r="W193" t="s">
        <v>152</v>
      </c>
      <c r="X193">
        <v>695</v>
      </c>
      <c r="Y193" t="s">
        <v>153</v>
      </c>
      <c r="Z193">
        <v>90</v>
      </c>
      <c r="AA193" t="s">
        <v>151</v>
      </c>
      <c r="AB193">
        <v>19417</v>
      </c>
      <c r="AC193" t="s">
        <v>1</v>
      </c>
      <c r="AD193" t="s">
        <v>1107</v>
      </c>
      <c r="AE193" t="s">
        <v>838</v>
      </c>
      <c r="AF193" t="s">
        <v>1108</v>
      </c>
      <c r="AG193" t="s">
        <v>572</v>
      </c>
      <c r="AH193">
        <v>0.99912708475290002</v>
      </c>
    </row>
    <row r="194" spans="2:36" x14ac:dyDescent="0.25">
      <c r="B194" t="s">
        <v>1109</v>
      </c>
      <c r="C194" t="s">
        <v>4</v>
      </c>
      <c r="D194">
        <v>0</v>
      </c>
      <c r="E194" t="s">
        <v>5</v>
      </c>
      <c r="F194">
        <v>1</v>
      </c>
      <c r="G194" t="s">
        <v>189</v>
      </c>
      <c r="H194">
        <v>200</v>
      </c>
      <c r="I194" t="s">
        <v>190</v>
      </c>
      <c r="J194">
        <v>1000000</v>
      </c>
      <c r="K194" t="s">
        <v>191</v>
      </c>
      <c r="L194">
        <v>12345</v>
      </c>
      <c r="M194" t="s">
        <v>192</v>
      </c>
      <c r="N194">
        <v>1E-3</v>
      </c>
      <c r="O194" t="s">
        <v>3</v>
      </c>
      <c r="P194">
        <v>1</v>
      </c>
      <c r="Q194" t="s">
        <v>2</v>
      </c>
      <c r="R194">
        <v>0</v>
      </c>
      <c r="S194" t="s">
        <v>17</v>
      </c>
      <c r="T194">
        <v>11</v>
      </c>
      <c r="U194" t="s">
        <v>0</v>
      </c>
      <c r="V194">
        <v>98.5</v>
      </c>
      <c r="W194" t="s">
        <v>152</v>
      </c>
      <c r="X194">
        <v>2</v>
      </c>
      <c r="Y194" t="s">
        <v>153</v>
      </c>
      <c r="Z194">
        <v>102</v>
      </c>
      <c r="AA194" t="s">
        <v>151</v>
      </c>
      <c r="AB194">
        <v>59380</v>
      </c>
      <c r="AC194" t="s">
        <v>1</v>
      </c>
      <c r="AD194" t="s">
        <v>1110</v>
      </c>
      <c r="AE194" t="s">
        <v>838</v>
      </c>
      <c r="AF194" t="s">
        <v>1111</v>
      </c>
      <c r="AG194" t="s">
        <v>572</v>
      </c>
      <c r="AH194" t="s">
        <v>1112</v>
      </c>
    </row>
    <row r="195" spans="2:36" x14ac:dyDescent="0.25">
      <c r="B195" t="s">
        <v>1113</v>
      </c>
      <c r="C195" t="s">
        <v>4</v>
      </c>
      <c r="D195">
        <v>0</v>
      </c>
      <c r="E195" t="s">
        <v>5</v>
      </c>
      <c r="F195">
        <v>1</v>
      </c>
      <c r="G195" t="s">
        <v>189</v>
      </c>
      <c r="H195">
        <v>200</v>
      </c>
      <c r="I195" t="s">
        <v>190</v>
      </c>
      <c r="J195">
        <v>1000000</v>
      </c>
      <c r="K195" t="s">
        <v>191</v>
      </c>
      <c r="L195">
        <v>12345</v>
      </c>
      <c r="M195" t="s">
        <v>192</v>
      </c>
      <c r="N195">
        <v>1E-3</v>
      </c>
      <c r="O195" t="s">
        <v>3</v>
      </c>
      <c r="P195">
        <v>1</v>
      </c>
      <c r="Q195" t="s">
        <v>2</v>
      </c>
      <c r="R195">
        <v>0</v>
      </c>
      <c r="S195" t="s">
        <v>17</v>
      </c>
      <c r="T195">
        <v>7</v>
      </c>
      <c r="U195" t="s">
        <v>0</v>
      </c>
      <c r="V195">
        <v>10.6</v>
      </c>
      <c r="W195" t="s">
        <v>152</v>
      </c>
      <c r="X195">
        <v>2</v>
      </c>
      <c r="Y195" t="s">
        <v>153</v>
      </c>
      <c r="Z195">
        <v>10</v>
      </c>
      <c r="AA195" t="s">
        <v>151</v>
      </c>
      <c r="AB195">
        <v>5412</v>
      </c>
      <c r="AC195" t="s">
        <v>1</v>
      </c>
      <c r="AD195" t="s">
        <v>1114</v>
      </c>
      <c r="AE195" t="s">
        <v>838</v>
      </c>
      <c r="AF195" t="s">
        <v>1115</v>
      </c>
      <c r="AG195" t="s">
        <v>572</v>
      </c>
      <c r="AH195" t="s">
        <v>761</v>
      </c>
    </row>
    <row r="196" spans="2:36" x14ac:dyDescent="0.25">
      <c r="B196" t="s">
        <v>1116</v>
      </c>
      <c r="C196" t="s">
        <v>4</v>
      </c>
      <c r="D196">
        <v>0</v>
      </c>
      <c r="E196" t="s">
        <v>5</v>
      </c>
      <c r="F196">
        <v>1</v>
      </c>
      <c r="G196" t="s">
        <v>189</v>
      </c>
      <c r="H196">
        <v>200</v>
      </c>
      <c r="I196" t="s">
        <v>190</v>
      </c>
      <c r="J196">
        <v>1000000</v>
      </c>
      <c r="K196" t="s">
        <v>191</v>
      </c>
      <c r="L196">
        <v>12345</v>
      </c>
      <c r="M196" t="s">
        <v>192</v>
      </c>
      <c r="N196">
        <v>1E-3</v>
      </c>
      <c r="O196" t="s">
        <v>3</v>
      </c>
      <c r="P196">
        <v>1</v>
      </c>
      <c r="Q196" t="s">
        <v>2</v>
      </c>
      <c r="R196">
        <v>0</v>
      </c>
      <c r="S196" t="s">
        <v>17</v>
      </c>
      <c r="T196">
        <v>9</v>
      </c>
      <c r="U196" t="s">
        <v>0</v>
      </c>
      <c r="V196">
        <v>0.8</v>
      </c>
      <c r="W196" t="s">
        <v>152</v>
      </c>
      <c r="X196">
        <v>1</v>
      </c>
      <c r="Y196" t="s">
        <v>153</v>
      </c>
      <c r="Z196">
        <v>3</v>
      </c>
      <c r="AA196" t="s">
        <v>151</v>
      </c>
      <c r="AB196">
        <v>488</v>
      </c>
      <c r="AC196" t="s">
        <v>1</v>
      </c>
      <c r="AD196" t="s">
        <v>1117</v>
      </c>
      <c r="AE196" t="s">
        <v>838</v>
      </c>
      <c r="AF196" t="s">
        <v>610</v>
      </c>
      <c r="AG196" t="s">
        <v>572</v>
      </c>
      <c r="AH196" t="s">
        <v>1097</v>
      </c>
    </row>
    <row r="197" spans="2:36" x14ac:dyDescent="0.25">
      <c r="B197" t="s">
        <v>1118</v>
      </c>
      <c r="C197" t="s">
        <v>4</v>
      </c>
      <c r="D197">
        <v>0</v>
      </c>
      <c r="E197" t="s">
        <v>5</v>
      </c>
      <c r="F197">
        <v>1</v>
      </c>
      <c r="G197" t="s">
        <v>189</v>
      </c>
      <c r="H197">
        <v>200</v>
      </c>
      <c r="I197" t="s">
        <v>190</v>
      </c>
      <c r="J197">
        <v>1000000</v>
      </c>
      <c r="K197" t="s">
        <v>191</v>
      </c>
      <c r="L197">
        <v>12345</v>
      </c>
      <c r="M197" t="s">
        <v>192</v>
      </c>
      <c r="N197">
        <v>1E-3</v>
      </c>
      <c r="O197" t="s">
        <v>3</v>
      </c>
      <c r="P197">
        <v>1</v>
      </c>
      <c r="Q197" t="s">
        <v>2</v>
      </c>
      <c r="R197">
        <v>0</v>
      </c>
      <c r="S197" t="s">
        <v>17</v>
      </c>
      <c r="T197">
        <v>7</v>
      </c>
      <c r="U197" t="s">
        <v>0</v>
      </c>
      <c r="V197">
        <v>1.8</v>
      </c>
      <c r="W197" t="s">
        <v>152</v>
      </c>
      <c r="X197">
        <v>1</v>
      </c>
      <c r="Y197" t="s">
        <v>153</v>
      </c>
      <c r="Z197">
        <v>4</v>
      </c>
      <c r="AA197" t="s">
        <v>151</v>
      </c>
      <c r="AB197">
        <v>1181</v>
      </c>
      <c r="AC197" t="s">
        <v>1</v>
      </c>
      <c r="AD197" t="s">
        <v>1119</v>
      </c>
      <c r="AE197" t="s">
        <v>838</v>
      </c>
      <c r="AF197" t="s">
        <v>1120</v>
      </c>
    </row>
    <row r="198" spans="2:36" x14ac:dyDescent="0.25">
      <c r="B198" t="s">
        <v>1121</v>
      </c>
      <c r="C198" t="s">
        <v>4</v>
      </c>
      <c r="D198">
        <v>0</v>
      </c>
      <c r="E198" t="s">
        <v>5</v>
      </c>
      <c r="F198">
        <v>1</v>
      </c>
      <c r="G198" t="s">
        <v>189</v>
      </c>
      <c r="H198">
        <v>200</v>
      </c>
      <c r="I198" t="s">
        <v>190</v>
      </c>
      <c r="J198">
        <v>1000000</v>
      </c>
      <c r="K198" t="s">
        <v>191</v>
      </c>
      <c r="L198">
        <v>12345</v>
      </c>
      <c r="M198" t="s">
        <v>192</v>
      </c>
      <c r="N198">
        <v>1E-3</v>
      </c>
      <c r="O198" t="s">
        <v>3</v>
      </c>
      <c r="P198">
        <v>1</v>
      </c>
      <c r="Q198" t="s">
        <v>2</v>
      </c>
      <c r="R198">
        <v>0</v>
      </c>
      <c r="S198" t="s">
        <v>17</v>
      </c>
      <c r="T198">
        <v>7</v>
      </c>
      <c r="U198" t="s">
        <v>0</v>
      </c>
      <c r="V198">
        <v>9.5</v>
      </c>
      <c r="W198" t="s">
        <v>152</v>
      </c>
      <c r="X198">
        <v>3</v>
      </c>
      <c r="Y198" t="s">
        <v>153</v>
      </c>
      <c r="Z198">
        <v>12</v>
      </c>
      <c r="AA198" t="s">
        <v>151</v>
      </c>
      <c r="AB198">
        <v>5389</v>
      </c>
      <c r="AC198" t="s">
        <v>1</v>
      </c>
      <c r="AD198" t="s">
        <v>1122</v>
      </c>
      <c r="AE198" t="s">
        <v>838</v>
      </c>
      <c r="AF198" t="s">
        <v>1123</v>
      </c>
    </row>
    <row r="199" spans="2:36" x14ac:dyDescent="0.25">
      <c r="B199" t="s">
        <v>1124</v>
      </c>
      <c r="C199" t="s">
        <v>4</v>
      </c>
      <c r="D199">
        <v>0</v>
      </c>
      <c r="E199" t="s">
        <v>5</v>
      </c>
      <c r="F199">
        <v>1</v>
      </c>
      <c r="G199" t="s">
        <v>189</v>
      </c>
      <c r="H199">
        <v>200</v>
      </c>
      <c r="I199" t="s">
        <v>190</v>
      </c>
      <c r="J199">
        <v>1000000</v>
      </c>
      <c r="K199" t="s">
        <v>191</v>
      </c>
      <c r="L199">
        <v>12345</v>
      </c>
      <c r="M199" t="s">
        <v>192</v>
      </c>
      <c r="N199">
        <v>1E-3</v>
      </c>
      <c r="O199" t="s">
        <v>3</v>
      </c>
      <c r="P199">
        <v>1</v>
      </c>
      <c r="Q199" t="s">
        <v>2</v>
      </c>
      <c r="R199">
        <v>0</v>
      </c>
      <c r="S199" t="s">
        <v>17</v>
      </c>
      <c r="T199">
        <v>6</v>
      </c>
      <c r="U199" t="s">
        <v>0</v>
      </c>
      <c r="V199">
        <v>0.3</v>
      </c>
      <c r="W199" t="s">
        <v>152</v>
      </c>
      <c r="X199">
        <v>1</v>
      </c>
      <c r="Y199" t="s">
        <v>153</v>
      </c>
      <c r="Z199">
        <v>2</v>
      </c>
      <c r="AA199" t="s">
        <v>151</v>
      </c>
      <c r="AB199">
        <v>210</v>
      </c>
      <c r="AC199" t="s">
        <v>1</v>
      </c>
      <c r="AD199" t="s">
        <v>1125</v>
      </c>
      <c r="AE199" t="s">
        <v>838</v>
      </c>
      <c r="AF199" t="s">
        <v>1126</v>
      </c>
    </row>
    <row r="200" spans="2:36" x14ac:dyDescent="0.25">
      <c r="B200" t="s">
        <v>1127</v>
      </c>
      <c r="C200" t="s">
        <v>4</v>
      </c>
      <c r="D200">
        <v>0</v>
      </c>
      <c r="E200" t="s">
        <v>5</v>
      </c>
      <c r="F200">
        <v>1</v>
      </c>
      <c r="G200" t="s">
        <v>189</v>
      </c>
      <c r="H200">
        <v>200</v>
      </c>
      <c r="I200" t="s">
        <v>190</v>
      </c>
      <c r="J200">
        <v>1000000</v>
      </c>
      <c r="K200" t="s">
        <v>191</v>
      </c>
      <c r="L200">
        <v>12345</v>
      </c>
      <c r="M200" t="s">
        <v>192</v>
      </c>
      <c r="N200">
        <v>1E-3</v>
      </c>
      <c r="O200" t="s">
        <v>3</v>
      </c>
      <c r="P200">
        <v>1</v>
      </c>
      <c r="Q200" t="s">
        <v>2</v>
      </c>
      <c r="R200">
        <v>0</v>
      </c>
      <c r="S200" t="s">
        <v>17</v>
      </c>
      <c r="T200">
        <v>5</v>
      </c>
      <c r="U200" t="s">
        <v>0</v>
      </c>
      <c r="V200">
        <v>0.2</v>
      </c>
      <c r="W200" t="s">
        <v>152</v>
      </c>
      <c r="X200">
        <v>1</v>
      </c>
      <c r="Y200" t="s">
        <v>153</v>
      </c>
      <c r="Z200">
        <v>2</v>
      </c>
      <c r="AA200" t="s">
        <v>151</v>
      </c>
      <c r="AB200">
        <v>189</v>
      </c>
      <c r="AC200" t="s">
        <v>1</v>
      </c>
      <c r="AD200" t="s">
        <v>1128</v>
      </c>
      <c r="AE200" t="s">
        <v>838</v>
      </c>
      <c r="AF200" t="s">
        <v>1129</v>
      </c>
    </row>
    <row r="201" spans="2:36" x14ac:dyDescent="0.25">
      <c r="B201" t="s">
        <v>1130</v>
      </c>
      <c r="C201" t="s">
        <v>4</v>
      </c>
      <c r="D201">
        <v>0</v>
      </c>
      <c r="E201" t="s">
        <v>5</v>
      </c>
      <c r="F201">
        <v>1</v>
      </c>
      <c r="G201" t="s">
        <v>189</v>
      </c>
      <c r="H201">
        <v>200</v>
      </c>
      <c r="I201" t="s">
        <v>190</v>
      </c>
      <c r="J201">
        <v>1000000</v>
      </c>
      <c r="K201" t="s">
        <v>191</v>
      </c>
      <c r="L201">
        <v>12345</v>
      </c>
      <c r="M201" t="s">
        <v>192</v>
      </c>
      <c r="N201">
        <v>1E-3</v>
      </c>
      <c r="O201" t="s">
        <v>3</v>
      </c>
      <c r="P201">
        <v>1</v>
      </c>
      <c r="Q201" t="s">
        <v>2</v>
      </c>
      <c r="R201">
        <v>0</v>
      </c>
      <c r="S201" t="s">
        <v>17</v>
      </c>
      <c r="T201">
        <v>8</v>
      </c>
      <c r="U201" t="s">
        <v>0</v>
      </c>
      <c r="V201">
        <v>10.5</v>
      </c>
      <c r="W201" t="s">
        <v>152</v>
      </c>
      <c r="X201">
        <v>4</v>
      </c>
      <c r="Y201" t="s">
        <v>153</v>
      </c>
      <c r="Z201">
        <v>16</v>
      </c>
      <c r="AA201" t="s">
        <v>151</v>
      </c>
      <c r="AB201">
        <v>6053</v>
      </c>
      <c r="AC201" t="s">
        <v>1</v>
      </c>
      <c r="AD201" t="s">
        <v>1131</v>
      </c>
      <c r="AE201" t="s">
        <v>838</v>
      </c>
      <c r="AF201" t="s">
        <v>1132</v>
      </c>
    </row>
    <row r="202" spans="2:36" x14ac:dyDescent="0.25">
      <c r="B202" t="s">
        <v>1133</v>
      </c>
      <c r="C202" t="s">
        <v>4</v>
      </c>
      <c r="D202">
        <v>0</v>
      </c>
      <c r="E202" t="s">
        <v>5</v>
      </c>
      <c r="F202">
        <v>1</v>
      </c>
      <c r="G202" t="s">
        <v>189</v>
      </c>
      <c r="H202">
        <v>200</v>
      </c>
      <c r="I202" t="s">
        <v>190</v>
      </c>
      <c r="J202">
        <v>1000000</v>
      </c>
      <c r="K202" t="s">
        <v>191</v>
      </c>
      <c r="L202">
        <v>12345</v>
      </c>
      <c r="M202" t="s">
        <v>192</v>
      </c>
      <c r="N202">
        <v>1E-3</v>
      </c>
      <c r="O202" t="s">
        <v>3</v>
      </c>
      <c r="P202">
        <v>1</v>
      </c>
      <c r="Q202" t="s">
        <v>2</v>
      </c>
      <c r="R202">
        <v>0</v>
      </c>
      <c r="S202" t="s">
        <v>17</v>
      </c>
      <c r="T202">
        <v>5</v>
      </c>
      <c r="U202" t="s">
        <v>0</v>
      </c>
      <c r="V202">
        <v>0.3</v>
      </c>
      <c r="W202" t="s">
        <v>152</v>
      </c>
      <c r="X202">
        <v>1</v>
      </c>
      <c r="Y202" t="s">
        <v>153</v>
      </c>
      <c r="Z202">
        <v>2</v>
      </c>
      <c r="AA202" t="s">
        <v>151</v>
      </c>
      <c r="AB202">
        <v>189</v>
      </c>
      <c r="AC202" t="s">
        <v>1</v>
      </c>
      <c r="AD202" t="s">
        <v>1134</v>
      </c>
      <c r="AE202" t="s">
        <v>838</v>
      </c>
      <c r="AF202" t="e" cm="1">
        <f t="array" ref="AF202">-0.4161468365471*LOG(x0)</f>
        <v>#NAME?</v>
      </c>
    </row>
    <row r="203" spans="2:36" x14ac:dyDescent="0.25">
      <c r="B203" t="s">
        <v>1135</v>
      </c>
      <c r="C203" t="s">
        <v>4</v>
      </c>
      <c r="D203">
        <v>0</v>
      </c>
      <c r="E203" t="s">
        <v>5</v>
      </c>
      <c r="F203">
        <v>1</v>
      </c>
      <c r="G203" t="s">
        <v>189</v>
      </c>
      <c r="H203">
        <v>200</v>
      </c>
      <c r="I203" t="s">
        <v>190</v>
      </c>
      <c r="J203">
        <v>1000000</v>
      </c>
      <c r="K203" t="s">
        <v>191</v>
      </c>
      <c r="L203">
        <v>12345</v>
      </c>
      <c r="M203" t="s">
        <v>192</v>
      </c>
      <c r="N203">
        <v>1E-3</v>
      </c>
      <c r="O203" t="s">
        <v>3</v>
      </c>
      <c r="P203">
        <v>1</v>
      </c>
      <c r="Q203" t="s">
        <v>2</v>
      </c>
      <c r="R203">
        <v>0</v>
      </c>
      <c r="S203" t="s">
        <v>17</v>
      </c>
      <c r="T203">
        <v>8</v>
      </c>
      <c r="U203" t="s">
        <v>0</v>
      </c>
      <c r="V203">
        <v>43.3</v>
      </c>
      <c r="W203" t="s">
        <v>152</v>
      </c>
      <c r="X203">
        <v>6</v>
      </c>
      <c r="Y203" t="s">
        <v>153</v>
      </c>
      <c r="Z203">
        <v>125</v>
      </c>
      <c r="AA203" t="s">
        <v>151</v>
      </c>
      <c r="AB203">
        <v>31477</v>
      </c>
      <c r="AC203" t="s">
        <v>1</v>
      </c>
      <c r="AD203" t="s">
        <v>1136</v>
      </c>
      <c r="AE203" t="s">
        <v>838</v>
      </c>
      <c r="AF203" t="s">
        <v>1137</v>
      </c>
    </row>
    <row r="204" spans="2:36" x14ac:dyDescent="0.25">
      <c r="B204" t="s">
        <v>1138</v>
      </c>
      <c r="C204" t="s">
        <v>4</v>
      </c>
      <c r="D204">
        <v>0</v>
      </c>
      <c r="E204" t="s">
        <v>5</v>
      </c>
      <c r="F204">
        <v>1</v>
      </c>
      <c r="G204" t="s">
        <v>189</v>
      </c>
      <c r="H204">
        <v>200</v>
      </c>
      <c r="I204" t="s">
        <v>190</v>
      </c>
      <c r="J204">
        <v>1000000</v>
      </c>
      <c r="K204" t="s">
        <v>191</v>
      </c>
      <c r="L204">
        <v>12345</v>
      </c>
      <c r="M204" t="s">
        <v>192</v>
      </c>
      <c r="N204">
        <v>1E-3</v>
      </c>
      <c r="O204" t="s">
        <v>3</v>
      </c>
      <c r="P204">
        <v>1</v>
      </c>
      <c r="Q204" t="s">
        <v>2</v>
      </c>
      <c r="R204">
        <v>0</v>
      </c>
      <c r="S204" t="s">
        <v>17</v>
      </c>
      <c r="T204">
        <v>8</v>
      </c>
      <c r="U204" t="s">
        <v>0</v>
      </c>
      <c r="V204">
        <v>53</v>
      </c>
      <c r="W204" t="s">
        <v>152</v>
      </c>
      <c r="X204">
        <v>4</v>
      </c>
      <c r="Y204" t="s">
        <v>153</v>
      </c>
      <c r="Z204">
        <v>84</v>
      </c>
      <c r="AA204" t="s">
        <v>151</v>
      </c>
      <c r="AB204">
        <v>32172</v>
      </c>
      <c r="AC204" t="s">
        <v>1</v>
      </c>
      <c r="AD204" t="s">
        <v>1139</v>
      </c>
      <c r="AE204" t="s">
        <v>838</v>
      </c>
      <c r="AF204" t="s">
        <v>1140</v>
      </c>
    </row>
    <row r="205" spans="2:36" x14ac:dyDescent="0.25">
      <c r="B205" t="s">
        <v>1141</v>
      </c>
      <c r="C205" t="s">
        <v>4</v>
      </c>
      <c r="D205">
        <v>0</v>
      </c>
      <c r="E205" t="s">
        <v>5</v>
      </c>
      <c r="F205">
        <v>1</v>
      </c>
      <c r="G205" t="s">
        <v>189</v>
      </c>
      <c r="H205">
        <v>200</v>
      </c>
      <c r="I205" t="s">
        <v>190</v>
      </c>
      <c r="J205">
        <v>1000000</v>
      </c>
      <c r="K205" t="s">
        <v>191</v>
      </c>
      <c r="L205">
        <v>12345</v>
      </c>
      <c r="M205" t="s">
        <v>192</v>
      </c>
      <c r="N205">
        <v>1E-3</v>
      </c>
      <c r="O205" t="s">
        <v>3</v>
      </c>
      <c r="P205">
        <v>1</v>
      </c>
      <c r="Q205" t="s">
        <v>2</v>
      </c>
      <c r="R205">
        <v>0</v>
      </c>
      <c r="S205" t="s">
        <v>17</v>
      </c>
      <c r="T205">
        <v>8</v>
      </c>
      <c r="U205" t="s">
        <v>0</v>
      </c>
      <c r="V205">
        <v>2.5</v>
      </c>
      <c r="W205" t="s">
        <v>152</v>
      </c>
      <c r="X205">
        <v>1</v>
      </c>
      <c r="Y205" t="s">
        <v>153</v>
      </c>
      <c r="Z205">
        <v>5</v>
      </c>
      <c r="AA205" t="s">
        <v>151</v>
      </c>
      <c r="AB205">
        <v>1683</v>
      </c>
      <c r="AC205" t="s">
        <v>1</v>
      </c>
      <c r="AD205" t="s">
        <v>1142</v>
      </c>
      <c r="AE205" t="s">
        <v>838</v>
      </c>
      <c r="AF205" t="s">
        <v>1143</v>
      </c>
    </row>
    <row r="206" spans="2:36" x14ac:dyDescent="0.25">
      <c r="B206" t="s">
        <v>1144</v>
      </c>
      <c r="C206" t="s">
        <v>4</v>
      </c>
      <c r="D206">
        <v>0</v>
      </c>
      <c r="E206" t="s">
        <v>5</v>
      </c>
      <c r="F206">
        <v>1</v>
      </c>
      <c r="G206" t="s">
        <v>189</v>
      </c>
      <c r="H206">
        <v>200</v>
      </c>
      <c r="I206" t="s">
        <v>190</v>
      </c>
      <c r="J206">
        <v>1000000</v>
      </c>
      <c r="K206" t="s">
        <v>191</v>
      </c>
      <c r="L206">
        <v>12345</v>
      </c>
      <c r="M206" t="s">
        <v>192</v>
      </c>
      <c r="N206">
        <v>1E-3</v>
      </c>
      <c r="O206" t="s">
        <v>3</v>
      </c>
      <c r="P206">
        <v>1</v>
      </c>
      <c r="Q206" t="s">
        <v>2</v>
      </c>
      <c r="R206">
        <v>0</v>
      </c>
      <c r="S206" t="s">
        <v>17</v>
      </c>
      <c r="T206">
        <v>12</v>
      </c>
      <c r="U206" t="s">
        <v>0</v>
      </c>
      <c r="V206">
        <v>2.6</v>
      </c>
      <c r="W206" t="s">
        <v>152</v>
      </c>
      <c r="X206">
        <v>1</v>
      </c>
      <c r="Y206" t="s">
        <v>153</v>
      </c>
      <c r="Z206">
        <v>6</v>
      </c>
      <c r="AA206" t="s">
        <v>151</v>
      </c>
      <c r="AB206">
        <v>1725</v>
      </c>
      <c r="AC206" t="s">
        <v>1</v>
      </c>
      <c r="AD206" t="s">
        <v>1145</v>
      </c>
      <c r="AE206" t="s">
        <v>838</v>
      </c>
      <c r="AF206" t="s">
        <v>1097</v>
      </c>
      <c r="AG206" t="s">
        <v>572</v>
      </c>
      <c r="AH206" t="s">
        <v>1146</v>
      </c>
      <c r="AI206" t="s">
        <v>572</v>
      </c>
      <c r="AJ206" s="7">
        <v>1E-13</v>
      </c>
    </row>
    <row r="207" spans="2:36" x14ac:dyDescent="0.25">
      <c r="B207" t="s">
        <v>1147</v>
      </c>
      <c r="C207" t="s">
        <v>4</v>
      </c>
      <c r="D207">
        <v>0</v>
      </c>
      <c r="E207" t="s">
        <v>5</v>
      </c>
      <c r="F207">
        <v>1</v>
      </c>
      <c r="G207" t="s">
        <v>189</v>
      </c>
      <c r="H207">
        <v>200</v>
      </c>
      <c r="I207" t="s">
        <v>190</v>
      </c>
      <c r="J207">
        <v>1000000</v>
      </c>
      <c r="K207" t="s">
        <v>191</v>
      </c>
      <c r="L207">
        <v>12345</v>
      </c>
      <c r="M207" t="s">
        <v>192</v>
      </c>
      <c r="N207">
        <v>1E-3</v>
      </c>
      <c r="O207" t="s">
        <v>3</v>
      </c>
      <c r="P207">
        <v>1</v>
      </c>
      <c r="Q207" t="s">
        <v>2</v>
      </c>
      <c r="R207">
        <v>0</v>
      </c>
      <c r="S207" t="s">
        <v>17</v>
      </c>
      <c r="T207">
        <v>13</v>
      </c>
      <c r="U207" t="s">
        <v>0</v>
      </c>
      <c r="V207">
        <v>2.7</v>
      </c>
      <c r="W207" t="s">
        <v>152</v>
      </c>
      <c r="X207">
        <v>2</v>
      </c>
      <c r="Y207" t="s">
        <v>153</v>
      </c>
      <c r="Z207">
        <v>6</v>
      </c>
      <c r="AA207" t="s">
        <v>151</v>
      </c>
      <c r="AB207">
        <v>1715</v>
      </c>
      <c r="AC207" t="s">
        <v>1</v>
      </c>
      <c r="AD207" t="s">
        <v>1148</v>
      </c>
      <c r="AE207" t="s">
        <v>838</v>
      </c>
      <c r="AF207" t="s">
        <v>1097</v>
      </c>
      <c r="AG207" t="s">
        <v>572</v>
      </c>
      <c r="AH207" t="s">
        <v>1149</v>
      </c>
    </row>
    <row r="208" spans="2:36" x14ac:dyDescent="0.25">
      <c r="B208" t="s">
        <v>1150</v>
      </c>
      <c r="C208" t="s">
        <v>4</v>
      </c>
      <c r="D208">
        <v>0</v>
      </c>
      <c r="E208" t="s">
        <v>5</v>
      </c>
      <c r="F208">
        <v>1</v>
      </c>
      <c r="G208" t="s">
        <v>189</v>
      </c>
      <c r="H208">
        <v>200</v>
      </c>
      <c r="I208" t="s">
        <v>190</v>
      </c>
      <c r="J208">
        <v>1000000</v>
      </c>
      <c r="K208" t="s">
        <v>191</v>
      </c>
      <c r="L208">
        <v>12345</v>
      </c>
      <c r="M208" t="s">
        <v>192</v>
      </c>
      <c r="N208">
        <v>1E-3</v>
      </c>
      <c r="O208" t="s">
        <v>3</v>
      </c>
      <c r="P208">
        <v>1</v>
      </c>
      <c r="Q208" t="s">
        <v>2</v>
      </c>
      <c r="R208">
        <v>0</v>
      </c>
      <c r="S208" t="s">
        <v>17</v>
      </c>
      <c r="T208">
        <v>10</v>
      </c>
      <c r="U208" t="s">
        <v>0</v>
      </c>
      <c r="V208">
        <v>2.5</v>
      </c>
      <c r="W208" t="s">
        <v>152</v>
      </c>
      <c r="X208">
        <v>1</v>
      </c>
      <c r="Y208" t="s">
        <v>153</v>
      </c>
      <c r="Z208">
        <v>6</v>
      </c>
      <c r="AA208" t="s">
        <v>151</v>
      </c>
      <c r="AB208">
        <v>1738</v>
      </c>
      <c r="AC208" t="s">
        <v>1</v>
      </c>
      <c r="AD208" t="s">
        <v>1151</v>
      </c>
      <c r="AE208" t="s">
        <v>838</v>
      </c>
      <c r="AF208" t="s">
        <v>1152</v>
      </c>
      <c r="AG208" t="s">
        <v>572</v>
      </c>
      <c r="AH208" t="s">
        <v>570</v>
      </c>
    </row>
    <row r="209" spans="2:44" x14ac:dyDescent="0.25">
      <c r="B209" t="s">
        <v>1153</v>
      </c>
      <c r="C209" t="s">
        <v>4</v>
      </c>
      <c r="D209">
        <v>1.0973999999999999E-3</v>
      </c>
      <c r="E209" t="s">
        <v>5</v>
      </c>
      <c r="F209">
        <v>0.999915</v>
      </c>
      <c r="G209" t="s">
        <v>189</v>
      </c>
      <c r="H209">
        <v>200</v>
      </c>
      <c r="I209" t="s">
        <v>190</v>
      </c>
      <c r="J209">
        <v>1000000</v>
      </c>
      <c r="K209" t="s">
        <v>191</v>
      </c>
      <c r="L209">
        <v>12345</v>
      </c>
      <c r="M209" t="s">
        <v>192</v>
      </c>
      <c r="N209">
        <v>1E-3</v>
      </c>
      <c r="O209" t="s">
        <v>3</v>
      </c>
      <c r="P209">
        <v>0.99991680000000005</v>
      </c>
      <c r="Q209" t="s">
        <v>2</v>
      </c>
      <c r="R209">
        <v>1.0876E-3</v>
      </c>
      <c r="S209" t="s">
        <v>17</v>
      </c>
      <c r="T209">
        <v>8</v>
      </c>
      <c r="U209" t="s">
        <v>0</v>
      </c>
      <c r="V209">
        <v>200.2</v>
      </c>
      <c r="W209" t="s">
        <v>152</v>
      </c>
      <c r="X209">
        <v>20</v>
      </c>
      <c r="Y209" t="s">
        <v>153</v>
      </c>
      <c r="Z209">
        <v>572</v>
      </c>
      <c r="AA209" t="s">
        <v>151</v>
      </c>
      <c r="AB209">
        <v>130469</v>
      </c>
      <c r="AC209" t="s">
        <v>1</v>
      </c>
      <c r="AD209" t="s">
        <v>1154</v>
      </c>
      <c r="AE209" t="s">
        <v>838</v>
      </c>
      <c r="AF209">
        <v>0.31153332098679998</v>
      </c>
      <c r="AG209" t="s">
        <v>569</v>
      </c>
      <c r="AH209" t="s">
        <v>1155</v>
      </c>
    </row>
    <row r="210" spans="2:44" x14ac:dyDescent="0.25">
      <c r="B210" t="s">
        <v>1156</v>
      </c>
      <c r="C210" t="s">
        <v>4</v>
      </c>
      <c r="D210">
        <v>2.6817E-3</v>
      </c>
      <c r="E210" t="s">
        <v>5</v>
      </c>
      <c r="F210">
        <v>0.99994490000000003</v>
      </c>
      <c r="G210" t="s">
        <v>189</v>
      </c>
      <c r="H210">
        <v>200</v>
      </c>
      <c r="I210" t="s">
        <v>190</v>
      </c>
      <c r="J210">
        <v>1000000</v>
      </c>
      <c r="K210" t="s">
        <v>191</v>
      </c>
      <c r="L210">
        <v>12345</v>
      </c>
      <c r="M210" t="s">
        <v>192</v>
      </c>
      <c r="N210">
        <v>1E-3</v>
      </c>
      <c r="O210" t="s">
        <v>3</v>
      </c>
      <c r="P210">
        <v>0.9999439</v>
      </c>
      <c r="Q210" t="s">
        <v>2</v>
      </c>
      <c r="R210">
        <v>2.6511E-3</v>
      </c>
      <c r="S210" t="s">
        <v>17</v>
      </c>
      <c r="T210">
        <v>12</v>
      </c>
      <c r="U210" t="s">
        <v>0</v>
      </c>
      <c r="V210">
        <v>200</v>
      </c>
      <c r="W210" t="s">
        <v>152</v>
      </c>
      <c r="X210">
        <v>8</v>
      </c>
      <c r="Y210" t="s">
        <v>153</v>
      </c>
      <c r="Z210">
        <v>511</v>
      </c>
      <c r="AA210" t="s">
        <v>151</v>
      </c>
      <c r="AB210">
        <v>133766</v>
      </c>
      <c r="AC210" t="s">
        <v>1</v>
      </c>
      <c r="AD210" t="s">
        <v>1157</v>
      </c>
      <c r="AE210" t="s">
        <v>838</v>
      </c>
      <c r="AF210" t="s">
        <v>1158</v>
      </c>
      <c r="AG210" t="s">
        <v>572</v>
      </c>
      <c r="AH210" t="s">
        <v>1159</v>
      </c>
      <c r="AI210" t="s">
        <v>572</v>
      </c>
      <c r="AJ210">
        <v>1.018716194115</v>
      </c>
    </row>
    <row r="211" spans="2:44" x14ac:dyDescent="0.25">
      <c r="B211" t="s">
        <v>1160</v>
      </c>
      <c r="C211" t="s">
        <v>4</v>
      </c>
      <c r="D211">
        <v>0</v>
      </c>
      <c r="E211" t="s">
        <v>5</v>
      </c>
      <c r="F211">
        <v>1</v>
      </c>
      <c r="G211" t="s">
        <v>189</v>
      </c>
      <c r="H211">
        <v>200</v>
      </c>
      <c r="I211" t="s">
        <v>190</v>
      </c>
      <c r="J211">
        <v>1000000</v>
      </c>
      <c r="K211" t="s">
        <v>191</v>
      </c>
      <c r="L211">
        <v>12345</v>
      </c>
      <c r="M211" t="s">
        <v>192</v>
      </c>
      <c r="N211">
        <v>1E-3</v>
      </c>
      <c r="O211" t="s">
        <v>3</v>
      </c>
      <c r="P211">
        <v>1</v>
      </c>
      <c r="Q211" t="s">
        <v>2</v>
      </c>
      <c r="R211">
        <v>0</v>
      </c>
      <c r="S211" t="s">
        <v>17</v>
      </c>
      <c r="T211">
        <v>7</v>
      </c>
      <c r="U211" t="s">
        <v>0</v>
      </c>
      <c r="V211">
        <v>0.3</v>
      </c>
      <c r="W211" t="s">
        <v>152</v>
      </c>
      <c r="X211">
        <v>1</v>
      </c>
      <c r="Y211" t="s">
        <v>153</v>
      </c>
      <c r="Z211">
        <v>2</v>
      </c>
      <c r="AA211" t="s">
        <v>151</v>
      </c>
      <c r="AB211">
        <v>249</v>
      </c>
      <c r="AC211" t="s">
        <v>1</v>
      </c>
      <c r="AD211" t="s">
        <v>1161</v>
      </c>
      <c r="AE211" t="s">
        <v>838</v>
      </c>
      <c r="AF211" t="s">
        <v>1162</v>
      </c>
      <c r="AG211" t="s">
        <v>572</v>
      </c>
      <c r="AH211">
        <v>4.6051701859880998</v>
      </c>
    </row>
    <row r="212" spans="2:44" x14ac:dyDescent="0.25">
      <c r="B212" t="s">
        <v>1163</v>
      </c>
      <c r="C212" t="s">
        <v>4</v>
      </c>
      <c r="D212">
        <v>0</v>
      </c>
      <c r="E212" t="s">
        <v>5</v>
      </c>
      <c r="F212">
        <v>1</v>
      </c>
      <c r="G212" t="s">
        <v>189</v>
      </c>
      <c r="H212">
        <v>200</v>
      </c>
      <c r="I212" t="s">
        <v>190</v>
      </c>
      <c r="J212">
        <v>1000000</v>
      </c>
      <c r="K212" t="s">
        <v>191</v>
      </c>
      <c r="L212">
        <v>12345</v>
      </c>
      <c r="M212" t="s">
        <v>192</v>
      </c>
      <c r="N212">
        <v>1E-3</v>
      </c>
      <c r="O212" t="s">
        <v>3</v>
      </c>
      <c r="P212">
        <v>1</v>
      </c>
      <c r="Q212" t="s">
        <v>2</v>
      </c>
      <c r="R212">
        <v>0</v>
      </c>
      <c r="S212" t="s">
        <v>17</v>
      </c>
      <c r="T212">
        <v>7</v>
      </c>
      <c r="U212" t="s">
        <v>0</v>
      </c>
      <c r="V212">
        <v>9.8000000000000007</v>
      </c>
      <c r="W212" t="s">
        <v>152</v>
      </c>
      <c r="X212">
        <v>3</v>
      </c>
      <c r="Y212" t="s">
        <v>153</v>
      </c>
      <c r="Z212">
        <v>23</v>
      </c>
      <c r="AA212" t="s">
        <v>151</v>
      </c>
      <c r="AB212">
        <v>6669</v>
      </c>
      <c r="AC212" t="s">
        <v>1</v>
      </c>
      <c r="AD212" t="s">
        <v>1164</v>
      </c>
      <c r="AE212" t="s">
        <v>838</v>
      </c>
      <c r="AF212" t="s">
        <v>1165</v>
      </c>
    </row>
    <row r="213" spans="2:44" x14ac:dyDescent="0.25">
      <c r="B213" t="s">
        <v>1166</v>
      </c>
      <c r="C213" t="s">
        <v>4</v>
      </c>
      <c r="D213">
        <v>0</v>
      </c>
      <c r="E213" t="s">
        <v>5</v>
      </c>
      <c r="F213">
        <v>1</v>
      </c>
      <c r="G213" t="s">
        <v>189</v>
      </c>
      <c r="H213">
        <v>200</v>
      </c>
      <c r="I213" t="s">
        <v>190</v>
      </c>
      <c r="J213">
        <v>1000000</v>
      </c>
      <c r="K213" t="s">
        <v>191</v>
      </c>
      <c r="L213">
        <v>12345</v>
      </c>
      <c r="M213" t="s">
        <v>192</v>
      </c>
      <c r="N213">
        <v>1E-3</v>
      </c>
      <c r="O213" t="s">
        <v>3</v>
      </c>
      <c r="P213">
        <v>1</v>
      </c>
      <c r="Q213" t="s">
        <v>2</v>
      </c>
      <c r="R213">
        <v>0</v>
      </c>
      <c r="S213" t="s">
        <v>17</v>
      </c>
      <c r="T213">
        <v>7</v>
      </c>
      <c r="U213" t="s">
        <v>0</v>
      </c>
      <c r="V213">
        <v>0.3</v>
      </c>
      <c r="W213" t="s">
        <v>152</v>
      </c>
      <c r="X213">
        <v>1</v>
      </c>
      <c r="Y213" t="s">
        <v>153</v>
      </c>
      <c r="Z213">
        <v>2</v>
      </c>
      <c r="AA213" t="s">
        <v>151</v>
      </c>
      <c r="AB213">
        <v>304</v>
      </c>
      <c r="AC213" t="s">
        <v>1</v>
      </c>
      <c r="AD213" t="s">
        <v>1167</v>
      </c>
      <c r="AE213" t="s">
        <v>838</v>
      </c>
      <c r="AF213">
        <v>1</v>
      </c>
      <c r="AG213" t="s">
        <v>569</v>
      </c>
      <c r="AH213" t="s">
        <v>1152</v>
      </c>
    </row>
    <row r="214" spans="2:44" x14ac:dyDescent="0.25">
      <c r="B214" t="s">
        <v>1168</v>
      </c>
      <c r="C214" t="s">
        <v>4</v>
      </c>
      <c r="D214">
        <v>0</v>
      </c>
      <c r="E214" t="s">
        <v>5</v>
      </c>
      <c r="F214">
        <v>1</v>
      </c>
      <c r="G214" t="s">
        <v>189</v>
      </c>
      <c r="H214">
        <v>200</v>
      </c>
      <c r="I214" t="s">
        <v>190</v>
      </c>
      <c r="J214">
        <v>1000000</v>
      </c>
      <c r="K214" t="s">
        <v>191</v>
      </c>
      <c r="L214">
        <v>12345</v>
      </c>
      <c r="M214" t="s">
        <v>192</v>
      </c>
      <c r="N214">
        <v>1E-3</v>
      </c>
      <c r="O214" t="s">
        <v>3</v>
      </c>
      <c r="P214">
        <v>1</v>
      </c>
      <c r="Q214" t="s">
        <v>2</v>
      </c>
      <c r="R214">
        <v>0</v>
      </c>
      <c r="S214" t="s">
        <v>17</v>
      </c>
      <c r="T214">
        <v>9</v>
      </c>
      <c r="U214" t="s">
        <v>0</v>
      </c>
      <c r="V214">
        <v>4.2</v>
      </c>
      <c r="W214" t="s">
        <v>152</v>
      </c>
      <c r="X214">
        <v>2</v>
      </c>
      <c r="Y214" t="s">
        <v>153</v>
      </c>
      <c r="Z214">
        <v>7</v>
      </c>
      <c r="AA214" t="s">
        <v>151</v>
      </c>
      <c r="AB214">
        <v>2349</v>
      </c>
      <c r="AC214" t="s">
        <v>1</v>
      </c>
      <c r="AD214" t="s">
        <v>1169</v>
      </c>
      <c r="AE214" t="s">
        <v>838</v>
      </c>
      <c r="AF214">
        <f>-2*X1</f>
        <v>-324</v>
      </c>
      <c r="AG214" t="s">
        <v>572</v>
      </c>
      <c r="AH214" t="s">
        <v>1170</v>
      </c>
    </row>
    <row r="215" spans="2:44" x14ac:dyDescent="0.25">
      <c r="B215" t="s">
        <v>1171</v>
      </c>
      <c r="C215" t="s">
        <v>4</v>
      </c>
      <c r="D215">
        <v>0</v>
      </c>
      <c r="E215" t="s">
        <v>5</v>
      </c>
      <c r="F215">
        <v>1</v>
      </c>
      <c r="G215" t="s">
        <v>189</v>
      </c>
      <c r="H215">
        <v>200</v>
      </c>
      <c r="I215" t="s">
        <v>190</v>
      </c>
      <c r="J215">
        <v>1000000</v>
      </c>
      <c r="K215" t="s">
        <v>191</v>
      </c>
      <c r="L215">
        <v>12345</v>
      </c>
      <c r="M215" t="s">
        <v>192</v>
      </c>
      <c r="N215">
        <v>1E-3</v>
      </c>
      <c r="O215" t="s">
        <v>3</v>
      </c>
      <c r="P215">
        <v>1</v>
      </c>
      <c r="Q215" t="s">
        <v>2</v>
      </c>
      <c r="R215">
        <v>0</v>
      </c>
      <c r="S215" t="s">
        <v>17</v>
      </c>
      <c r="T215">
        <v>12</v>
      </c>
      <c r="U215" t="s">
        <v>0</v>
      </c>
      <c r="V215">
        <v>5.4</v>
      </c>
      <c r="W215" t="s">
        <v>152</v>
      </c>
      <c r="X215">
        <v>3</v>
      </c>
      <c r="Y215" t="s">
        <v>153</v>
      </c>
      <c r="Z215">
        <v>11</v>
      </c>
      <c r="AA215" t="s">
        <v>151</v>
      </c>
      <c r="AB215">
        <v>3567</v>
      </c>
      <c r="AC215" t="s">
        <v>1</v>
      </c>
      <c r="AD215" t="s">
        <v>1172</v>
      </c>
      <c r="AE215" t="s">
        <v>838</v>
      </c>
      <c r="AF215" t="s">
        <v>1173</v>
      </c>
      <c r="AG215" t="s">
        <v>572</v>
      </c>
      <c r="AH215" t="s">
        <v>1174</v>
      </c>
    </row>
    <row r="216" spans="2:44" x14ac:dyDescent="0.25">
      <c r="B216" t="s">
        <v>1175</v>
      </c>
      <c r="C216" t="s">
        <v>4</v>
      </c>
      <c r="D216">
        <v>3.8774099999999999E-2</v>
      </c>
      <c r="E216" t="s">
        <v>5</v>
      </c>
      <c r="F216">
        <v>0.98454229999999998</v>
      </c>
      <c r="G216" t="s">
        <v>189</v>
      </c>
      <c r="H216">
        <v>200</v>
      </c>
      <c r="I216" t="s">
        <v>190</v>
      </c>
      <c r="J216">
        <v>1000000</v>
      </c>
      <c r="K216" t="s">
        <v>191</v>
      </c>
      <c r="L216">
        <v>12345</v>
      </c>
      <c r="M216" t="s">
        <v>192</v>
      </c>
      <c r="N216">
        <v>1E-3</v>
      </c>
      <c r="O216" t="s">
        <v>3</v>
      </c>
      <c r="P216">
        <v>0.98349679999999995</v>
      </c>
      <c r="Q216" t="s">
        <v>2</v>
      </c>
      <c r="R216">
        <v>3.8872200000000003E-2</v>
      </c>
      <c r="S216" t="s">
        <v>17</v>
      </c>
      <c r="T216">
        <v>36</v>
      </c>
      <c r="U216" t="s">
        <v>0</v>
      </c>
      <c r="V216">
        <v>200.3</v>
      </c>
      <c r="W216" t="s">
        <v>152</v>
      </c>
      <c r="X216">
        <v>9</v>
      </c>
      <c r="Y216" t="s">
        <v>153</v>
      </c>
      <c r="Z216">
        <v>93</v>
      </c>
      <c r="AA216" t="s">
        <v>151</v>
      </c>
      <c r="AB216">
        <v>87142</v>
      </c>
      <c r="AC216" t="s">
        <v>1</v>
      </c>
      <c r="AD216" t="e" cm="1">
        <f t="array" aca="1" ref="AD216" ca="1">-1.9629863687292+(1.603785248485*pow(x0,2))+(1.113005781995*pow(((0.5+pow(SIN(x0),pow(x0,-1)))+SIN(X1)),-0.5))+(-1.2950401123325*x0)+((1.758600550525*x0)*pow(X1,2))</f>
        <v>#NAME?</v>
      </c>
      <c r="AE216" t="s">
        <v>838</v>
      </c>
      <c r="AF216" t="s">
        <v>1176</v>
      </c>
      <c r="AG216" t="s">
        <v>569</v>
      </c>
      <c r="AH216" t="s">
        <v>1177</v>
      </c>
      <c r="AI216" t="s">
        <v>572</v>
      </c>
      <c r="AJ216" t="s">
        <v>1178</v>
      </c>
      <c r="AK216" t="s">
        <v>572</v>
      </c>
      <c r="AL216" t="s">
        <v>1179</v>
      </c>
      <c r="AM216" t="s">
        <v>572</v>
      </c>
      <c r="AN216" t="s">
        <v>1180</v>
      </c>
      <c r="AO216" t="s">
        <v>572</v>
      </c>
      <c r="AP216" t="s">
        <v>739</v>
      </c>
      <c r="AQ216" t="s">
        <v>569</v>
      </c>
      <c r="AR216">
        <v>1.9629863687292</v>
      </c>
    </row>
    <row r="217" spans="2:44" x14ac:dyDescent="0.25">
      <c r="B217" t="s">
        <v>1181</v>
      </c>
      <c r="C217" t="s">
        <v>4</v>
      </c>
      <c r="D217">
        <v>0</v>
      </c>
      <c r="E217" t="s">
        <v>5</v>
      </c>
      <c r="F217">
        <v>1</v>
      </c>
      <c r="G217" t="s">
        <v>189</v>
      </c>
      <c r="H217">
        <v>200</v>
      </c>
      <c r="I217" t="s">
        <v>190</v>
      </c>
      <c r="J217">
        <v>1000000</v>
      </c>
      <c r="K217" t="s">
        <v>191</v>
      </c>
      <c r="L217">
        <v>12345</v>
      </c>
      <c r="M217" t="s">
        <v>192</v>
      </c>
      <c r="N217">
        <v>1E-3</v>
      </c>
      <c r="O217" t="s">
        <v>3</v>
      </c>
      <c r="P217">
        <v>1</v>
      </c>
      <c r="Q217" t="s">
        <v>2</v>
      </c>
      <c r="R217">
        <v>0</v>
      </c>
      <c r="S217" t="s">
        <v>17</v>
      </c>
      <c r="T217">
        <v>9</v>
      </c>
      <c r="U217" t="s">
        <v>0</v>
      </c>
      <c r="V217">
        <v>180.7</v>
      </c>
      <c r="W217" t="s">
        <v>152</v>
      </c>
      <c r="X217">
        <v>9</v>
      </c>
      <c r="Y217" t="s">
        <v>153</v>
      </c>
      <c r="Z217">
        <v>176</v>
      </c>
      <c r="AA217" t="s">
        <v>151</v>
      </c>
      <c r="AB217">
        <v>106928</v>
      </c>
      <c r="AC217" t="s">
        <v>1</v>
      </c>
      <c r="AD217" t="s">
        <v>1182</v>
      </c>
      <c r="AE217" t="s">
        <v>838</v>
      </c>
      <c r="AF217" t="s">
        <v>1183</v>
      </c>
    </row>
    <row r="218" spans="2:44" x14ac:dyDescent="0.25">
      <c r="B218" t="s">
        <v>1184</v>
      </c>
      <c r="C218" t="s">
        <v>4</v>
      </c>
      <c r="D218">
        <v>0</v>
      </c>
      <c r="E218" t="s">
        <v>5</v>
      </c>
      <c r="F218">
        <v>1</v>
      </c>
      <c r="G218" t="s">
        <v>189</v>
      </c>
      <c r="H218">
        <v>200</v>
      </c>
      <c r="I218" t="s">
        <v>190</v>
      </c>
      <c r="J218">
        <v>1000000</v>
      </c>
      <c r="K218" t="s">
        <v>191</v>
      </c>
      <c r="L218">
        <v>12345</v>
      </c>
      <c r="M218" t="s">
        <v>192</v>
      </c>
      <c r="N218">
        <v>1E-3</v>
      </c>
      <c r="O218" t="s">
        <v>3</v>
      </c>
      <c r="P218">
        <v>1</v>
      </c>
      <c r="Q218" t="s">
        <v>2</v>
      </c>
      <c r="R218">
        <v>0</v>
      </c>
      <c r="S218" t="s">
        <v>17</v>
      </c>
      <c r="T218">
        <v>12</v>
      </c>
      <c r="U218" t="s">
        <v>0</v>
      </c>
      <c r="V218">
        <v>0.8</v>
      </c>
      <c r="W218" t="s">
        <v>152</v>
      </c>
      <c r="X218">
        <v>1</v>
      </c>
      <c r="Y218" t="s">
        <v>153</v>
      </c>
      <c r="Z218">
        <v>3</v>
      </c>
      <c r="AA218" t="s">
        <v>151</v>
      </c>
      <c r="AB218">
        <v>594</v>
      </c>
      <c r="AC218" t="s">
        <v>1</v>
      </c>
      <c r="AD218" t="e" cm="1">
        <f t="array" aca="1" ref="AD218" ca="1">-1+(1*X1)+(1*pow(x0,2))</f>
        <v>#NAME?</v>
      </c>
      <c r="AE218" t="s">
        <v>838</v>
      </c>
      <c r="AF218" t="s">
        <v>606</v>
      </c>
      <c r="AG218" t="s">
        <v>572</v>
      </c>
      <c r="AH218" t="s">
        <v>610</v>
      </c>
      <c r="AI218" t="s">
        <v>569</v>
      </c>
      <c r="AJ218">
        <v>1</v>
      </c>
    </row>
    <row r="219" spans="2:44" x14ac:dyDescent="0.25">
      <c r="B219" t="s">
        <v>1185</v>
      </c>
      <c r="C219" t="s">
        <v>4</v>
      </c>
      <c r="D219">
        <v>0</v>
      </c>
      <c r="E219" t="s">
        <v>5</v>
      </c>
      <c r="F219">
        <v>1</v>
      </c>
      <c r="G219" t="s">
        <v>189</v>
      </c>
      <c r="H219">
        <v>200</v>
      </c>
      <c r="I219" t="s">
        <v>190</v>
      </c>
      <c r="J219">
        <v>1000000</v>
      </c>
      <c r="K219" t="s">
        <v>191</v>
      </c>
      <c r="L219">
        <v>12345</v>
      </c>
      <c r="M219" t="s">
        <v>192</v>
      </c>
      <c r="N219">
        <v>1E-3</v>
      </c>
      <c r="O219" t="s">
        <v>3</v>
      </c>
      <c r="P219">
        <v>1</v>
      </c>
      <c r="Q219" t="s">
        <v>2</v>
      </c>
      <c r="R219">
        <v>0</v>
      </c>
      <c r="S219" t="s">
        <v>17</v>
      </c>
      <c r="T219">
        <v>14</v>
      </c>
      <c r="U219" t="s">
        <v>0</v>
      </c>
      <c r="V219">
        <v>3.5</v>
      </c>
      <c r="W219" t="s">
        <v>152</v>
      </c>
      <c r="X219">
        <v>1</v>
      </c>
      <c r="Y219" t="s">
        <v>153</v>
      </c>
      <c r="Z219">
        <v>5</v>
      </c>
      <c r="AA219" t="s">
        <v>151</v>
      </c>
      <c r="AB219">
        <v>2164</v>
      </c>
      <c r="AC219" t="s">
        <v>1</v>
      </c>
      <c r="AD219" t="s">
        <v>1186</v>
      </c>
      <c r="AE219" t="s">
        <v>838</v>
      </c>
      <c r="AF219" t="s">
        <v>1187</v>
      </c>
      <c r="AG219" t="s">
        <v>572</v>
      </c>
      <c r="AH219" t="s">
        <v>1188</v>
      </c>
    </row>
    <row r="220" spans="2:44" x14ac:dyDescent="0.25">
      <c r="B220" t="s">
        <v>1189</v>
      </c>
      <c r="C220" t="s">
        <v>4</v>
      </c>
      <c r="D220">
        <v>0</v>
      </c>
      <c r="E220" t="s">
        <v>5</v>
      </c>
      <c r="F220">
        <v>1</v>
      </c>
      <c r="G220" t="s">
        <v>189</v>
      </c>
      <c r="H220">
        <v>200</v>
      </c>
      <c r="I220" t="s">
        <v>190</v>
      </c>
      <c r="J220">
        <v>1000000</v>
      </c>
      <c r="K220" t="s">
        <v>191</v>
      </c>
      <c r="L220">
        <v>12345</v>
      </c>
      <c r="M220" t="s">
        <v>192</v>
      </c>
      <c r="N220">
        <v>1E-3</v>
      </c>
      <c r="O220" t="s">
        <v>3</v>
      </c>
      <c r="P220">
        <v>1</v>
      </c>
      <c r="Q220" t="s">
        <v>2</v>
      </c>
      <c r="R220">
        <v>0</v>
      </c>
      <c r="S220" t="s">
        <v>17</v>
      </c>
      <c r="T220">
        <v>11</v>
      </c>
      <c r="U220" t="s">
        <v>0</v>
      </c>
      <c r="V220">
        <v>1.4</v>
      </c>
      <c r="W220" t="s">
        <v>152</v>
      </c>
      <c r="X220">
        <v>1</v>
      </c>
      <c r="Y220" t="s">
        <v>153</v>
      </c>
      <c r="Z220">
        <v>4</v>
      </c>
      <c r="AA220" t="s">
        <v>151</v>
      </c>
      <c r="AB220">
        <v>970</v>
      </c>
      <c r="AC220" t="s">
        <v>1</v>
      </c>
      <c r="AD220" t="s">
        <v>1190</v>
      </c>
      <c r="AE220" t="s">
        <v>838</v>
      </c>
      <c r="AF220" t="s">
        <v>846</v>
      </c>
      <c r="AG220" t="s">
        <v>572</v>
      </c>
      <c r="AH220" t="s">
        <v>1191</v>
      </c>
    </row>
    <row r="221" spans="2:44" x14ac:dyDescent="0.25">
      <c r="B221" t="s">
        <v>1192</v>
      </c>
      <c r="C221" t="s">
        <v>4</v>
      </c>
      <c r="D221">
        <v>0</v>
      </c>
      <c r="E221" t="s">
        <v>5</v>
      </c>
      <c r="F221">
        <v>1</v>
      </c>
      <c r="G221" t="s">
        <v>189</v>
      </c>
      <c r="H221">
        <v>200</v>
      </c>
      <c r="I221" t="s">
        <v>190</v>
      </c>
      <c r="J221">
        <v>1000000</v>
      </c>
      <c r="K221" t="s">
        <v>191</v>
      </c>
      <c r="L221">
        <v>12345</v>
      </c>
      <c r="M221" t="s">
        <v>192</v>
      </c>
      <c r="N221">
        <v>1E-3</v>
      </c>
      <c r="O221" t="s">
        <v>3</v>
      </c>
      <c r="P221">
        <v>1</v>
      </c>
      <c r="Q221" t="s">
        <v>2</v>
      </c>
      <c r="R221">
        <v>0</v>
      </c>
      <c r="S221" t="s">
        <v>17</v>
      </c>
      <c r="T221">
        <v>10</v>
      </c>
      <c r="U221" t="s">
        <v>0</v>
      </c>
      <c r="V221">
        <v>2.2000000000000002</v>
      </c>
      <c r="W221" t="s">
        <v>152</v>
      </c>
      <c r="X221">
        <v>1</v>
      </c>
      <c r="Y221" t="s">
        <v>153</v>
      </c>
      <c r="Z221">
        <v>4</v>
      </c>
      <c r="AA221" t="s">
        <v>151</v>
      </c>
      <c r="AB221">
        <v>1421</v>
      </c>
      <c r="AC221" t="s">
        <v>1</v>
      </c>
      <c r="AD221" t="s">
        <v>1193</v>
      </c>
      <c r="AE221" t="s">
        <v>838</v>
      </c>
      <c r="AF221" t="s">
        <v>1194</v>
      </c>
    </row>
    <row r="222" spans="2:44" x14ac:dyDescent="0.25">
      <c r="B222" t="s">
        <v>1195</v>
      </c>
      <c r="C222" t="s">
        <v>4</v>
      </c>
      <c r="D222">
        <v>0</v>
      </c>
      <c r="E222" t="s">
        <v>5</v>
      </c>
      <c r="F222">
        <v>1</v>
      </c>
      <c r="G222" t="s">
        <v>189</v>
      </c>
      <c r="H222">
        <v>200</v>
      </c>
      <c r="I222" t="s">
        <v>190</v>
      </c>
      <c r="J222">
        <v>1000000</v>
      </c>
      <c r="K222" t="s">
        <v>191</v>
      </c>
      <c r="L222">
        <v>12345</v>
      </c>
      <c r="M222" t="s">
        <v>192</v>
      </c>
      <c r="N222">
        <v>1E-3</v>
      </c>
      <c r="O222" t="s">
        <v>3</v>
      </c>
      <c r="P222">
        <v>1</v>
      </c>
      <c r="Q222" t="s">
        <v>2</v>
      </c>
      <c r="R222">
        <v>0</v>
      </c>
      <c r="S222" t="s">
        <v>17</v>
      </c>
      <c r="T222">
        <v>14</v>
      </c>
      <c r="U222" t="s">
        <v>0</v>
      </c>
      <c r="V222">
        <v>155.19999999999999</v>
      </c>
      <c r="W222" t="s">
        <v>152</v>
      </c>
      <c r="X222">
        <v>7</v>
      </c>
      <c r="Y222" t="s">
        <v>153</v>
      </c>
      <c r="Z222">
        <v>113</v>
      </c>
      <c r="AA222" t="s">
        <v>151</v>
      </c>
      <c r="AB222">
        <v>77041</v>
      </c>
      <c r="AC222" t="s">
        <v>1</v>
      </c>
      <c r="AD222" t="s">
        <v>1196</v>
      </c>
      <c r="AE222" t="s">
        <v>838</v>
      </c>
      <c r="AF222" t="s">
        <v>1187</v>
      </c>
      <c r="AG222" t="s">
        <v>572</v>
      </c>
      <c r="AH222" t="s">
        <v>1197</v>
      </c>
    </row>
    <row r="223" spans="2:44" x14ac:dyDescent="0.25">
      <c r="B223" t="s">
        <v>1198</v>
      </c>
      <c r="C223" t="s">
        <v>4</v>
      </c>
      <c r="D223">
        <v>0</v>
      </c>
      <c r="E223" t="s">
        <v>5</v>
      </c>
      <c r="F223">
        <v>1</v>
      </c>
      <c r="G223" t="s">
        <v>189</v>
      </c>
      <c r="H223">
        <v>200</v>
      </c>
      <c r="I223" t="s">
        <v>190</v>
      </c>
      <c r="J223">
        <v>1000000</v>
      </c>
      <c r="K223" t="s">
        <v>191</v>
      </c>
      <c r="L223">
        <v>12345</v>
      </c>
      <c r="M223" t="s">
        <v>192</v>
      </c>
      <c r="N223">
        <v>1E-3</v>
      </c>
      <c r="O223" t="s">
        <v>3</v>
      </c>
      <c r="P223">
        <v>1</v>
      </c>
      <c r="Q223" t="s">
        <v>2</v>
      </c>
      <c r="R223">
        <v>0</v>
      </c>
      <c r="S223" t="s">
        <v>17</v>
      </c>
      <c r="T223">
        <v>10</v>
      </c>
      <c r="U223" t="s">
        <v>0</v>
      </c>
      <c r="V223">
        <v>2.6</v>
      </c>
      <c r="W223" t="s">
        <v>152</v>
      </c>
      <c r="X223">
        <v>1</v>
      </c>
      <c r="Y223" t="s">
        <v>153</v>
      </c>
      <c r="Z223">
        <v>4</v>
      </c>
      <c r="AA223" t="s">
        <v>151</v>
      </c>
      <c r="AB223">
        <v>1589</v>
      </c>
      <c r="AC223" t="s">
        <v>1</v>
      </c>
      <c r="AD223" t="s">
        <v>1199</v>
      </c>
      <c r="AE223" t="s">
        <v>838</v>
      </c>
      <c r="AF223" t="s">
        <v>1200</v>
      </c>
    </row>
    <row r="224" spans="2:44" x14ac:dyDescent="0.25">
      <c r="B224" t="s">
        <v>1201</v>
      </c>
      <c r="C224" t="s">
        <v>4</v>
      </c>
      <c r="D224">
        <v>0</v>
      </c>
      <c r="E224" t="s">
        <v>5</v>
      </c>
      <c r="F224">
        <v>1</v>
      </c>
      <c r="G224" t="s">
        <v>189</v>
      </c>
      <c r="H224">
        <v>200</v>
      </c>
      <c r="I224" t="s">
        <v>190</v>
      </c>
      <c r="J224">
        <v>1000000</v>
      </c>
      <c r="K224" t="s">
        <v>191</v>
      </c>
      <c r="L224">
        <v>12345</v>
      </c>
      <c r="M224" t="s">
        <v>192</v>
      </c>
      <c r="N224">
        <v>1E-3</v>
      </c>
      <c r="O224" t="s">
        <v>3</v>
      </c>
      <c r="P224">
        <v>1</v>
      </c>
      <c r="Q224" t="s">
        <v>2</v>
      </c>
      <c r="R224">
        <v>0</v>
      </c>
      <c r="S224" t="s">
        <v>17</v>
      </c>
      <c r="T224">
        <v>8</v>
      </c>
      <c r="U224" t="s">
        <v>0</v>
      </c>
      <c r="V224">
        <v>0.4</v>
      </c>
      <c r="W224" t="s">
        <v>152</v>
      </c>
      <c r="X224">
        <v>1</v>
      </c>
      <c r="Y224" t="s">
        <v>153</v>
      </c>
      <c r="Z224">
        <v>2</v>
      </c>
      <c r="AA224" t="s">
        <v>151</v>
      </c>
      <c r="AB224">
        <v>344</v>
      </c>
      <c r="AC224" t="s">
        <v>1</v>
      </c>
      <c r="AD224" t="e" cm="1">
        <f t="array" aca="1" ref="AD224" ca="1">-4.1415926535898+(2*pow(x0,-1))</f>
        <v>#NAME?</v>
      </c>
      <c r="AE224" t="s">
        <v>838</v>
      </c>
      <c r="AF224" t="s">
        <v>1202</v>
      </c>
      <c r="AG224" t="s">
        <v>569</v>
      </c>
      <c r="AH224">
        <v>4.1415926535898002</v>
      </c>
    </row>
    <row r="225" spans="2:38" x14ac:dyDescent="0.25">
      <c r="B225" t="s">
        <v>1203</v>
      </c>
      <c r="C225" t="s">
        <v>4</v>
      </c>
      <c r="D225">
        <v>8.7659999999999995E-4</v>
      </c>
      <c r="E225" t="s">
        <v>5</v>
      </c>
      <c r="F225">
        <v>0.99996260000000003</v>
      </c>
      <c r="G225" t="s">
        <v>189</v>
      </c>
      <c r="H225">
        <v>200</v>
      </c>
      <c r="I225" t="s">
        <v>190</v>
      </c>
      <c r="J225">
        <v>1000000</v>
      </c>
      <c r="K225" t="s">
        <v>191</v>
      </c>
      <c r="L225">
        <v>12345</v>
      </c>
      <c r="M225" t="s">
        <v>192</v>
      </c>
      <c r="N225">
        <v>1E-3</v>
      </c>
      <c r="O225" t="s">
        <v>3</v>
      </c>
      <c r="P225">
        <v>0.9999614</v>
      </c>
      <c r="Q225" t="s">
        <v>2</v>
      </c>
      <c r="R225">
        <v>8.7509999999999997E-4</v>
      </c>
      <c r="S225" t="s">
        <v>17</v>
      </c>
      <c r="T225">
        <v>8</v>
      </c>
      <c r="U225" t="s">
        <v>0</v>
      </c>
      <c r="V225">
        <v>200.2</v>
      </c>
      <c r="W225" t="s">
        <v>152</v>
      </c>
      <c r="X225">
        <v>595</v>
      </c>
      <c r="Y225" t="s">
        <v>153</v>
      </c>
      <c r="Z225">
        <v>266</v>
      </c>
      <c r="AA225" t="s">
        <v>151</v>
      </c>
      <c r="AB225">
        <v>61123</v>
      </c>
      <c r="AC225" t="s">
        <v>1</v>
      </c>
      <c r="AD225" t="s">
        <v>1204</v>
      </c>
      <c r="AE225" t="s">
        <v>838</v>
      </c>
      <c r="AF225">
        <v>1.9927161405227001</v>
      </c>
      <c r="AG225" t="s">
        <v>569</v>
      </c>
      <c r="AH225" t="s">
        <v>1205</v>
      </c>
    </row>
    <row r="226" spans="2:38" x14ac:dyDescent="0.25">
      <c r="B226" t="s">
        <v>1206</v>
      </c>
      <c r="C226" t="s">
        <v>4</v>
      </c>
      <c r="D226">
        <v>0</v>
      </c>
      <c r="E226" t="s">
        <v>5</v>
      </c>
      <c r="F226">
        <v>1</v>
      </c>
      <c r="G226" t="s">
        <v>189</v>
      </c>
      <c r="H226">
        <v>200</v>
      </c>
      <c r="I226" t="s">
        <v>190</v>
      </c>
      <c r="J226">
        <v>1000000</v>
      </c>
      <c r="K226" t="s">
        <v>191</v>
      </c>
      <c r="L226">
        <v>12345</v>
      </c>
      <c r="M226" t="s">
        <v>192</v>
      </c>
      <c r="N226">
        <v>1E-3</v>
      </c>
      <c r="O226" t="s">
        <v>3</v>
      </c>
      <c r="P226">
        <v>1</v>
      </c>
      <c r="Q226" t="s">
        <v>2</v>
      </c>
      <c r="R226">
        <v>0</v>
      </c>
      <c r="S226" t="s">
        <v>17</v>
      </c>
      <c r="T226">
        <v>8</v>
      </c>
      <c r="U226" t="s">
        <v>0</v>
      </c>
      <c r="V226">
        <v>92.4</v>
      </c>
      <c r="W226" t="s">
        <v>152</v>
      </c>
      <c r="X226">
        <v>9</v>
      </c>
      <c r="Y226" t="s">
        <v>153</v>
      </c>
      <c r="Z226">
        <v>276</v>
      </c>
      <c r="AA226" t="s">
        <v>151</v>
      </c>
      <c r="AB226">
        <v>68132</v>
      </c>
      <c r="AC226" t="s">
        <v>1</v>
      </c>
      <c r="AD226" t="s">
        <v>1207</v>
      </c>
      <c r="AE226" t="s">
        <v>838</v>
      </c>
      <c r="AF226" t="s">
        <v>1208</v>
      </c>
      <c r="AG226" t="s">
        <v>572</v>
      </c>
      <c r="AH226" t="s">
        <v>1209</v>
      </c>
    </row>
    <row r="227" spans="2:38" x14ac:dyDescent="0.25">
      <c r="B227" t="s">
        <v>1210</v>
      </c>
      <c r="C227" t="s">
        <v>4</v>
      </c>
      <c r="D227">
        <v>2.4889000000000001E-3</v>
      </c>
      <c r="E227" t="s">
        <v>5</v>
      </c>
      <c r="F227">
        <v>0.99976640000000006</v>
      </c>
      <c r="G227" t="s">
        <v>189</v>
      </c>
      <c r="H227">
        <v>200</v>
      </c>
      <c r="I227" t="s">
        <v>190</v>
      </c>
      <c r="J227">
        <v>1000000</v>
      </c>
      <c r="K227" t="s">
        <v>191</v>
      </c>
      <c r="L227">
        <v>12345</v>
      </c>
      <c r="M227" t="s">
        <v>192</v>
      </c>
      <c r="N227">
        <v>1E-3</v>
      </c>
      <c r="O227" t="s">
        <v>3</v>
      </c>
      <c r="P227">
        <v>0.99976500000000001</v>
      </c>
      <c r="Q227" t="s">
        <v>2</v>
      </c>
      <c r="R227">
        <v>2.464E-3</v>
      </c>
      <c r="S227" t="s">
        <v>17</v>
      </c>
      <c r="T227">
        <v>6</v>
      </c>
      <c r="U227" t="s">
        <v>0</v>
      </c>
      <c r="V227">
        <v>200</v>
      </c>
      <c r="W227" t="s">
        <v>152</v>
      </c>
      <c r="X227">
        <v>708</v>
      </c>
      <c r="Y227" t="s">
        <v>153</v>
      </c>
      <c r="Z227">
        <v>93</v>
      </c>
      <c r="AA227" t="s">
        <v>151</v>
      </c>
      <c r="AB227">
        <v>19947</v>
      </c>
      <c r="AC227" t="s">
        <v>1</v>
      </c>
      <c r="AD227" t="s">
        <v>1211</v>
      </c>
      <c r="AE227" t="s">
        <v>838</v>
      </c>
      <c r="AF227">
        <v>0.69795563447779996</v>
      </c>
      <c r="AG227" t="s">
        <v>569</v>
      </c>
      <c r="AH227" t="s">
        <v>1212</v>
      </c>
    </row>
    <row r="228" spans="2:38" x14ac:dyDescent="0.25">
      <c r="B228" t="s">
        <v>1213</v>
      </c>
      <c r="C228" t="s">
        <v>4</v>
      </c>
      <c r="D228">
        <v>1.3059E-3</v>
      </c>
      <c r="E228" t="s">
        <v>5</v>
      </c>
      <c r="F228">
        <v>0.99999959999999999</v>
      </c>
      <c r="G228" t="s">
        <v>189</v>
      </c>
      <c r="H228">
        <v>200</v>
      </c>
      <c r="I228" t="s">
        <v>190</v>
      </c>
      <c r="J228">
        <v>1000000</v>
      </c>
      <c r="K228" t="s">
        <v>191</v>
      </c>
      <c r="L228">
        <v>12345</v>
      </c>
      <c r="M228" t="s">
        <v>192</v>
      </c>
      <c r="N228">
        <v>1E-3</v>
      </c>
      <c r="O228" t="s">
        <v>3</v>
      </c>
      <c r="P228">
        <v>0.99999959999999999</v>
      </c>
      <c r="Q228" t="s">
        <v>2</v>
      </c>
      <c r="R228">
        <v>1.3116E-3</v>
      </c>
      <c r="S228" t="s">
        <v>17</v>
      </c>
      <c r="T228">
        <v>16</v>
      </c>
      <c r="U228" t="s">
        <v>0</v>
      </c>
      <c r="V228">
        <v>200.1</v>
      </c>
      <c r="W228" t="s">
        <v>152</v>
      </c>
      <c r="X228">
        <v>5</v>
      </c>
      <c r="Y228" t="s">
        <v>153</v>
      </c>
      <c r="Z228">
        <v>344</v>
      </c>
      <c r="AA228" t="s">
        <v>151</v>
      </c>
      <c r="AB228">
        <v>122071</v>
      </c>
      <c r="AC228" t="s">
        <v>1</v>
      </c>
      <c r="AD228" t="s">
        <v>1214</v>
      </c>
      <c r="AE228" t="s">
        <v>838</v>
      </c>
      <c r="AF228" t="s">
        <v>1215</v>
      </c>
      <c r="AG228" t="s">
        <v>572</v>
      </c>
      <c r="AH228" t="s">
        <v>1216</v>
      </c>
      <c r="AI228" t="s">
        <v>572</v>
      </c>
      <c r="AJ228">
        <v>7.4903264958242</v>
      </c>
    </row>
    <row r="229" spans="2:38" x14ac:dyDescent="0.25">
      <c r="B229" t="s">
        <v>1217</v>
      </c>
      <c r="C229" t="s">
        <v>4</v>
      </c>
      <c r="D229">
        <v>0</v>
      </c>
      <c r="E229" t="s">
        <v>5</v>
      </c>
      <c r="F229">
        <v>1</v>
      </c>
      <c r="G229" t="s">
        <v>189</v>
      </c>
      <c r="H229">
        <v>200</v>
      </c>
      <c r="I229" t="s">
        <v>190</v>
      </c>
      <c r="J229">
        <v>1000000</v>
      </c>
      <c r="K229" t="s">
        <v>191</v>
      </c>
      <c r="L229">
        <v>12345</v>
      </c>
      <c r="M229" t="s">
        <v>192</v>
      </c>
      <c r="N229">
        <v>1E-3</v>
      </c>
      <c r="O229" t="s">
        <v>3</v>
      </c>
      <c r="P229">
        <v>1</v>
      </c>
      <c r="Q229" t="s">
        <v>2</v>
      </c>
      <c r="R229">
        <v>0</v>
      </c>
      <c r="S229" t="s">
        <v>17</v>
      </c>
      <c r="T229">
        <v>16</v>
      </c>
      <c r="U229" t="s">
        <v>0</v>
      </c>
      <c r="V229">
        <v>3.5</v>
      </c>
      <c r="W229" t="s">
        <v>152</v>
      </c>
      <c r="X229">
        <v>2</v>
      </c>
      <c r="Y229" t="s">
        <v>153</v>
      </c>
      <c r="Z229">
        <v>14</v>
      </c>
      <c r="AA229" t="s">
        <v>151</v>
      </c>
      <c r="AB229">
        <v>2501</v>
      </c>
      <c r="AC229" t="s">
        <v>1</v>
      </c>
      <c r="AD229" t="s">
        <v>1218</v>
      </c>
      <c r="AE229" t="s">
        <v>838</v>
      </c>
      <c r="AF229" t="s">
        <v>846</v>
      </c>
      <c r="AG229" t="s">
        <v>572</v>
      </c>
      <c r="AH229" t="s">
        <v>578</v>
      </c>
      <c r="AI229" t="s">
        <v>572</v>
      </c>
      <c r="AJ229" t="s">
        <v>584</v>
      </c>
      <c r="AK229" t="s">
        <v>572</v>
      </c>
      <c r="AL229">
        <v>10</v>
      </c>
    </row>
    <row r="230" spans="2:38" x14ac:dyDescent="0.25">
      <c r="B230" t="s">
        <v>1219</v>
      </c>
      <c r="C230" t="s">
        <v>4</v>
      </c>
      <c r="D230">
        <v>0</v>
      </c>
      <c r="E230" t="s">
        <v>5</v>
      </c>
      <c r="F230">
        <v>1</v>
      </c>
      <c r="G230" t="s">
        <v>189</v>
      </c>
      <c r="H230">
        <v>200</v>
      </c>
      <c r="I230" t="s">
        <v>190</v>
      </c>
      <c r="J230">
        <v>1000000</v>
      </c>
      <c r="K230" t="s">
        <v>191</v>
      </c>
      <c r="L230">
        <v>12345</v>
      </c>
      <c r="M230" t="s">
        <v>192</v>
      </c>
      <c r="N230">
        <v>1E-3</v>
      </c>
      <c r="O230" t="s">
        <v>3</v>
      </c>
      <c r="P230">
        <v>1</v>
      </c>
      <c r="Q230" t="s">
        <v>2</v>
      </c>
      <c r="R230">
        <v>0</v>
      </c>
      <c r="S230" t="s">
        <v>17</v>
      </c>
      <c r="T230">
        <v>18</v>
      </c>
      <c r="U230" t="s">
        <v>0</v>
      </c>
      <c r="V230">
        <v>5.9</v>
      </c>
      <c r="W230" t="s">
        <v>152</v>
      </c>
      <c r="X230">
        <v>2</v>
      </c>
      <c r="Y230" t="s">
        <v>153</v>
      </c>
      <c r="Z230">
        <v>11</v>
      </c>
      <c r="AA230" t="s">
        <v>151</v>
      </c>
      <c r="AB230">
        <v>3483</v>
      </c>
      <c r="AC230" t="s">
        <v>1</v>
      </c>
      <c r="AD230" t="s">
        <v>1220</v>
      </c>
      <c r="AE230" t="s">
        <v>838</v>
      </c>
      <c r="AF230" t="s">
        <v>1221</v>
      </c>
      <c r="AG230" t="s">
        <v>572</v>
      </c>
      <c r="AH230" t="s">
        <v>586</v>
      </c>
      <c r="AI230" t="s">
        <v>572</v>
      </c>
      <c r="AJ230" t="s">
        <v>1222</v>
      </c>
    </row>
    <row r="231" spans="2:38" x14ac:dyDescent="0.25">
      <c r="B231" t="s">
        <v>1223</v>
      </c>
      <c r="C231" t="s">
        <v>4</v>
      </c>
      <c r="D231">
        <v>0</v>
      </c>
      <c r="E231" t="s">
        <v>5</v>
      </c>
      <c r="F231">
        <v>1</v>
      </c>
      <c r="G231" t="s">
        <v>189</v>
      </c>
      <c r="H231">
        <v>200</v>
      </c>
      <c r="I231" t="s">
        <v>190</v>
      </c>
      <c r="J231">
        <v>1000000</v>
      </c>
      <c r="K231" t="s">
        <v>191</v>
      </c>
      <c r="L231">
        <v>12345</v>
      </c>
      <c r="M231" t="s">
        <v>192</v>
      </c>
      <c r="N231">
        <v>1E-3</v>
      </c>
      <c r="O231" t="s">
        <v>3</v>
      </c>
      <c r="P231">
        <v>1</v>
      </c>
      <c r="Q231" t="s">
        <v>2</v>
      </c>
      <c r="R231">
        <v>0</v>
      </c>
      <c r="S231" t="s">
        <v>17</v>
      </c>
      <c r="T231">
        <v>10</v>
      </c>
      <c r="U231" t="s">
        <v>0</v>
      </c>
      <c r="V231">
        <v>1.1000000000000001</v>
      </c>
      <c r="W231" t="s">
        <v>152</v>
      </c>
      <c r="X231">
        <v>2</v>
      </c>
      <c r="Y231" t="s">
        <v>153</v>
      </c>
      <c r="Z231">
        <v>4</v>
      </c>
      <c r="AA231" t="s">
        <v>151</v>
      </c>
      <c r="AB231">
        <v>853</v>
      </c>
      <c r="AC231" t="s">
        <v>1</v>
      </c>
      <c r="AD231" t="s">
        <v>1224</v>
      </c>
      <c r="AE231" t="s">
        <v>838</v>
      </c>
      <c r="AF231">
        <f>-1*X1</f>
        <v>-162</v>
      </c>
      <c r="AG231" t="s">
        <v>572</v>
      </c>
      <c r="AH231" t="s">
        <v>1225</v>
      </c>
    </row>
    <row r="232" spans="2:38" x14ac:dyDescent="0.25">
      <c r="B232" t="s">
        <v>1226</v>
      </c>
      <c r="C232" t="s">
        <v>4</v>
      </c>
      <c r="D232">
        <v>0</v>
      </c>
      <c r="E232" t="s">
        <v>5</v>
      </c>
      <c r="F232">
        <v>1</v>
      </c>
      <c r="G232" t="s">
        <v>189</v>
      </c>
      <c r="H232">
        <v>200</v>
      </c>
      <c r="I232" t="s">
        <v>190</v>
      </c>
      <c r="J232">
        <v>1000000</v>
      </c>
      <c r="K232" t="s">
        <v>191</v>
      </c>
      <c r="L232">
        <v>12345</v>
      </c>
      <c r="M232" t="s">
        <v>192</v>
      </c>
      <c r="N232">
        <v>1E-3</v>
      </c>
      <c r="O232" t="s">
        <v>3</v>
      </c>
      <c r="P232">
        <v>1</v>
      </c>
      <c r="Q232" t="s">
        <v>2</v>
      </c>
      <c r="R232">
        <v>0</v>
      </c>
      <c r="S232" t="s">
        <v>17</v>
      </c>
      <c r="T232">
        <v>9</v>
      </c>
      <c r="U232" t="s">
        <v>0</v>
      </c>
      <c r="V232">
        <v>0.7</v>
      </c>
      <c r="W232" t="s">
        <v>152</v>
      </c>
      <c r="X232">
        <v>1</v>
      </c>
      <c r="Y232" t="s">
        <v>153</v>
      </c>
      <c r="Z232">
        <v>3</v>
      </c>
      <c r="AA232" t="s">
        <v>151</v>
      </c>
      <c r="AB232">
        <v>486</v>
      </c>
      <c r="AC232" t="s">
        <v>1</v>
      </c>
      <c r="AD232" t="s">
        <v>1227</v>
      </c>
      <c r="AE232" t="s">
        <v>838</v>
      </c>
      <c r="AF232">
        <f>-1*X1</f>
        <v>-162</v>
      </c>
      <c r="AG232" t="s">
        <v>572</v>
      </c>
      <c r="AH232" t="s">
        <v>1097</v>
      </c>
    </row>
    <row r="233" spans="2:38" x14ac:dyDescent="0.25">
      <c r="B233" t="s">
        <v>1228</v>
      </c>
      <c r="C233" t="s">
        <v>4</v>
      </c>
      <c r="D233">
        <v>0</v>
      </c>
      <c r="E233" t="s">
        <v>5</v>
      </c>
      <c r="F233">
        <v>1</v>
      </c>
      <c r="G233" t="s">
        <v>189</v>
      </c>
      <c r="H233">
        <v>200</v>
      </c>
      <c r="I233" t="s">
        <v>190</v>
      </c>
      <c r="J233">
        <v>1000000</v>
      </c>
      <c r="K233" t="s">
        <v>191</v>
      </c>
      <c r="L233">
        <v>12345</v>
      </c>
      <c r="M233" t="s">
        <v>192</v>
      </c>
      <c r="N233">
        <v>1E-3</v>
      </c>
      <c r="O233" t="s">
        <v>3</v>
      </c>
      <c r="P233">
        <v>1</v>
      </c>
      <c r="Q233" t="s">
        <v>2</v>
      </c>
      <c r="R233">
        <v>0</v>
      </c>
      <c r="S233" t="s">
        <v>17</v>
      </c>
      <c r="T233">
        <v>14</v>
      </c>
      <c r="U233" t="s">
        <v>0</v>
      </c>
      <c r="V233">
        <v>12.6</v>
      </c>
      <c r="W233" t="s">
        <v>152</v>
      </c>
      <c r="X233">
        <v>3</v>
      </c>
      <c r="Y233" t="s">
        <v>153</v>
      </c>
      <c r="Z233">
        <v>18</v>
      </c>
      <c r="AA233" t="s">
        <v>151</v>
      </c>
      <c r="AB233">
        <v>7285</v>
      </c>
      <c r="AC233" t="s">
        <v>1</v>
      </c>
      <c r="AD233" t="s">
        <v>1229</v>
      </c>
      <c r="AE233" t="s">
        <v>838</v>
      </c>
      <c r="AF233" t="s">
        <v>606</v>
      </c>
      <c r="AG233" t="s">
        <v>572</v>
      </c>
      <c r="AH233" t="s">
        <v>1230</v>
      </c>
    </row>
    <row r="234" spans="2:38" x14ac:dyDescent="0.25">
      <c r="B234" t="s">
        <v>1231</v>
      </c>
      <c r="C234" t="s">
        <v>4</v>
      </c>
      <c r="D234">
        <v>1.9287E-3</v>
      </c>
      <c r="E234" t="s">
        <v>5</v>
      </c>
      <c r="F234">
        <v>0.99998100000000001</v>
      </c>
      <c r="G234" t="s">
        <v>189</v>
      </c>
      <c r="H234">
        <v>200</v>
      </c>
      <c r="I234" t="s">
        <v>190</v>
      </c>
      <c r="J234">
        <v>1000000</v>
      </c>
      <c r="K234" t="s">
        <v>191</v>
      </c>
      <c r="L234">
        <v>12345</v>
      </c>
      <c r="M234" t="s">
        <v>192</v>
      </c>
      <c r="N234">
        <v>1E-3</v>
      </c>
      <c r="O234" t="s">
        <v>3</v>
      </c>
      <c r="P234">
        <v>0.9999825</v>
      </c>
      <c r="Q234" t="s">
        <v>2</v>
      </c>
      <c r="R234">
        <v>1.918E-3</v>
      </c>
      <c r="S234" t="s">
        <v>17</v>
      </c>
      <c r="T234">
        <v>18</v>
      </c>
      <c r="U234" t="s">
        <v>0</v>
      </c>
      <c r="V234">
        <v>200.1</v>
      </c>
      <c r="W234" t="s">
        <v>152</v>
      </c>
      <c r="X234">
        <v>4</v>
      </c>
      <c r="Y234" t="s">
        <v>153</v>
      </c>
      <c r="Z234">
        <v>235</v>
      </c>
      <c r="AA234" t="s">
        <v>151</v>
      </c>
      <c r="AB234">
        <v>112950</v>
      </c>
      <c r="AC234" t="s">
        <v>1</v>
      </c>
      <c r="AD234" t="s">
        <v>1232</v>
      </c>
      <c r="AE234" t="s">
        <v>838</v>
      </c>
      <c r="AF234" t="s">
        <v>1233</v>
      </c>
      <c r="AG234" t="s">
        <v>572</v>
      </c>
      <c r="AH234" t="s">
        <v>1234</v>
      </c>
      <c r="AI234" t="s">
        <v>569</v>
      </c>
      <c r="AJ234" t="s">
        <v>1235</v>
      </c>
      <c r="AK234" t="s">
        <v>572</v>
      </c>
      <c r="AL234">
        <v>1.2094712051164</v>
      </c>
    </row>
    <row r="235" spans="2:38" x14ac:dyDescent="0.25">
      <c r="B235" t="s">
        <v>1236</v>
      </c>
      <c r="C235" t="s">
        <v>4</v>
      </c>
      <c r="D235">
        <v>0</v>
      </c>
      <c r="E235" t="s">
        <v>5</v>
      </c>
      <c r="F235">
        <v>1</v>
      </c>
      <c r="G235" t="s">
        <v>189</v>
      </c>
      <c r="H235">
        <v>200</v>
      </c>
      <c r="I235" t="s">
        <v>190</v>
      </c>
      <c r="J235">
        <v>1000000</v>
      </c>
      <c r="K235" t="s">
        <v>191</v>
      </c>
      <c r="L235">
        <v>12345</v>
      </c>
      <c r="M235" t="s">
        <v>192</v>
      </c>
      <c r="N235">
        <v>1E-3</v>
      </c>
      <c r="O235" t="s">
        <v>3</v>
      </c>
      <c r="P235">
        <v>1</v>
      </c>
      <c r="Q235" t="s">
        <v>2</v>
      </c>
      <c r="R235">
        <v>0</v>
      </c>
      <c r="S235" t="s">
        <v>17</v>
      </c>
      <c r="T235">
        <v>14</v>
      </c>
      <c r="U235" t="s">
        <v>0</v>
      </c>
      <c r="V235">
        <v>2.1</v>
      </c>
      <c r="W235" t="s">
        <v>152</v>
      </c>
      <c r="X235">
        <v>2</v>
      </c>
      <c r="Y235" t="s">
        <v>153</v>
      </c>
      <c r="Z235">
        <v>5</v>
      </c>
      <c r="AA235" t="s">
        <v>151</v>
      </c>
      <c r="AB235">
        <v>1323</v>
      </c>
      <c r="AC235" t="s">
        <v>1</v>
      </c>
      <c r="AD235" t="e" cm="1">
        <f t="array" ref="AD235">-1+(1*x0)+(1*X1)+(-1*X2)</f>
        <v>#NAME?</v>
      </c>
      <c r="AE235" t="s">
        <v>838</v>
      </c>
      <c r="AF235" t="s">
        <v>578</v>
      </c>
      <c r="AG235" t="s">
        <v>572</v>
      </c>
      <c r="AH235" t="s">
        <v>610</v>
      </c>
      <c r="AI235" t="s">
        <v>569</v>
      </c>
      <c r="AJ235" t="s">
        <v>577</v>
      </c>
      <c r="AK235" t="s">
        <v>569</v>
      </c>
      <c r="AL235">
        <v>1</v>
      </c>
    </row>
    <row r="236" spans="2:38" x14ac:dyDescent="0.25">
      <c r="B236" t="s">
        <v>1237</v>
      </c>
      <c r="C236" t="s">
        <v>4</v>
      </c>
      <c r="D236">
        <v>0</v>
      </c>
      <c r="E236" t="s">
        <v>5</v>
      </c>
      <c r="F236">
        <v>1</v>
      </c>
      <c r="G236" t="s">
        <v>189</v>
      </c>
      <c r="H236">
        <v>200</v>
      </c>
      <c r="I236" t="s">
        <v>190</v>
      </c>
      <c r="J236">
        <v>1000000</v>
      </c>
      <c r="K236" t="s">
        <v>191</v>
      </c>
      <c r="L236">
        <v>12345</v>
      </c>
      <c r="M236" t="s">
        <v>192</v>
      </c>
      <c r="N236">
        <v>1E-3</v>
      </c>
      <c r="O236" t="s">
        <v>3</v>
      </c>
      <c r="P236">
        <v>1</v>
      </c>
      <c r="Q236" t="s">
        <v>2</v>
      </c>
      <c r="R236">
        <v>0</v>
      </c>
      <c r="S236" t="s">
        <v>17</v>
      </c>
      <c r="T236">
        <v>11</v>
      </c>
      <c r="U236" t="s">
        <v>0</v>
      </c>
      <c r="V236">
        <v>21.7</v>
      </c>
      <c r="W236" t="s">
        <v>152</v>
      </c>
      <c r="X236">
        <v>3</v>
      </c>
      <c r="Y236" t="s">
        <v>153</v>
      </c>
      <c r="Z236">
        <v>21</v>
      </c>
      <c r="AA236" t="s">
        <v>151</v>
      </c>
      <c r="AB236">
        <v>12447</v>
      </c>
      <c r="AC236" t="s">
        <v>1</v>
      </c>
      <c r="AD236" t="s">
        <v>1238</v>
      </c>
      <c r="AE236" t="s">
        <v>838</v>
      </c>
      <c r="AF236" t="s">
        <v>1239</v>
      </c>
    </row>
    <row r="237" spans="2:38" x14ac:dyDescent="0.25">
      <c r="B237" t="s">
        <v>1240</v>
      </c>
      <c r="C237" t="s">
        <v>4</v>
      </c>
      <c r="D237">
        <v>0</v>
      </c>
      <c r="E237" t="s">
        <v>5</v>
      </c>
      <c r="F237">
        <v>1</v>
      </c>
      <c r="G237" t="s">
        <v>189</v>
      </c>
      <c r="H237">
        <v>200</v>
      </c>
      <c r="I237" t="s">
        <v>190</v>
      </c>
      <c r="J237">
        <v>1000000</v>
      </c>
      <c r="K237" t="s">
        <v>191</v>
      </c>
      <c r="L237">
        <v>12345</v>
      </c>
      <c r="M237" t="s">
        <v>192</v>
      </c>
      <c r="N237">
        <v>1E-3</v>
      </c>
      <c r="O237" t="s">
        <v>3</v>
      </c>
      <c r="P237">
        <v>1</v>
      </c>
      <c r="Q237" t="s">
        <v>2</v>
      </c>
      <c r="R237">
        <v>0</v>
      </c>
      <c r="S237" t="s">
        <v>17</v>
      </c>
      <c r="T237">
        <v>10</v>
      </c>
      <c r="U237" t="s">
        <v>0</v>
      </c>
      <c r="V237">
        <v>1</v>
      </c>
      <c r="W237" t="s">
        <v>152</v>
      </c>
      <c r="X237">
        <v>1</v>
      </c>
      <c r="Y237" t="s">
        <v>153</v>
      </c>
      <c r="Z237">
        <v>3</v>
      </c>
      <c r="AA237" t="s">
        <v>151</v>
      </c>
      <c r="AB237">
        <v>703</v>
      </c>
      <c r="AC237" t="s">
        <v>1</v>
      </c>
      <c r="AD237" t="s">
        <v>1241</v>
      </c>
      <c r="AE237" t="s">
        <v>838</v>
      </c>
      <c r="AF237" t="s">
        <v>1242</v>
      </c>
      <c r="AG237" t="s">
        <v>569</v>
      </c>
      <c r="AH237" t="s">
        <v>1243</v>
      </c>
    </row>
    <row r="238" spans="2:38" x14ac:dyDescent="0.25">
      <c r="B238" t="s">
        <v>1244</v>
      </c>
      <c r="C238" t="s">
        <v>4</v>
      </c>
      <c r="D238">
        <v>2.2991999999999999E-3</v>
      </c>
      <c r="E238" t="s">
        <v>5</v>
      </c>
      <c r="F238">
        <v>0.99991540000000001</v>
      </c>
      <c r="G238" t="s">
        <v>189</v>
      </c>
      <c r="H238">
        <v>200</v>
      </c>
      <c r="I238" t="s">
        <v>190</v>
      </c>
      <c r="J238">
        <v>1000000</v>
      </c>
      <c r="K238" t="s">
        <v>191</v>
      </c>
      <c r="L238">
        <v>12345</v>
      </c>
      <c r="M238" t="s">
        <v>192</v>
      </c>
      <c r="N238">
        <v>1E-3</v>
      </c>
      <c r="O238" t="s">
        <v>3</v>
      </c>
      <c r="P238">
        <v>0.99992389999999998</v>
      </c>
      <c r="Q238" t="s">
        <v>2</v>
      </c>
      <c r="R238">
        <v>2.1749999999999999E-3</v>
      </c>
      <c r="S238" t="s">
        <v>17</v>
      </c>
      <c r="T238">
        <v>15</v>
      </c>
      <c r="U238" t="s">
        <v>0</v>
      </c>
      <c r="V238">
        <v>200.1</v>
      </c>
      <c r="W238" t="s">
        <v>152</v>
      </c>
      <c r="X238">
        <v>6</v>
      </c>
      <c r="Y238" t="s">
        <v>153</v>
      </c>
      <c r="Z238">
        <v>199</v>
      </c>
      <c r="AA238" t="s">
        <v>151</v>
      </c>
      <c r="AB238">
        <v>111319</v>
      </c>
      <c r="AC238" t="s">
        <v>1</v>
      </c>
      <c r="AD238" t="s">
        <v>1245</v>
      </c>
      <c r="AE238" t="s">
        <v>838</v>
      </c>
      <c r="AF238" t="s">
        <v>1246</v>
      </c>
      <c r="AG238" t="s">
        <v>572</v>
      </c>
      <c r="AH238" t="s">
        <v>1247</v>
      </c>
      <c r="AI238" t="s">
        <v>572</v>
      </c>
      <c r="AJ238" t="s">
        <v>1248</v>
      </c>
    </row>
    <row r="239" spans="2:38" x14ac:dyDescent="0.25">
      <c r="B239" t="s">
        <v>1249</v>
      </c>
      <c r="C239" t="s">
        <v>4</v>
      </c>
      <c r="D239">
        <v>0</v>
      </c>
      <c r="E239" t="s">
        <v>5</v>
      </c>
      <c r="F239">
        <v>1</v>
      </c>
      <c r="G239" t="s">
        <v>189</v>
      </c>
      <c r="H239">
        <v>200</v>
      </c>
      <c r="I239" t="s">
        <v>190</v>
      </c>
      <c r="J239">
        <v>1000000</v>
      </c>
      <c r="K239" t="s">
        <v>191</v>
      </c>
      <c r="L239">
        <v>12345</v>
      </c>
      <c r="M239" t="s">
        <v>192</v>
      </c>
      <c r="N239">
        <v>1E-3</v>
      </c>
      <c r="O239" t="s">
        <v>3</v>
      </c>
      <c r="P239">
        <v>1</v>
      </c>
      <c r="Q239" t="s">
        <v>2</v>
      </c>
      <c r="R239">
        <v>0</v>
      </c>
      <c r="S239" t="s">
        <v>17</v>
      </c>
      <c r="T239">
        <v>12</v>
      </c>
      <c r="U239" t="s">
        <v>0</v>
      </c>
      <c r="V239">
        <v>3.7</v>
      </c>
      <c r="W239" t="s">
        <v>152</v>
      </c>
      <c r="X239">
        <v>1</v>
      </c>
      <c r="Y239" t="s">
        <v>153</v>
      </c>
      <c r="Z239">
        <v>4</v>
      </c>
      <c r="AA239" t="s">
        <v>151</v>
      </c>
      <c r="AB239">
        <v>2110</v>
      </c>
      <c r="AC239" t="s">
        <v>1</v>
      </c>
      <c r="AD239" t="s">
        <v>1250</v>
      </c>
      <c r="AE239" t="s">
        <v>838</v>
      </c>
      <c r="AF239" t="s">
        <v>1251</v>
      </c>
    </row>
    <row r="240" spans="2:38" x14ac:dyDescent="0.25">
      <c r="B240" t="s">
        <v>1252</v>
      </c>
      <c r="C240" t="s">
        <v>4</v>
      </c>
      <c r="D240">
        <v>0</v>
      </c>
      <c r="E240" t="s">
        <v>5</v>
      </c>
      <c r="F240">
        <v>1</v>
      </c>
      <c r="G240" t="s">
        <v>189</v>
      </c>
      <c r="H240">
        <v>200</v>
      </c>
      <c r="I240" t="s">
        <v>190</v>
      </c>
      <c r="J240">
        <v>1000000</v>
      </c>
      <c r="K240" t="s">
        <v>191</v>
      </c>
      <c r="L240">
        <v>12345</v>
      </c>
      <c r="M240" t="s">
        <v>192</v>
      </c>
      <c r="N240">
        <v>1E-3</v>
      </c>
      <c r="O240" t="s">
        <v>3</v>
      </c>
      <c r="P240">
        <v>1</v>
      </c>
      <c r="Q240" t="s">
        <v>2</v>
      </c>
      <c r="R240">
        <v>0</v>
      </c>
      <c r="S240" t="s">
        <v>17</v>
      </c>
      <c r="T240">
        <v>12</v>
      </c>
      <c r="U240" t="s">
        <v>0</v>
      </c>
      <c r="V240">
        <v>2.6</v>
      </c>
      <c r="W240" t="s">
        <v>152</v>
      </c>
      <c r="X240">
        <v>1</v>
      </c>
      <c r="Y240" t="s">
        <v>153</v>
      </c>
      <c r="Z240">
        <v>4</v>
      </c>
      <c r="AA240" t="s">
        <v>151</v>
      </c>
      <c r="AB240">
        <v>1690</v>
      </c>
      <c r="AC240" t="s">
        <v>1</v>
      </c>
      <c r="AD240" t="s">
        <v>877</v>
      </c>
      <c r="AE240" t="s">
        <v>838</v>
      </c>
      <c r="AF240" t="s">
        <v>878</v>
      </c>
    </row>
    <row r="241" spans="2:46" x14ac:dyDescent="0.25">
      <c r="B241" t="s">
        <v>1253</v>
      </c>
      <c r="C241" t="s">
        <v>4</v>
      </c>
      <c r="D241">
        <v>0</v>
      </c>
      <c r="E241" t="s">
        <v>5</v>
      </c>
      <c r="F241">
        <v>1</v>
      </c>
      <c r="G241" t="s">
        <v>189</v>
      </c>
      <c r="H241">
        <v>200</v>
      </c>
      <c r="I241" t="s">
        <v>190</v>
      </c>
      <c r="J241">
        <v>1000000</v>
      </c>
      <c r="K241" t="s">
        <v>191</v>
      </c>
      <c r="L241">
        <v>12345</v>
      </c>
      <c r="M241" t="s">
        <v>192</v>
      </c>
      <c r="N241">
        <v>1E-3</v>
      </c>
      <c r="O241" t="s">
        <v>3</v>
      </c>
      <c r="P241">
        <v>1</v>
      </c>
      <c r="Q241" t="s">
        <v>2</v>
      </c>
      <c r="R241">
        <v>0</v>
      </c>
      <c r="S241" t="s">
        <v>17</v>
      </c>
      <c r="T241">
        <v>14</v>
      </c>
      <c r="U241" t="s">
        <v>0</v>
      </c>
      <c r="V241">
        <v>1.8</v>
      </c>
      <c r="W241" t="s">
        <v>152</v>
      </c>
      <c r="X241">
        <v>1</v>
      </c>
      <c r="Y241" t="s">
        <v>153</v>
      </c>
      <c r="Z241">
        <v>4</v>
      </c>
      <c r="AA241" t="s">
        <v>151</v>
      </c>
      <c r="AB241">
        <v>1213</v>
      </c>
      <c r="AC241" t="s">
        <v>1</v>
      </c>
      <c r="AD241" t="s">
        <v>1254</v>
      </c>
      <c r="AE241" t="s">
        <v>838</v>
      </c>
      <c r="AF241" t="e" cm="1">
        <f t="array" ref="AF241">-1*x0*X1</f>
        <v>#NAME?</v>
      </c>
      <c r="AG241" t="s">
        <v>572</v>
      </c>
      <c r="AH241" t="s">
        <v>577</v>
      </c>
      <c r="AI241" t="s">
        <v>572</v>
      </c>
      <c r="AJ241" t="s">
        <v>1255</v>
      </c>
    </row>
    <row r="242" spans="2:46" x14ac:dyDescent="0.25">
      <c r="B242" t="s">
        <v>1256</v>
      </c>
      <c r="C242" t="s">
        <v>4</v>
      </c>
      <c r="D242">
        <v>0</v>
      </c>
      <c r="E242" t="s">
        <v>5</v>
      </c>
      <c r="F242">
        <v>1</v>
      </c>
      <c r="G242" t="s">
        <v>189</v>
      </c>
      <c r="H242">
        <v>200</v>
      </c>
      <c r="I242" t="s">
        <v>190</v>
      </c>
      <c r="J242">
        <v>1000000</v>
      </c>
      <c r="K242" t="s">
        <v>191</v>
      </c>
      <c r="L242">
        <v>12345</v>
      </c>
      <c r="M242" t="s">
        <v>192</v>
      </c>
      <c r="N242">
        <v>1E-3</v>
      </c>
      <c r="O242" t="s">
        <v>3</v>
      </c>
      <c r="P242">
        <v>1</v>
      </c>
      <c r="Q242" t="s">
        <v>2</v>
      </c>
      <c r="R242">
        <v>0</v>
      </c>
      <c r="S242" t="s">
        <v>17</v>
      </c>
      <c r="T242">
        <v>12</v>
      </c>
      <c r="U242" t="s">
        <v>0</v>
      </c>
      <c r="V242">
        <v>2.1</v>
      </c>
      <c r="W242" t="s">
        <v>152</v>
      </c>
      <c r="X242">
        <v>1</v>
      </c>
      <c r="Y242" t="s">
        <v>153</v>
      </c>
      <c r="Z242">
        <v>4</v>
      </c>
      <c r="AA242" t="s">
        <v>151</v>
      </c>
      <c r="AB242">
        <v>1428</v>
      </c>
      <c r="AC242" t="s">
        <v>1</v>
      </c>
      <c r="AD242" t="s">
        <v>1257</v>
      </c>
      <c r="AE242" t="s">
        <v>838</v>
      </c>
      <c r="AF242" t="s">
        <v>1242</v>
      </c>
      <c r="AG242" t="s">
        <v>572</v>
      </c>
      <c r="AH242" t="s">
        <v>1258</v>
      </c>
    </row>
    <row r="243" spans="2:46" x14ac:dyDescent="0.25">
      <c r="B243" t="s">
        <v>1259</v>
      </c>
      <c r="C243" t="s">
        <v>4</v>
      </c>
      <c r="D243">
        <v>0</v>
      </c>
      <c r="E243" t="s">
        <v>5</v>
      </c>
      <c r="F243">
        <v>1</v>
      </c>
      <c r="G243" t="s">
        <v>189</v>
      </c>
      <c r="H243">
        <v>200</v>
      </c>
      <c r="I243" t="s">
        <v>190</v>
      </c>
      <c r="J243">
        <v>1000000</v>
      </c>
      <c r="K243" t="s">
        <v>191</v>
      </c>
      <c r="L243">
        <v>12345</v>
      </c>
      <c r="M243" t="s">
        <v>192</v>
      </c>
      <c r="N243">
        <v>1E-3</v>
      </c>
      <c r="O243" t="s">
        <v>3</v>
      </c>
      <c r="P243">
        <v>1</v>
      </c>
      <c r="Q243" t="s">
        <v>2</v>
      </c>
      <c r="R243">
        <v>0</v>
      </c>
      <c r="S243" t="s">
        <v>17</v>
      </c>
      <c r="T243">
        <v>16</v>
      </c>
      <c r="U243" t="s">
        <v>0</v>
      </c>
      <c r="V243">
        <v>2</v>
      </c>
      <c r="W243" t="s">
        <v>152</v>
      </c>
      <c r="X243">
        <v>1</v>
      </c>
      <c r="Y243" t="s">
        <v>153</v>
      </c>
      <c r="Z243">
        <v>4</v>
      </c>
      <c r="AA243" t="s">
        <v>151</v>
      </c>
      <c r="AB243">
        <v>1056</v>
      </c>
      <c r="AC243" t="s">
        <v>1</v>
      </c>
      <c r="AD243" t="s">
        <v>1260</v>
      </c>
      <c r="AE243" t="s">
        <v>838</v>
      </c>
      <c r="AF243" t="s">
        <v>578</v>
      </c>
      <c r="AG243" t="s">
        <v>572</v>
      </c>
      <c r="AH243" t="s">
        <v>610</v>
      </c>
      <c r="AI243" t="s">
        <v>572</v>
      </c>
      <c r="AJ243" t="s">
        <v>577</v>
      </c>
      <c r="AK243" t="s">
        <v>569</v>
      </c>
      <c r="AL243" t="s">
        <v>1261</v>
      </c>
    </row>
    <row r="244" spans="2:46" x14ac:dyDescent="0.25">
      <c r="B244" t="s">
        <v>1262</v>
      </c>
      <c r="C244" t="s">
        <v>4</v>
      </c>
      <c r="D244">
        <v>1.0509E-3</v>
      </c>
      <c r="E244" t="s">
        <v>5</v>
      </c>
      <c r="F244">
        <v>0.99997199999999997</v>
      </c>
      <c r="G244" t="s">
        <v>189</v>
      </c>
      <c r="H244">
        <v>200</v>
      </c>
      <c r="I244" t="s">
        <v>190</v>
      </c>
      <c r="J244">
        <v>1000000</v>
      </c>
      <c r="K244" t="s">
        <v>191</v>
      </c>
      <c r="L244">
        <v>12345</v>
      </c>
      <c r="M244" t="s">
        <v>192</v>
      </c>
      <c r="N244">
        <v>1E-3</v>
      </c>
      <c r="O244" t="s">
        <v>3</v>
      </c>
      <c r="P244">
        <v>0.99997259999999999</v>
      </c>
      <c r="Q244" t="s">
        <v>2</v>
      </c>
      <c r="R244">
        <v>1.0309E-3</v>
      </c>
      <c r="S244" t="s">
        <v>17</v>
      </c>
      <c r="T244">
        <v>8</v>
      </c>
      <c r="U244" t="s">
        <v>0</v>
      </c>
      <c r="V244">
        <v>200.1</v>
      </c>
      <c r="W244" t="s">
        <v>152</v>
      </c>
      <c r="X244">
        <v>20</v>
      </c>
      <c r="Y244" t="s">
        <v>153</v>
      </c>
      <c r="Z244">
        <v>536</v>
      </c>
      <c r="AA244" t="s">
        <v>151</v>
      </c>
      <c r="AB244">
        <v>140003</v>
      </c>
      <c r="AC244" t="s">
        <v>1</v>
      </c>
      <c r="AD244" t="s">
        <v>1263</v>
      </c>
      <c r="AE244" t="s">
        <v>838</v>
      </c>
      <c r="AF244">
        <v>11.378353269182</v>
      </c>
      <c r="AG244" t="s">
        <v>569</v>
      </c>
      <c r="AH244" t="s">
        <v>1264</v>
      </c>
    </row>
    <row r="245" spans="2:46" x14ac:dyDescent="0.25">
      <c r="B245" t="s">
        <v>1265</v>
      </c>
      <c r="C245" t="s">
        <v>4</v>
      </c>
      <c r="D245">
        <v>0</v>
      </c>
      <c r="E245" t="s">
        <v>5</v>
      </c>
      <c r="F245">
        <v>1</v>
      </c>
      <c r="G245" t="s">
        <v>189</v>
      </c>
      <c r="H245">
        <v>200</v>
      </c>
      <c r="I245" t="s">
        <v>190</v>
      </c>
      <c r="J245">
        <v>1000000</v>
      </c>
      <c r="K245" t="s">
        <v>191</v>
      </c>
      <c r="L245">
        <v>12345</v>
      </c>
      <c r="M245" t="s">
        <v>192</v>
      </c>
      <c r="N245">
        <v>1E-3</v>
      </c>
      <c r="O245" t="s">
        <v>3</v>
      </c>
      <c r="P245">
        <v>1</v>
      </c>
      <c r="Q245" t="s">
        <v>2</v>
      </c>
      <c r="R245">
        <v>0</v>
      </c>
      <c r="S245" t="s">
        <v>17</v>
      </c>
      <c r="T245">
        <v>6</v>
      </c>
      <c r="U245" t="s">
        <v>0</v>
      </c>
      <c r="V245">
        <v>0.3</v>
      </c>
      <c r="W245" t="s">
        <v>152</v>
      </c>
      <c r="X245">
        <v>1</v>
      </c>
      <c r="Y245" t="s">
        <v>153</v>
      </c>
      <c r="Z245">
        <v>2</v>
      </c>
      <c r="AA245" t="s">
        <v>151</v>
      </c>
      <c r="AB245">
        <v>208</v>
      </c>
      <c r="AC245" t="s">
        <v>1</v>
      </c>
      <c r="AD245" t="s">
        <v>1266</v>
      </c>
      <c r="AE245" t="s">
        <v>838</v>
      </c>
      <c r="AF245">
        <v>6.5499845698541996</v>
      </c>
      <c r="AG245" t="s">
        <v>569</v>
      </c>
      <c r="AH245" t="s">
        <v>578</v>
      </c>
    </row>
    <row r="246" spans="2:46" x14ac:dyDescent="0.25">
      <c r="B246" t="s">
        <v>1267</v>
      </c>
      <c r="C246" t="s">
        <v>4</v>
      </c>
      <c r="D246">
        <v>0</v>
      </c>
      <c r="E246" t="s">
        <v>5</v>
      </c>
      <c r="F246">
        <v>1</v>
      </c>
      <c r="G246" t="s">
        <v>189</v>
      </c>
      <c r="H246">
        <v>200</v>
      </c>
      <c r="I246" t="s">
        <v>190</v>
      </c>
      <c r="J246">
        <v>1000000</v>
      </c>
      <c r="K246" t="s">
        <v>191</v>
      </c>
      <c r="L246">
        <v>12345</v>
      </c>
      <c r="M246" t="s">
        <v>192</v>
      </c>
      <c r="N246">
        <v>1E-3</v>
      </c>
      <c r="O246" t="s">
        <v>3</v>
      </c>
      <c r="P246">
        <v>1</v>
      </c>
      <c r="Q246" t="s">
        <v>2</v>
      </c>
      <c r="R246">
        <v>0</v>
      </c>
      <c r="S246" t="s">
        <v>17</v>
      </c>
      <c r="T246">
        <v>12</v>
      </c>
      <c r="U246" t="s">
        <v>0</v>
      </c>
      <c r="V246">
        <v>1.6</v>
      </c>
      <c r="W246" t="s">
        <v>152</v>
      </c>
      <c r="X246">
        <v>2</v>
      </c>
      <c r="Y246" t="s">
        <v>153</v>
      </c>
      <c r="Z246">
        <v>5</v>
      </c>
      <c r="AA246" t="s">
        <v>151</v>
      </c>
      <c r="AB246">
        <v>1045</v>
      </c>
      <c r="AC246" t="s">
        <v>1</v>
      </c>
      <c r="AD246" t="s">
        <v>1268</v>
      </c>
      <c r="AE246" t="s">
        <v>838</v>
      </c>
      <c r="AF246" t="s">
        <v>1269</v>
      </c>
      <c r="AG246" t="s">
        <v>572</v>
      </c>
      <c r="AH246" t="s">
        <v>1270</v>
      </c>
    </row>
    <row r="247" spans="2:46" x14ac:dyDescent="0.25">
      <c r="B247" t="s">
        <v>1271</v>
      </c>
      <c r="C247" t="s">
        <v>4</v>
      </c>
      <c r="D247">
        <v>0</v>
      </c>
      <c r="E247" t="s">
        <v>5</v>
      </c>
      <c r="F247">
        <v>1</v>
      </c>
      <c r="G247" t="s">
        <v>189</v>
      </c>
      <c r="H247">
        <v>200</v>
      </c>
      <c r="I247" t="s">
        <v>190</v>
      </c>
      <c r="J247">
        <v>1000000</v>
      </c>
      <c r="K247" t="s">
        <v>191</v>
      </c>
      <c r="L247">
        <v>12345</v>
      </c>
      <c r="M247" t="s">
        <v>192</v>
      </c>
      <c r="N247">
        <v>1E-3</v>
      </c>
      <c r="O247" t="s">
        <v>3</v>
      </c>
      <c r="P247">
        <v>1</v>
      </c>
      <c r="Q247" t="s">
        <v>2</v>
      </c>
      <c r="R247">
        <v>0</v>
      </c>
      <c r="S247" t="s">
        <v>17</v>
      </c>
      <c r="T247">
        <v>6</v>
      </c>
      <c r="U247" t="s">
        <v>0</v>
      </c>
      <c r="V247">
        <v>0.3</v>
      </c>
      <c r="W247" t="s">
        <v>152</v>
      </c>
      <c r="X247">
        <v>1</v>
      </c>
      <c r="Y247" t="s">
        <v>153</v>
      </c>
      <c r="Z247">
        <v>2</v>
      </c>
      <c r="AA247" t="s">
        <v>151</v>
      </c>
      <c r="AB247">
        <v>279</v>
      </c>
      <c r="AC247" t="s">
        <v>1</v>
      </c>
      <c r="AD247" t="s">
        <v>1272</v>
      </c>
      <c r="AE247" t="s">
        <v>838</v>
      </c>
      <c r="AF247" t="s">
        <v>1273</v>
      </c>
    </row>
    <row r="248" spans="2:46" x14ac:dyDescent="0.25">
      <c r="B248" t="s">
        <v>1274</v>
      </c>
      <c r="C248" t="s">
        <v>4</v>
      </c>
      <c r="D248">
        <v>0</v>
      </c>
      <c r="E248" t="s">
        <v>5</v>
      </c>
      <c r="F248">
        <v>1</v>
      </c>
      <c r="G248" t="s">
        <v>189</v>
      </c>
      <c r="H248">
        <v>200</v>
      </c>
      <c r="I248" t="s">
        <v>190</v>
      </c>
      <c r="J248">
        <v>1000000</v>
      </c>
      <c r="K248" t="s">
        <v>191</v>
      </c>
      <c r="L248">
        <v>12345</v>
      </c>
      <c r="M248" t="s">
        <v>192</v>
      </c>
      <c r="N248">
        <v>1E-3</v>
      </c>
      <c r="O248" t="s">
        <v>3</v>
      </c>
      <c r="P248">
        <v>1</v>
      </c>
      <c r="Q248" t="s">
        <v>2</v>
      </c>
      <c r="R248">
        <v>0</v>
      </c>
      <c r="S248" t="s">
        <v>17</v>
      </c>
      <c r="T248">
        <v>9</v>
      </c>
      <c r="U248" t="s">
        <v>0</v>
      </c>
      <c r="V248">
        <v>0.8</v>
      </c>
      <c r="W248" t="s">
        <v>152</v>
      </c>
      <c r="X248">
        <v>1</v>
      </c>
      <c r="Y248" t="s">
        <v>153</v>
      </c>
      <c r="Z248">
        <v>3</v>
      </c>
      <c r="AA248" t="s">
        <v>151</v>
      </c>
      <c r="AB248">
        <v>717</v>
      </c>
      <c r="AC248" t="s">
        <v>1</v>
      </c>
      <c r="AD248" t="s">
        <v>1275</v>
      </c>
      <c r="AE248" t="s">
        <v>838</v>
      </c>
      <c r="AF248" t="s">
        <v>1276</v>
      </c>
      <c r="AG248" t="s">
        <v>572</v>
      </c>
      <c r="AH248">
        <v>0.85563435482140004</v>
      </c>
    </row>
    <row r="249" spans="2:46" x14ac:dyDescent="0.25">
      <c r="B249" t="s">
        <v>1277</v>
      </c>
      <c r="C249" t="s">
        <v>4</v>
      </c>
      <c r="D249">
        <v>0</v>
      </c>
      <c r="E249" t="s">
        <v>5</v>
      </c>
      <c r="F249">
        <v>1</v>
      </c>
      <c r="G249" t="s">
        <v>189</v>
      </c>
      <c r="H249">
        <v>200</v>
      </c>
      <c r="I249" t="s">
        <v>190</v>
      </c>
      <c r="J249">
        <v>1000000</v>
      </c>
      <c r="K249" t="s">
        <v>191</v>
      </c>
      <c r="L249">
        <v>12345</v>
      </c>
      <c r="M249" t="s">
        <v>192</v>
      </c>
      <c r="N249">
        <v>1E-3</v>
      </c>
      <c r="O249" t="s">
        <v>3</v>
      </c>
      <c r="P249">
        <v>1</v>
      </c>
      <c r="Q249" t="s">
        <v>2</v>
      </c>
      <c r="R249">
        <v>0</v>
      </c>
      <c r="S249" t="s">
        <v>17</v>
      </c>
      <c r="T249">
        <v>22</v>
      </c>
      <c r="U249" t="s">
        <v>0</v>
      </c>
      <c r="V249">
        <v>27.7</v>
      </c>
      <c r="W249" t="s">
        <v>152</v>
      </c>
      <c r="X249">
        <v>3</v>
      </c>
      <c r="Y249" t="s">
        <v>153</v>
      </c>
      <c r="Z249">
        <v>21</v>
      </c>
      <c r="AA249" t="s">
        <v>151</v>
      </c>
      <c r="AB249">
        <v>12253</v>
      </c>
      <c r="AC249" t="s">
        <v>1</v>
      </c>
      <c r="AD249" t="s">
        <v>1278</v>
      </c>
      <c r="AE249" t="s">
        <v>838</v>
      </c>
      <c r="AF249" t="s">
        <v>846</v>
      </c>
      <c r="AG249" t="s">
        <v>572</v>
      </c>
      <c r="AH249" t="s">
        <v>1279</v>
      </c>
      <c r="AI249" t="s">
        <v>572</v>
      </c>
      <c r="AJ249" t="s">
        <v>1280</v>
      </c>
      <c r="AK249" t="s">
        <v>572</v>
      </c>
      <c r="AL249" t="s">
        <v>1281</v>
      </c>
    </row>
    <row r="250" spans="2:46" x14ac:dyDescent="0.25">
      <c r="B250" t="s">
        <v>1282</v>
      </c>
      <c r="C250" t="s">
        <v>4</v>
      </c>
      <c r="D250">
        <v>4.9899999999999996E-3</v>
      </c>
      <c r="E250" t="s">
        <v>5</v>
      </c>
      <c r="F250">
        <v>0.99998509999999996</v>
      </c>
      <c r="G250" t="s">
        <v>189</v>
      </c>
      <c r="H250">
        <v>200</v>
      </c>
      <c r="I250" t="s">
        <v>190</v>
      </c>
      <c r="J250">
        <v>1000000</v>
      </c>
      <c r="K250" t="s">
        <v>191</v>
      </c>
      <c r="L250">
        <v>12345</v>
      </c>
      <c r="M250" t="s">
        <v>192</v>
      </c>
      <c r="N250">
        <v>1E-3</v>
      </c>
      <c r="O250" t="s">
        <v>3</v>
      </c>
      <c r="P250">
        <v>0.99998359999999997</v>
      </c>
      <c r="Q250" t="s">
        <v>2</v>
      </c>
      <c r="R250">
        <v>5.3563999999999999E-3</v>
      </c>
      <c r="S250" t="s">
        <v>17</v>
      </c>
      <c r="T250">
        <v>21</v>
      </c>
      <c r="U250" t="s">
        <v>0</v>
      </c>
      <c r="V250">
        <v>200.1</v>
      </c>
      <c r="W250" t="s">
        <v>152</v>
      </c>
      <c r="X250">
        <v>7</v>
      </c>
      <c r="Y250" t="s">
        <v>153</v>
      </c>
      <c r="Z250">
        <v>121</v>
      </c>
      <c r="AA250" t="s">
        <v>151</v>
      </c>
      <c r="AB250">
        <v>93069</v>
      </c>
      <c r="AC250" t="s">
        <v>1</v>
      </c>
      <c r="AD250" t="s">
        <v>1283</v>
      </c>
      <c r="AE250" t="s">
        <v>838</v>
      </c>
      <c r="AF250" t="s">
        <v>1284</v>
      </c>
      <c r="AG250" t="s">
        <v>572</v>
      </c>
      <c r="AH250" t="s">
        <v>1285</v>
      </c>
      <c r="AI250" t="s">
        <v>572</v>
      </c>
      <c r="AJ250" t="s">
        <v>1286</v>
      </c>
    </row>
    <row r="251" spans="2:46" x14ac:dyDescent="0.25">
      <c r="B251" t="s">
        <v>1287</v>
      </c>
      <c r="C251" t="s">
        <v>4</v>
      </c>
      <c r="D251">
        <v>1.6708000000000001E-3</v>
      </c>
      <c r="E251" t="s">
        <v>5</v>
      </c>
      <c r="F251">
        <v>0.99995789999999996</v>
      </c>
      <c r="G251" t="s">
        <v>189</v>
      </c>
      <c r="H251">
        <v>200</v>
      </c>
      <c r="I251" t="s">
        <v>190</v>
      </c>
      <c r="J251">
        <v>1000000</v>
      </c>
      <c r="K251" t="s">
        <v>191</v>
      </c>
      <c r="L251">
        <v>12345</v>
      </c>
      <c r="M251" t="s">
        <v>192</v>
      </c>
      <c r="N251">
        <v>1E-3</v>
      </c>
      <c r="O251" t="s">
        <v>3</v>
      </c>
      <c r="P251">
        <v>0.99995900000000004</v>
      </c>
      <c r="Q251" t="s">
        <v>2</v>
      </c>
      <c r="R251">
        <v>1.5979E-3</v>
      </c>
      <c r="S251" t="s">
        <v>17</v>
      </c>
      <c r="T251">
        <v>23</v>
      </c>
      <c r="U251" t="s">
        <v>0</v>
      </c>
      <c r="V251">
        <v>200.2</v>
      </c>
      <c r="W251" t="s">
        <v>152</v>
      </c>
      <c r="X251">
        <v>4</v>
      </c>
      <c r="Y251" t="s">
        <v>153</v>
      </c>
      <c r="Z251">
        <v>154</v>
      </c>
      <c r="AA251" t="s">
        <v>151</v>
      </c>
      <c r="AB251">
        <v>101512</v>
      </c>
      <c r="AC251" t="s">
        <v>1</v>
      </c>
      <c r="AD251" t="s">
        <v>1288</v>
      </c>
      <c r="AE251" t="s">
        <v>838</v>
      </c>
      <c r="AF251" t="s">
        <v>1289</v>
      </c>
      <c r="AG251" t="s">
        <v>572</v>
      </c>
      <c r="AH251" t="s">
        <v>1290</v>
      </c>
      <c r="AI251" t="s">
        <v>572</v>
      </c>
      <c r="AJ251">
        <v>0.68860112868449996</v>
      </c>
    </row>
    <row r="252" spans="2:46" x14ac:dyDescent="0.25">
      <c r="B252" t="s">
        <v>1291</v>
      </c>
      <c r="C252" t="s">
        <v>4</v>
      </c>
      <c r="D252">
        <v>7.8501000000000005E-3</v>
      </c>
      <c r="E252" t="s">
        <v>5</v>
      </c>
      <c r="F252">
        <v>1</v>
      </c>
      <c r="G252" t="s">
        <v>189</v>
      </c>
      <c r="H252">
        <v>200</v>
      </c>
      <c r="I252" t="s">
        <v>190</v>
      </c>
      <c r="J252">
        <v>1000000</v>
      </c>
      <c r="K252" t="s">
        <v>191</v>
      </c>
      <c r="L252">
        <v>12345</v>
      </c>
      <c r="M252" t="s">
        <v>192</v>
      </c>
      <c r="N252">
        <v>1E-3</v>
      </c>
      <c r="O252" t="s">
        <v>3</v>
      </c>
      <c r="P252">
        <v>1</v>
      </c>
      <c r="Q252" t="s">
        <v>2</v>
      </c>
      <c r="R252">
        <v>7.8169999999999993E-3</v>
      </c>
      <c r="S252" t="s">
        <v>17</v>
      </c>
      <c r="T252">
        <v>60</v>
      </c>
      <c r="U252" t="s">
        <v>0</v>
      </c>
      <c r="V252">
        <v>200.3</v>
      </c>
      <c r="W252" t="s">
        <v>152</v>
      </c>
      <c r="X252">
        <v>6</v>
      </c>
      <c r="Y252" t="s">
        <v>153</v>
      </c>
      <c r="Z252">
        <v>53</v>
      </c>
      <c r="AA252" t="s">
        <v>151</v>
      </c>
      <c r="AB252">
        <v>65114</v>
      </c>
      <c r="AC252" t="s">
        <v>1</v>
      </c>
      <c r="AD252" t="e" cm="1">
        <f t="array" aca="1" ref="AD252" ca="1">-0.0119393503314+(1.0103349627795*EXP((9.8977702048898*x0)))+(0.9997468083513*LOG(SIN(X1)))+(145.574724302999*pow(x0,10))+(-2.0163424088272*pow((x0+((0.4052847345694*pow(x0,2))*EXP((2*pow(x0,2))))),3))+((-64.6369299393287*pow(((0.5*x0)+((-1*x0)*EXP(pow(x0,2)))),3))*EXP(x0))</f>
        <v>#NAME?</v>
      </c>
      <c r="AE252" t="s">
        <v>838</v>
      </c>
      <c r="AF252" t="s">
        <v>1292</v>
      </c>
      <c r="AG252" t="s">
        <v>569</v>
      </c>
      <c r="AH252" t="s">
        <v>1293</v>
      </c>
      <c r="AI252" t="s">
        <v>569</v>
      </c>
      <c r="AJ252" t="s">
        <v>1294</v>
      </c>
      <c r="AK252" t="s">
        <v>569</v>
      </c>
      <c r="AL252" t="s">
        <v>1295</v>
      </c>
      <c r="AM252" t="s">
        <v>572</v>
      </c>
      <c r="AN252" t="s">
        <v>1296</v>
      </c>
      <c r="AO252" t="s">
        <v>572</v>
      </c>
      <c r="AP252" t="s">
        <v>1297</v>
      </c>
      <c r="AQ252" t="s">
        <v>572</v>
      </c>
      <c r="AR252" t="s">
        <v>1298</v>
      </c>
      <c r="AS252" t="s">
        <v>569</v>
      </c>
      <c r="AT252">
        <v>1.1939350331400001E-2</v>
      </c>
    </row>
    <row r="253" spans="2:46" x14ac:dyDescent="0.25">
      <c r="B253" t="s">
        <v>1299</v>
      </c>
      <c r="C253" t="s">
        <v>4</v>
      </c>
      <c r="D253">
        <v>0</v>
      </c>
      <c r="E253" t="s">
        <v>5</v>
      </c>
      <c r="F253">
        <v>1</v>
      </c>
      <c r="G253" t="s">
        <v>189</v>
      </c>
      <c r="H253">
        <v>200</v>
      </c>
      <c r="I253" t="s">
        <v>190</v>
      </c>
      <c r="J253">
        <v>1000000</v>
      </c>
      <c r="K253" t="s">
        <v>191</v>
      </c>
      <c r="L253">
        <v>12345</v>
      </c>
      <c r="M253" t="s">
        <v>192</v>
      </c>
      <c r="N253">
        <v>1E-3</v>
      </c>
      <c r="O253" t="s">
        <v>3</v>
      </c>
      <c r="P253">
        <v>1</v>
      </c>
      <c r="Q253" t="s">
        <v>2</v>
      </c>
      <c r="R253">
        <v>0</v>
      </c>
      <c r="S253" t="s">
        <v>17</v>
      </c>
      <c r="T253">
        <v>17</v>
      </c>
      <c r="U253" t="s">
        <v>0</v>
      </c>
      <c r="V253">
        <v>20.5</v>
      </c>
      <c r="W253" t="s">
        <v>152</v>
      </c>
      <c r="X253">
        <v>3</v>
      </c>
      <c r="Y253" t="s">
        <v>153</v>
      </c>
      <c r="Z253">
        <v>22</v>
      </c>
      <c r="AA253" t="s">
        <v>151</v>
      </c>
      <c r="AB253">
        <v>11569</v>
      </c>
      <c r="AC253" t="s">
        <v>1</v>
      </c>
      <c r="AD253" t="s">
        <v>1300</v>
      </c>
      <c r="AE253" t="s">
        <v>838</v>
      </c>
      <c r="AF253" t="s">
        <v>1301</v>
      </c>
      <c r="AG253" t="s">
        <v>569</v>
      </c>
      <c r="AH253" t="s">
        <v>1302</v>
      </c>
    </row>
    <row r="254" spans="2:46" x14ac:dyDescent="0.25">
      <c r="B254" t="s">
        <v>1303</v>
      </c>
      <c r="C254" t="s">
        <v>4</v>
      </c>
      <c r="D254">
        <v>3.7297499999999997E-2</v>
      </c>
      <c r="E254" t="s">
        <v>5</v>
      </c>
      <c r="F254">
        <v>0.99712149999999999</v>
      </c>
      <c r="G254" t="s">
        <v>189</v>
      </c>
      <c r="H254">
        <v>200</v>
      </c>
      <c r="I254" t="s">
        <v>190</v>
      </c>
      <c r="J254">
        <v>1000000</v>
      </c>
      <c r="K254" t="s">
        <v>191</v>
      </c>
      <c r="L254">
        <v>12345</v>
      </c>
      <c r="M254" t="s">
        <v>192</v>
      </c>
      <c r="N254">
        <v>1E-3</v>
      </c>
      <c r="O254" t="s">
        <v>3</v>
      </c>
      <c r="P254">
        <v>0.99698509999999996</v>
      </c>
      <c r="Q254" t="s">
        <v>2</v>
      </c>
      <c r="R254">
        <v>3.80671E-2</v>
      </c>
      <c r="S254" t="s">
        <v>17</v>
      </c>
      <c r="T254">
        <v>25</v>
      </c>
      <c r="U254" t="s">
        <v>0</v>
      </c>
      <c r="V254">
        <v>200.2</v>
      </c>
      <c r="W254" t="s">
        <v>152</v>
      </c>
      <c r="X254">
        <v>11</v>
      </c>
      <c r="Y254" t="s">
        <v>153</v>
      </c>
      <c r="Z254">
        <v>106</v>
      </c>
      <c r="AA254" t="s">
        <v>151</v>
      </c>
      <c r="AB254">
        <v>89469</v>
      </c>
      <c r="AC254" t="s">
        <v>1</v>
      </c>
      <c r="AD254" t="e" cm="1">
        <f t="array" aca="1" ref="AD254" ca="1">-11.4023129640989+(22.8135636744567*X1)+(-25.8981316160238*SIN((-0.5+X1)))+(((-0.957424591308*x0)*X2)*pow(SIN(EXP(X1)),4))</f>
        <v>#NAME?</v>
      </c>
      <c r="AE254" t="s">
        <v>838</v>
      </c>
      <c r="AF254" t="s">
        <v>1304</v>
      </c>
      <c r="AG254" t="s">
        <v>572</v>
      </c>
      <c r="AH254" t="s">
        <v>1305</v>
      </c>
      <c r="AI254" t="s">
        <v>569</v>
      </c>
      <c r="AJ254" t="s">
        <v>1306</v>
      </c>
      <c r="AK254" t="s">
        <v>569</v>
      </c>
      <c r="AL254" t="s">
        <v>669</v>
      </c>
      <c r="AM254" t="s">
        <v>569</v>
      </c>
      <c r="AN254">
        <v>11.4023129640989</v>
      </c>
    </row>
    <row r="255" spans="2:46" x14ac:dyDescent="0.25">
      <c r="B255" t="s">
        <v>1307</v>
      </c>
      <c r="C255" t="s">
        <v>4</v>
      </c>
      <c r="D255">
        <v>2.4494700000000001E-2</v>
      </c>
      <c r="E255" t="s">
        <v>5</v>
      </c>
      <c r="F255">
        <v>0.99884740000000005</v>
      </c>
      <c r="G255" t="s">
        <v>189</v>
      </c>
      <c r="H255">
        <v>200</v>
      </c>
      <c r="I255" t="s">
        <v>190</v>
      </c>
      <c r="J255">
        <v>1000000</v>
      </c>
      <c r="K255" t="s">
        <v>191</v>
      </c>
      <c r="L255">
        <v>12345</v>
      </c>
      <c r="M255" t="s">
        <v>192</v>
      </c>
      <c r="N255">
        <v>1E-3</v>
      </c>
      <c r="O255" t="s">
        <v>3</v>
      </c>
      <c r="P255">
        <v>0.99886589999999997</v>
      </c>
      <c r="Q255" t="s">
        <v>2</v>
      </c>
      <c r="R255">
        <v>2.5204299999999999E-2</v>
      </c>
      <c r="S255" t="s">
        <v>17</v>
      </c>
      <c r="T255">
        <v>23</v>
      </c>
      <c r="U255" t="s">
        <v>0</v>
      </c>
      <c r="V255">
        <v>200.3</v>
      </c>
      <c r="W255" t="s">
        <v>152</v>
      </c>
      <c r="X255">
        <v>4</v>
      </c>
      <c r="Y255" t="s">
        <v>153</v>
      </c>
      <c r="Z255">
        <v>102</v>
      </c>
      <c r="AA255" t="s">
        <v>151</v>
      </c>
      <c r="AB255">
        <v>98062</v>
      </c>
      <c r="AC255" t="s">
        <v>1</v>
      </c>
      <c r="AD255" t="e" cm="1">
        <f t="array" aca="1" ref="AD255" ca="1">-0.424772307944+(1.4619024445748*COS(((x0*X2)+(X1*X2))))+(0.8244910526625*pow(((0.25+x0)+X1),2))</f>
        <v>#NAME?</v>
      </c>
      <c r="AE255" t="s">
        <v>838</v>
      </c>
      <c r="AF255" t="s">
        <v>1308</v>
      </c>
      <c r="AG255" t="s">
        <v>572</v>
      </c>
      <c r="AH255" t="s">
        <v>762</v>
      </c>
      <c r="AI255" t="s">
        <v>572</v>
      </c>
      <c r="AJ255" t="s">
        <v>1309</v>
      </c>
      <c r="AK255" t="s">
        <v>572</v>
      </c>
      <c r="AL255" t="s">
        <v>1310</v>
      </c>
      <c r="AM255" t="s">
        <v>572</v>
      </c>
      <c r="AN255" t="s">
        <v>1311</v>
      </c>
      <c r="AO255" t="s">
        <v>569</v>
      </c>
      <c r="AP255">
        <v>0.424772307944</v>
      </c>
    </row>
    <row r="256" spans="2:46" x14ac:dyDescent="0.25">
      <c r="B256" t="s">
        <v>1312</v>
      </c>
      <c r="C256" t="s">
        <v>4</v>
      </c>
      <c r="D256">
        <v>0</v>
      </c>
      <c r="E256" t="s">
        <v>5</v>
      </c>
      <c r="F256">
        <v>1</v>
      </c>
      <c r="G256" t="s">
        <v>189</v>
      </c>
      <c r="H256">
        <v>200</v>
      </c>
      <c r="I256" t="s">
        <v>190</v>
      </c>
      <c r="J256">
        <v>1000000</v>
      </c>
      <c r="K256" t="s">
        <v>191</v>
      </c>
      <c r="L256">
        <v>12345</v>
      </c>
      <c r="M256" t="s">
        <v>192</v>
      </c>
      <c r="N256">
        <v>1E-3</v>
      </c>
      <c r="O256" t="s">
        <v>3</v>
      </c>
      <c r="P256">
        <v>1</v>
      </c>
      <c r="Q256" t="s">
        <v>2</v>
      </c>
      <c r="R256">
        <v>0</v>
      </c>
      <c r="S256" t="s">
        <v>17</v>
      </c>
      <c r="T256">
        <v>15</v>
      </c>
      <c r="U256" t="s">
        <v>0</v>
      </c>
      <c r="V256">
        <v>6.9</v>
      </c>
      <c r="W256" t="s">
        <v>152</v>
      </c>
      <c r="X256">
        <v>2</v>
      </c>
      <c r="Y256" t="s">
        <v>153</v>
      </c>
      <c r="Z256">
        <v>8</v>
      </c>
      <c r="AA256" t="s">
        <v>151</v>
      </c>
      <c r="AB256">
        <v>3464</v>
      </c>
      <c r="AC256" t="s">
        <v>1</v>
      </c>
      <c r="AD256" t="e" cm="1">
        <f t="array" ref="AD256">-1+(1*x0)+(1*X2)+(-1*EXP(X1))</f>
        <v>#NAME?</v>
      </c>
      <c r="AE256" t="s">
        <v>838</v>
      </c>
      <c r="AF256" t="s">
        <v>578</v>
      </c>
      <c r="AG256" t="s">
        <v>572</v>
      </c>
      <c r="AH256" t="s">
        <v>577</v>
      </c>
      <c r="AI256" t="s">
        <v>569</v>
      </c>
      <c r="AJ256" t="s">
        <v>1313</v>
      </c>
      <c r="AK256" t="s">
        <v>569</v>
      </c>
      <c r="AL256">
        <v>1</v>
      </c>
    </row>
    <row r="257" spans="2:48" x14ac:dyDescent="0.25">
      <c r="B257" t="s">
        <v>1314</v>
      </c>
      <c r="C257" t="s">
        <v>4</v>
      </c>
      <c r="D257">
        <v>0</v>
      </c>
      <c r="E257" t="s">
        <v>5</v>
      </c>
      <c r="F257">
        <v>1</v>
      </c>
      <c r="G257" t="s">
        <v>189</v>
      </c>
      <c r="H257">
        <v>200</v>
      </c>
      <c r="I257" t="s">
        <v>190</v>
      </c>
      <c r="J257">
        <v>1000000</v>
      </c>
      <c r="K257" t="s">
        <v>191</v>
      </c>
      <c r="L257">
        <v>12345</v>
      </c>
      <c r="M257" t="s">
        <v>192</v>
      </c>
      <c r="N257">
        <v>1E-3</v>
      </c>
      <c r="O257" t="s">
        <v>3</v>
      </c>
      <c r="P257">
        <v>1</v>
      </c>
      <c r="Q257" t="s">
        <v>2</v>
      </c>
      <c r="R257">
        <v>0</v>
      </c>
      <c r="S257" t="s">
        <v>17</v>
      </c>
      <c r="T257">
        <v>15</v>
      </c>
      <c r="U257" t="s">
        <v>0</v>
      </c>
      <c r="V257">
        <v>2.2000000000000002</v>
      </c>
      <c r="W257" t="s">
        <v>152</v>
      </c>
      <c r="X257">
        <v>1</v>
      </c>
      <c r="Y257" t="s">
        <v>153</v>
      </c>
      <c r="Z257">
        <v>4</v>
      </c>
      <c r="AA257" t="s">
        <v>151</v>
      </c>
      <c r="AB257">
        <v>1551</v>
      </c>
      <c r="AC257" t="s">
        <v>1</v>
      </c>
      <c r="AD257" t="e" cm="1">
        <f t="array" aca="1" ref="AD257" ca="1">0+(1*LOG(X1))+((1*X2)*pow(x0,-1))</f>
        <v>#NAME?</v>
      </c>
      <c r="AE257" t="s">
        <v>838</v>
      </c>
      <c r="AF257" t="s">
        <v>1315</v>
      </c>
      <c r="AG257" t="s">
        <v>572</v>
      </c>
      <c r="AH257" t="s">
        <v>1316</v>
      </c>
    </row>
    <row r="258" spans="2:48" x14ac:dyDescent="0.25">
      <c r="B258" t="s">
        <v>1317</v>
      </c>
      <c r="C258" t="s">
        <v>4</v>
      </c>
      <c r="D258">
        <v>0</v>
      </c>
      <c r="E258" t="s">
        <v>5</v>
      </c>
      <c r="F258">
        <v>1</v>
      </c>
      <c r="G258" t="s">
        <v>189</v>
      </c>
      <c r="H258">
        <v>200</v>
      </c>
      <c r="I258" t="s">
        <v>190</v>
      </c>
      <c r="J258">
        <v>1000000</v>
      </c>
      <c r="K258" t="s">
        <v>191</v>
      </c>
      <c r="L258">
        <v>12345</v>
      </c>
      <c r="M258" t="s">
        <v>192</v>
      </c>
      <c r="N258">
        <v>1E-3</v>
      </c>
      <c r="O258" t="s">
        <v>3</v>
      </c>
      <c r="P258">
        <v>1</v>
      </c>
      <c r="Q258" t="s">
        <v>2</v>
      </c>
      <c r="R258">
        <v>0</v>
      </c>
      <c r="S258" t="s">
        <v>17</v>
      </c>
      <c r="T258">
        <v>11</v>
      </c>
      <c r="U258" t="s">
        <v>0</v>
      </c>
      <c r="V258">
        <v>23</v>
      </c>
      <c r="W258" t="s">
        <v>152</v>
      </c>
      <c r="X258">
        <v>2</v>
      </c>
      <c r="Y258" t="s">
        <v>153</v>
      </c>
      <c r="Z258">
        <v>14</v>
      </c>
      <c r="AA258" t="s">
        <v>151</v>
      </c>
      <c r="AB258">
        <v>10229</v>
      </c>
      <c r="AC258" t="s">
        <v>1</v>
      </c>
      <c r="AD258" t="s">
        <v>1318</v>
      </c>
      <c r="AE258" t="s">
        <v>838</v>
      </c>
      <c r="AF258" t="s">
        <v>1319</v>
      </c>
      <c r="AG258" t="s">
        <v>572</v>
      </c>
      <c r="AH258" t="s">
        <v>1320</v>
      </c>
    </row>
    <row r="259" spans="2:48" x14ac:dyDescent="0.25">
      <c r="B259" t="s">
        <v>1321</v>
      </c>
      <c r="C259" t="s">
        <v>4</v>
      </c>
      <c r="D259">
        <v>9.2830800000000005E-2</v>
      </c>
      <c r="E259" t="s">
        <v>5</v>
      </c>
      <c r="F259">
        <v>0.91410329999999995</v>
      </c>
      <c r="G259" t="s">
        <v>189</v>
      </c>
      <c r="H259">
        <v>200</v>
      </c>
      <c r="I259" t="s">
        <v>190</v>
      </c>
      <c r="J259">
        <v>1000000</v>
      </c>
      <c r="K259" t="s">
        <v>191</v>
      </c>
      <c r="L259">
        <v>12345</v>
      </c>
      <c r="M259" t="s">
        <v>192</v>
      </c>
      <c r="N259">
        <v>1E-3</v>
      </c>
      <c r="O259" t="s">
        <v>3</v>
      </c>
      <c r="P259">
        <v>0.9127518</v>
      </c>
      <c r="Q259" t="s">
        <v>2</v>
      </c>
      <c r="R259">
        <v>9.2768400000000001E-2</v>
      </c>
      <c r="S259" t="s">
        <v>17</v>
      </c>
      <c r="T259">
        <v>36</v>
      </c>
      <c r="U259" t="s">
        <v>0</v>
      </c>
      <c r="V259">
        <v>200.5</v>
      </c>
      <c r="W259" t="s">
        <v>152</v>
      </c>
      <c r="X259">
        <v>3</v>
      </c>
      <c r="Y259" t="s">
        <v>153</v>
      </c>
      <c r="Z259">
        <v>97</v>
      </c>
      <c r="AA259" t="s">
        <v>151</v>
      </c>
      <c r="AB259">
        <v>86633</v>
      </c>
      <c r="AC259" t="s">
        <v>1</v>
      </c>
      <c r="AD259" t="s">
        <v>1322</v>
      </c>
      <c r="AE259" t="s">
        <v>838</v>
      </c>
      <c r="AF259" t="s">
        <v>1323</v>
      </c>
      <c r="AG259" t="s">
        <v>572</v>
      </c>
      <c r="AH259" t="s">
        <v>762</v>
      </c>
      <c r="AI259" t="s">
        <v>572</v>
      </c>
      <c r="AJ259" t="s">
        <v>1324</v>
      </c>
      <c r="AK259" t="s">
        <v>572</v>
      </c>
      <c r="AL259" t="s">
        <v>1325</v>
      </c>
      <c r="AM259" t="s">
        <v>572</v>
      </c>
      <c r="AN259" t="s">
        <v>1326</v>
      </c>
      <c r="AO259" t="s">
        <v>572</v>
      </c>
      <c r="AP259" t="s">
        <v>1327</v>
      </c>
      <c r="AQ259" t="s">
        <v>569</v>
      </c>
      <c r="AR259" t="s">
        <v>1328</v>
      </c>
      <c r="AS259" t="s">
        <v>572</v>
      </c>
      <c r="AT259">
        <v>0.94663968755869998</v>
      </c>
    </row>
    <row r="260" spans="2:48" x14ac:dyDescent="0.25">
      <c r="B260" t="s">
        <v>1329</v>
      </c>
      <c r="C260" t="s">
        <v>4</v>
      </c>
      <c r="D260">
        <v>0</v>
      </c>
      <c r="E260" t="s">
        <v>5</v>
      </c>
      <c r="F260">
        <v>1</v>
      </c>
      <c r="G260" t="s">
        <v>189</v>
      </c>
      <c r="H260">
        <v>200</v>
      </c>
      <c r="I260" t="s">
        <v>190</v>
      </c>
      <c r="J260">
        <v>1000000</v>
      </c>
      <c r="K260" t="s">
        <v>191</v>
      </c>
      <c r="L260">
        <v>12345</v>
      </c>
      <c r="M260" t="s">
        <v>192</v>
      </c>
      <c r="N260">
        <v>1E-3</v>
      </c>
      <c r="O260" t="s">
        <v>3</v>
      </c>
      <c r="P260">
        <v>1</v>
      </c>
      <c r="Q260" t="s">
        <v>2</v>
      </c>
      <c r="R260">
        <v>0</v>
      </c>
      <c r="S260" t="s">
        <v>17</v>
      </c>
      <c r="T260">
        <v>13</v>
      </c>
      <c r="U260" t="s">
        <v>0</v>
      </c>
      <c r="V260">
        <v>22.6</v>
      </c>
      <c r="W260" t="s">
        <v>152</v>
      </c>
      <c r="X260">
        <v>1</v>
      </c>
      <c r="Y260" t="s">
        <v>153</v>
      </c>
      <c r="Z260">
        <v>10</v>
      </c>
      <c r="AA260" t="s">
        <v>151</v>
      </c>
      <c r="AB260">
        <v>9841</v>
      </c>
      <c r="AC260" t="s">
        <v>1</v>
      </c>
      <c r="AD260" t="s">
        <v>1330</v>
      </c>
      <c r="AE260" t="s">
        <v>838</v>
      </c>
      <c r="AF260" t="s">
        <v>1331</v>
      </c>
    </row>
    <row r="261" spans="2:48" x14ac:dyDescent="0.25">
      <c r="B261" t="s">
        <v>1332</v>
      </c>
      <c r="C261" t="s">
        <v>4</v>
      </c>
      <c r="D261">
        <v>0</v>
      </c>
      <c r="E261" t="s">
        <v>5</v>
      </c>
      <c r="F261">
        <v>1</v>
      </c>
      <c r="G261" t="s">
        <v>189</v>
      </c>
      <c r="H261">
        <v>200</v>
      </c>
      <c r="I261" t="s">
        <v>190</v>
      </c>
      <c r="J261">
        <v>1000000</v>
      </c>
      <c r="K261" t="s">
        <v>191</v>
      </c>
      <c r="L261">
        <v>12345</v>
      </c>
      <c r="M261" t="s">
        <v>192</v>
      </c>
      <c r="N261">
        <v>1E-3</v>
      </c>
      <c r="O261" t="s">
        <v>3</v>
      </c>
      <c r="P261">
        <v>1</v>
      </c>
      <c r="Q261" t="s">
        <v>2</v>
      </c>
      <c r="R261">
        <v>0</v>
      </c>
      <c r="S261" t="s">
        <v>17</v>
      </c>
      <c r="T261">
        <v>18</v>
      </c>
      <c r="U261" t="s">
        <v>0</v>
      </c>
      <c r="V261">
        <v>46</v>
      </c>
      <c r="W261" t="s">
        <v>152</v>
      </c>
      <c r="X261">
        <v>3</v>
      </c>
      <c r="Y261" t="s">
        <v>153</v>
      </c>
      <c r="Z261">
        <v>25</v>
      </c>
      <c r="AA261" t="s">
        <v>151</v>
      </c>
      <c r="AB261">
        <v>22517</v>
      </c>
      <c r="AC261" t="s">
        <v>1</v>
      </c>
      <c r="AD261" t="s">
        <v>1333</v>
      </c>
      <c r="AE261" t="s">
        <v>838</v>
      </c>
      <c r="AF261" t="s">
        <v>1334</v>
      </c>
      <c r="AG261" t="s">
        <v>572</v>
      </c>
      <c r="AH261" t="s">
        <v>1335</v>
      </c>
    </row>
    <row r="262" spans="2:48" x14ac:dyDescent="0.25">
      <c r="B262" t="s">
        <v>1336</v>
      </c>
      <c r="C262" t="s">
        <v>4</v>
      </c>
      <c r="D262">
        <v>4.6332040000000001</v>
      </c>
      <c r="E262" t="s">
        <v>5</v>
      </c>
      <c r="F262">
        <v>-57.533383299999997</v>
      </c>
      <c r="G262" t="s">
        <v>189</v>
      </c>
      <c r="H262">
        <v>200</v>
      </c>
      <c r="I262" t="s">
        <v>190</v>
      </c>
      <c r="J262">
        <v>1000000</v>
      </c>
      <c r="K262" t="s">
        <v>191</v>
      </c>
      <c r="L262">
        <v>12345</v>
      </c>
      <c r="M262" t="s">
        <v>192</v>
      </c>
      <c r="N262">
        <v>1E-3</v>
      </c>
      <c r="O262" t="s">
        <v>3</v>
      </c>
      <c r="P262">
        <v>0.51254949999999999</v>
      </c>
      <c r="Q262" t="s">
        <v>2</v>
      </c>
      <c r="R262">
        <v>0.42103279999999998</v>
      </c>
      <c r="S262" t="s">
        <v>17</v>
      </c>
      <c r="T262">
        <v>44</v>
      </c>
      <c r="U262" t="s">
        <v>0</v>
      </c>
      <c r="V262">
        <v>200.3</v>
      </c>
      <c r="W262" t="s">
        <v>152</v>
      </c>
      <c r="X262">
        <v>8</v>
      </c>
      <c r="Y262" t="s">
        <v>153</v>
      </c>
      <c r="Z262">
        <v>68</v>
      </c>
      <c r="AA262" t="s">
        <v>151</v>
      </c>
      <c r="AB262">
        <v>84564</v>
      </c>
      <c r="AC262" t="s">
        <v>1</v>
      </c>
      <c r="AD262" t="s">
        <v>1337</v>
      </c>
      <c r="AE262" t="s">
        <v>838</v>
      </c>
      <c r="AF262">
        <f>-1.3386354527603*X1*X2</f>
        <v>-301867.64913925866</v>
      </c>
      <c r="AG262" t="s">
        <v>569</v>
      </c>
      <c r="AH262" t="s">
        <v>1338</v>
      </c>
      <c r="AI262" t="s">
        <v>569</v>
      </c>
      <c r="AJ262" t="s">
        <v>1339</v>
      </c>
      <c r="AK262" t="s">
        <v>572</v>
      </c>
      <c r="AL262" t="s">
        <v>626</v>
      </c>
      <c r="AM262" t="s">
        <v>569</v>
      </c>
      <c r="AN262" t="s">
        <v>1340</v>
      </c>
      <c r="AO262" t="s">
        <v>572</v>
      </c>
      <c r="AP262" t="s">
        <v>1341</v>
      </c>
      <c r="AQ262" t="s">
        <v>572</v>
      </c>
      <c r="AR262" t="s">
        <v>1342</v>
      </c>
      <c r="AS262" t="s">
        <v>572</v>
      </c>
      <c r="AT262" t="s">
        <v>1343</v>
      </c>
      <c r="AU262" t="s">
        <v>572</v>
      </c>
      <c r="AV262">
        <v>1.6556325650829999</v>
      </c>
    </row>
    <row r="263" spans="2:48" x14ac:dyDescent="0.25">
      <c r="B263" t="s">
        <v>1344</v>
      </c>
      <c r="C263" t="s">
        <v>4</v>
      </c>
      <c r="D263">
        <v>0</v>
      </c>
      <c r="E263" t="s">
        <v>5</v>
      </c>
      <c r="F263">
        <v>1</v>
      </c>
      <c r="G263" t="s">
        <v>189</v>
      </c>
      <c r="H263">
        <v>200</v>
      </c>
      <c r="I263" t="s">
        <v>190</v>
      </c>
      <c r="J263">
        <v>1000000</v>
      </c>
      <c r="K263" t="s">
        <v>191</v>
      </c>
      <c r="L263">
        <v>12345</v>
      </c>
      <c r="M263" t="s">
        <v>192</v>
      </c>
      <c r="N263">
        <v>1E-3</v>
      </c>
      <c r="O263" t="s">
        <v>3</v>
      </c>
      <c r="P263">
        <v>1</v>
      </c>
      <c r="Q263" t="s">
        <v>2</v>
      </c>
      <c r="R263">
        <v>0</v>
      </c>
      <c r="S263" t="s">
        <v>17</v>
      </c>
      <c r="T263">
        <v>16</v>
      </c>
      <c r="U263" t="s">
        <v>0</v>
      </c>
      <c r="V263">
        <v>3.1</v>
      </c>
      <c r="W263" t="s">
        <v>152</v>
      </c>
      <c r="X263">
        <v>1</v>
      </c>
      <c r="Y263" t="s">
        <v>153</v>
      </c>
      <c r="Z263">
        <v>5</v>
      </c>
      <c r="AA263" t="s">
        <v>151</v>
      </c>
      <c r="AB263">
        <v>1713</v>
      </c>
      <c r="AC263" t="s">
        <v>1</v>
      </c>
      <c r="AD263" t="s">
        <v>1345</v>
      </c>
      <c r="AE263" t="s">
        <v>838</v>
      </c>
      <c r="AF263" t="s">
        <v>1242</v>
      </c>
      <c r="AG263" t="s">
        <v>572</v>
      </c>
      <c r="AH263" t="s">
        <v>1346</v>
      </c>
      <c r="AI263" t="s">
        <v>572</v>
      </c>
      <c r="AJ263" t="s">
        <v>1255</v>
      </c>
    </row>
    <row r="264" spans="2:48" x14ac:dyDescent="0.25">
      <c r="B264" t="s">
        <v>1347</v>
      </c>
      <c r="C264" t="s">
        <v>4</v>
      </c>
      <c r="D264">
        <v>5.2990000000000003E-4</v>
      </c>
      <c r="E264" t="s">
        <v>5</v>
      </c>
      <c r="F264">
        <v>0.99995860000000003</v>
      </c>
      <c r="G264" t="s">
        <v>189</v>
      </c>
      <c r="H264">
        <v>200</v>
      </c>
      <c r="I264" t="s">
        <v>190</v>
      </c>
      <c r="J264">
        <v>1000000</v>
      </c>
      <c r="K264" t="s">
        <v>191</v>
      </c>
      <c r="L264">
        <v>12345</v>
      </c>
      <c r="M264" t="s">
        <v>192</v>
      </c>
      <c r="N264">
        <v>1E-3</v>
      </c>
      <c r="O264" t="s">
        <v>3</v>
      </c>
      <c r="P264">
        <v>0.99995599999999996</v>
      </c>
      <c r="Q264" t="s">
        <v>2</v>
      </c>
      <c r="R264">
        <v>5.3129999999999996E-4</v>
      </c>
      <c r="S264" t="s">
        <v>17</v>
      </c>
      <c r="T264">
        <v>11</v>
      </c>
      <c r="U264" t="s">
        <v>0</v>
      </c>
      <c r="V264">
        <v>200.1</v>
      </c>
      <c r="W264" t="s">
        <v>152</v>
      </c>
      <c r="X264">
        <v>8</v>
      </c>
      <c r="Y264" t="s">
        <v>153</v>
      </c>
      <c r="Z264">
        <v>414</v>
      </c>
      <c r="AA264" t="s">
        <v>151</v>
      </c>
      <c r="AB264">
        <v>137640</v>
      </c>
      <c r="AC264" t="s">
        <v>1</v>
      </c>
      <c r="AD264" t="s">
        <v>1348</v>
      </c>
      <c r="AE264" t="s">
        <v>838</v>
      </c>
      <c r="AF264" t="e" cm="1">
        <f t="array" ref="AF264">-0.5717885581333*x0</f>
        <v>#NAME?</v>
      </c>
      <c r="AG264" t="s">
        <v>569</v>
      </c>
      <c r="AH264" t="s">
        <v>1349</v>
      </c>
      <c r="AI264" t="s">
        <v>572</v>
      </c>
      <c r="AJ264">
        <v>0.93263511082240003</v>
      </c>
    </row>
    <row r="265" spans="2:48" x14ac:dyDescent="0.25">
      <c r="B265" t="s">
        <v>1350</v>
      </c>
      <c r="C265" t="s">
        <v>4</v>
      </c>
      <c r="D265">
        <v>0</v>
      </c>
      <c r="E265" t="s">
        <v>5</v>
      </c>
      <c r="F265">
        <v>1</v>
      </c>
      <c r="G265" t="s">
        <v>189</v>
      </c>
      <c r="H265">
        <v>200</v>
      </c>
      <c r="I265" t="s">
        <v>190</v>
      </c>
      <c r="J265">
        <v>1000000</v>
      </c>
      <c r="K265" t="s">
        <v>191</v>
      </c>
      <c r="L265">
        <v>12345</v>
      </c>
      <c r="M265" t="s">
        <v>192</v>
      </c>
      <c r="N265">
        <v>1E-3</v>
      </c>
      <c r="O265" t="s">
        <v>3</v>
      </c>
      <c r="P265">
        <v>1</v>
      </c>
      <c r="Q265" t="s">
        <v>2</v>
      </c>
      <c r="R265">
        <v>0</v>
      </c>
      <c r="S265" t="s">
        <v>17</v>
      </c>
      <c r="T265">
        <v>7</v>
      </c>
      <c r="U265" t="s">
        <v>0</v>
      </c>
      <c r="V265">
        <v>0.9</v>
      </c>
      <c r="W265" t="s">
        <v>152</v>
      </c>
      <c r="X265">
        <v>1</v>
      </c>
      <c r="Y265" t="s">
        <v>153</v>
      </c>
      <c r="Z265">
        <v>3</v>
      </c>
      <c r="AA265" t="s">
        <v>151</v>
      </c>
      <c r="AB265">
        <v>652</v>
      </c>
      <c r="AC265" t="s">
        <v>1</v>
      </c>
      <c r="AD265" t="s">
        <v>1351</v>
      </c>
      <c r="AE265" t="s">
        <v>838</v>
      </c>
      <c r="AF265" t="e" cm="1">
        <f t="array" ref="AF265">-2.4029979617223*COS(2*x0)</f>
        <v>#NAME?</v>
      </c>
    </row>
    <row r="266" spans="2:48" x14ac:dyDescent="0.25">
      <c r="B266" t="s">
        <v>1352</v>
      </c>
      <c r="C266" t="s">
        <v>4</v>
      </c>
      <c r="D266">
        <v>13861008.9803167</v>
      </c>
      <c r="E266" t="s">
        <v>5</v>
      </c>
      <c r="F266">
        <v>-3442125550.9041901</v>
      </c>
      <c r="G266" t="s">
        <v>189</v>
      </c>
      <c r="H266">
        <v>200</v>
      </c>
      <c r="I266" t="s">
        <v>190</v>
      </c>
      <c r="J266">
        <v>1000000</v>
      </c>
      <c r="K266" t="s">
        <v>191</v>
      </c>
      <c r="L266">
        <v>12345</v>
      </c>
      <c r="M266" t="s">
        <v>192</v>
      </c>
      <c r="N266">
        <v>1E-3</v>
      </c>
      <c r="O266" t="s">
        <v>3</v>
      </c>
      <c r="P266">
        <v>-163080001.65934601</v>
      </c>
      <c r="Q266" t="s">
        <v>2</v>
      </c>
      <c r="R266">
        <v>8640575.2861755006</v>
      </c>
      <c r="S266" t="s">
        <v>17</v>
      </c>
      <c r="T266">
        <v>38</v>
      </c>
      <c r="U266" t="s">
        <v>0</v>
      </c>
      <c r="V266">
        <v>201.2</v>
      </c>
      <c r="W266" t="s">
        <v>152</v>
      </c>
      <c r="X266">
        <v>8</v>
      </c>
      <c r="Y266" t="s">
        <v>153</v>
      </c>
      <c r="Z266">
        <v>136</v>
      </c>
      <c r="AA266" t="s">
        <v>151</v>
      </c>
      <c r="AB266">
        <v>88081</v>
      </c>
      <c r="AC266" t="s">
        <v>1</v>
      </c>
      <c r="AD266" t="e" cm="1">
        <f t="array" aca="1" ref="AD266" ca="1">-0.6439441879249+(-13.9464831918405*pow(x0,18.5))+(-0.5406025273464*x0)+(-3.5363768673076*pow(x0,4))+(-170.973883447009*pow(x0,142))+((-5565744.998122*pow(COS(pow(x0,142)),-28))*pow(SIN(x0),71))</f>
        <v>#NAME?</v>
      </c>
      <c r="AE266" t="s">
        <v>838</v>
      </c>
      <c r="AF266" t="e" cm="1">
        <f t="array" ref="AF266">-0.5406025273464*x0</f>
        <v>#NAME?</v>
      </c>
      <c r="AG266" t="s">
        <v>569</v>
      </c>
      <c r="AH266" t="s">
        <v>1353</v>
      </c>
      <c r="AI266" t="s">
        <v>569</v>
      </c>
      <c r="AJ266" t="s">
        <v>1354</v>
      </c>
      <c r="AK266" t="s">
        <v>569</v>
      </c>
      <c r="AL266" t="s">
        <v>1355</v>
      </c>
      <c r="AM266" t="s">
        <v>569</v>
      </c>
      <c r="AN266" t="s">
        <v>1356</v>
      </c>
      <c r="AO266" t="s">
        <v>569</v>
      </c>
      <c r="AP266">
        <v>0.64394418792490005</v>
      </c>
    </row>
    <row r="267" spans="2:48" x14ac:dyDescent="0.25">
      <c r="B267" t="s">
        <v>1357</v>
      </c>
      <c r="C267" t="s">
        <v>4</v>
      </c>
      <c r="D267">
        <v>0</v>
      </c>
      <c r="E267" t="s">
        <v>5</v>
      </c>
      <c r="F267">
        <v>1</v>
      </c>
      <c r="G267" t="s">
        <v>189</v>
      </c>
      <c r="H267">
        <v>200</v>
      </c>
      <c r="I267" t="s">
        <v>190</v>
      </c>
      <c r="J267">
        <v>1000000</v>
      </c>
      <c r="K267" t="s">
        <v>191</v>
      </c>
      <c r="L267">
        <v>12345</v>
      </c>
      <c r="M267" t="s">
        <v>192</v>
      </c>
      <c r="N267">
        <v>1E-3</v>
      </c>
      <c r="O267" t="s">
        <v>3</v>
      </c>
      <c r="P267">
        <v>1</v>
      </c>
      <c r="Q267" t="s">
        <v>2</v>
      </c>
      <c r="R267">
        <v>0</v>
      </c>
      <c r="S267" t="s">
        <v>17</v>
      </c>
      <c r="T267">
        <v>8</v>
      </c>
      <c r="U267" t="s">
        <v>0</v>
      </c>
      <c r="V267">
        <v>0.4</v>
      </c>
      <c r="W267" t="s">
        <v>152</v>
      </c>
      <c r="X267">
        <v>1</v>
      </c>
      <c r="Y267" t="s">
        <v>153</v>
      </c>
      <c r="Z267">
        <v>2</v>
      </c>
      <c r="AA267" t="s">
        <v>151</v>
      </c>
      <c r="AB267">
        <v>267</v>
      </c>
      <c r="AC267" t="s">
        <v>1</v>
      </c>
      <c r="AD267" t="s">
        <v>1358</v>
      </c>
      <c r="AE267" t="s">
        <v>838</v>
      </c>
      <c r="AF267" t="s">
        <v>1359</v>
      </c>
      <c r="AG267" t="s">
        <v>572</v>
      </c>
      <c r="AH267">
        <v>17.152789708269001</v>
      </c>
    </row>
    <row r="268" spans="2:48" x14ac:dyDescent="0.25">
      <c r="B268" t="s">
        <v>1360</v>
      </c>
      <c r="C268" t="s">
        <v>4</v>
      </c>
      <c r="D268">
        <v>1.4178000000000001E-3</v>
      </c>
      <c r="E268" t="s">
        <v>5</v>
      </c>
      <c r="F268">
        <v>0.99978060000000002</v>
      </c>
      <c r="G268" t="s">
        <v>189</v>
      </c>
      <c r="H268">
        <v>200</v>
      </c>
      <c r="I268" t="s">
        <v>190</v>
      </c>
      <c r="J268">
        <v>1000000</v>
      </c>
      <c r="K268" t="s">
        <v>191</v>
      </c>
      <c r="L268">
        <v>12345</v>
      </c>
      <c r="M268" t="s">
        <v>192</v>
      </c>
      <c r="N268">
        <v>1E-3</v>
      </c>
      <c r="O268" t="s">
        <v>3</v>
      </c>
      <c r="P268">
        <v>0.99978690000000003</v>
      </c>
      <c r="Q268" t="s">
        <v>2</v>
      </c>
      <c r="R268">
        <v>1.372E-3</v>
      </c>
      <c r="S268" t="s">
        <v>17</v>
      </c>
      <c r="T268">
        <v>7</v>
      </c>
      <c r="U268" t="s">
        <v>0</v>
      </c>
      <c r="V268">
        <v>200.5</v>
      </c>
      <c r="W268" t="s">
        <v>152</v>
      </c>
      <c r="X268">
        <v>87</v>
      </c>
      <c r="Y268" t="s">
        <v>153</v>
      </c>
      <c r="Z268">
        <v>342</v>
      </c>
      <c r="AA268" t="s">
        <v>151</v>
      </c>
      <c r="AB268">
        <v>72673</v>
      </c>
      <c r="AC268" t="s">
        <v>1</v>
      </c>
      <c r="AD268" t="s">
        <v>1361</v>
      </c>
      <c r="AE268" t="s">
        <v>838</v>
      </c>
      <c r="AF268" t="s">
        <v>1362</v>
      </c>
      <c r="AG268" t="s">
        <v>572</v>
      </c>
      <c r="AH268">
        <v>0.55280637101660002</v>
      </c>
    </row>
    <row r="269" spans="2:48" x14ac:dyDescent="0.25">
      <c r="B269" t="s">
        <v>1363</v>
      </c>
      <c r="C269" t="s">
        <v>4</v>
      </c>
      <c r="D269">
        <v>0</v>
      </c>
      <c r="E269" t="s">
        <v>5</v>
      </c>
      <c r="F269">
        <v>1</v>
      </c>
      <c r="G269" t="s">
        <v>189</v>
      </c>
      <c r="H269">
        <v>200</v>
      </c>
      <c r="I269" t="s">
        <v>190</v>
      </c>
      <c r="J269">
        <v>1000000</v>
      </c>
      <c r="K269" t="s">
        <v>191</v>
      </c>
      <c r="L269">
        <v>12345</v>
      </c>
      <c r="M269" t="s">
        <v>192</v>
      </c>
      <c r="N269">
        <v>1E-3</v>
      </c>
      <c r="O269" t="s">
        <v>3</v>
      </c>
      <c r="P269">
        <v>1</v>
      </c>
      <c r="Q269" t="s">
        <v>2</v>
      </c>
      <c r="R269">
        <v>0</v>
      </c>
      <c r="S269" t="s">
        <v>17</v>
      </c>
      <c r="T269">
        <v>9</v>
      </c>
      <c r="U269" t="s">
        <v>0</v>
      </c>
      <c r="V269">
        <v>10.5</v>
      </c>
      <c r="W269" t="s">
        <v>152</v>
      </c>
      <c r="X269">
        <v>1</v>
      </c>
      <c r="Y269" t="s">
        <v>153</v>
      </c>
      <c r="Z269">
        <v>9</v>
      </c>
      <c r="AA269" t="s">
        <v>151</v>
      </c>
      <c r="AB269">
        <v>5660</v>
      </c>
      <c r="AC269" t="s">
        <v>1</v>
      </c>
      <c r="AD269" t="s">
        <v>1364</v>
      </c>
      <c r="AE269" t="s">
        <v>838</v>
      </c>
      <c r="AF269" t="s">
        <v>1365</v>
      </c>
    </row>
    <row r="270" spans="2:48" x14ac:dyDescent="0.25">
      <c r="B270" t="s">
        <v>1366</v>
      </c>
      <c r="C270" t="s">
        <v>4</v>
      </c>
      <c r="D270">
        <v>1.43932E-2</v>
      </c>
      <c r="E270" t="s">
        <v>5</v>
      </c>
      <c r="F270">
        <v>0.99739109999999997</v>
      </c>
      <c r="G270" t="s">
        <v>189</v>
      </c>
      <c r="H270">
        <v>200</v>
      </c>
      <c r="I270" t="s">
        <v>190</v>
      </c>
      <c r="J270">
        <v>1000000</v>
      </c>
      <c r="K270" t="s">
        <v>191</v>
      </c>
      <c r="L270">
        <v>12345</v>
      </c>
      <c r="M270" t="s">
        <v>192</v>
      </c>
      <c r="N270">
        <v>1E-3</v>
      </c>
      <c r="O270" t="s">
        <v>3</v>
      </c>
      <c r="P270">
        <v>0.99742649999999999</v>
      </c>
      <c r="Q270" t="s">
        <v>2</v>
      </c>
      <c r="R270">
        <v>1.4011600000000001E-2</v>
      </c>
      <c r="S270" t="s">
        <v>17</v>
      </c>
      <c r="T270">
        <v>19</v>
      </c>
      <c r="U270" t="s">
        <v>0</v>
      </c>
      <c r="V270">
        <v>200.1</v>
      </c>
      <c r="W270" t="s">
        <v>152</v>
      </c>
      <c r="X270">
        <v>3</v>
      </c>
      <c r="Y270" t="s">
        <v>153</v>
      </c>
      <c r="Z270">
        <v>206</v>
      </c>
      <c r="AA270" t="s">
        <v>151</v>
      </c>
      <c r="AB270">
        <v>109580</v>
      </c>
      <c r="AC270" t="s">
        <v>1</v>
      </c>
      <c r="AD270" t="s">
        <v>1367</v>
      </c>
      <c r="AE270" t="s">
        <v>838</v>
      </c>
      <c r="AF270" t="e" cm="1">
        <f t="array" ref="AF270">-1.0748505894141*x0</f>
        <v>#NAME?</v>
      </c>
      <c r="AG270" t="s">
        <v>569</v>
      </c>
      <c r="AH270" t="s">
        <v>1368</v>
      </c>
      <c r="AI270" t="s">
        <v>572</v>
      </c>
      <c r="AJ270" t="s">
        <v>1369</v>
      </c>
      <c r="AK270" t="s">
        <v>572</v>
      </c>
      <c r="AL270" t="s">
        <v>1370</v>
      </c>
      <c r="AM270" t="s">
        <v>572</v>
      </c>
      <c r="AN270">
        <v>0.62741813674419999</v>
      </c>
    </row>
    <row r="271" spans="2:48" x14ac:dyDescent="0.25">
      <c r="B271" t="s">
        <v>1371</v>
      </c>
      <c r="C271" t="s">
        <v>4</v>
      </c>
      <c r="D271">
        <v>7.7206999999999996E-3</v>
      </c>
      <c r="E271" t="s">
        <v>5</v>
      </c>
      <c r="F271">
        <v>0.99819950000000002</v>
      </c>
      <c r="G271" t="s">
        <v>189</v>
      </c>
      <c r="H271">
        <v>200</v>
      </c>
      <c r="I271" t="s">
        <v>190</v>
      </c>
      <c r="J271">
        <v>1000000</v>
      </c>
      <c r="K271" t="s">
        <v>191</v>
      </c>
      <c r="L271">
        <v>12345</v>
      </c>
      <c r="M271" t="s">
        <v>192</v>
      </c>
      <c r="N271">
        <v>1E-3</v>
      </c>
      <c r="O271" t="s">
        <v>3</v>
      </c>
      <c r="P271">
        <v>0.99821400000000005</v>
      </c>
      <c r="Q271" t="s">
        <v>2</v>
      </c>
      <c r="R271">
        <v>7.7066000000000001E-3</v>
      </c>
      <c r="S271" t="s">
        <v>17</v>
      </c>
      <c r="T271">
        <v>16</v>
      </c>
      <c r="U271" t="s">
        <v>0</v>
      </c>
      <c r="V271">
        <v>200.1</v>
      </c>
      <c r="W271" t="s">
        <v>152</v>
      </c>
      <c r="X271">
        <v>3</v>
      </c>
      <c r="Y271" t="s">
        <v>153</v>
      </c>
      <c r="Z271">
        <v>251</v>
      </c>
      <c r="AA271" t="s">
        <v>151</v>
      </c>
      <c r="AB271">
        <v>117627</v>
      </c>
      <c r="AC271" t="s">
        <v>1</v>
      </c>
      <c r="AD271" t="s">
        <v>1372</v>
      </c>
      <c r="AE271" t="s">
        <v>838</v>
      </c>
      <c r="AF271" t="s">
        <v>1373</v>
      </c>
      <c r="AG271" t="s">
        <v>569</v>
      </c>
      <c r="AH271" t="s">
        <v>1374</v>
      </c>
      <c r="AI271" t="s">
        <v>572</v>
      </c>
      <c r="AJ271">
        <v>1.8722409412465999</v>
      </c>
    </row>
    <row r="272" spans="2:48" x14ac:dyDescent="0.25">
      <c r="B272" t="s">
        <v>1375</v>
      </c>
      <c r="C272" t="s">
        <v>4</v>
      </c>
      <c r="D272">
        <v>0</v>
      </c>
      <c r="E272" t="s">
        <v>5</v>
      </c>
      <c r="F272">
        <v>1</v>
      </c>
      <c r="G272" t="s">
        <v>189</v>
      </c>
      <c r="H272">
        <v>200</v>
      </c>
      <c r="I272" t="s">
        <v>190</v>
      </c>
      <c r="J272">
        <v>1000000</v>
      </c>
      <c r="K272" t="s">
        <v>191</v>
      </c>
      <c r="L272">
        <v>12345</v>
      </c>
      <c r="M272" t="s">
        <v>192</v>
      </c>
      <c r="N272">
        <v>1E-3</v>
      </c>
      <c r="O272" t="s">
        <v>3</v>
      </c>
      <c r="P272">
        <v>1</v>
      </c>
      <c r="Q272" t="s">
        <v>2</v>
      </c>
      <c r="R272">
        <v>0</v>
      </c>
      <c r="S272" t="s">
        <v>17</v>
      </c>
      <c r="T272">
        <v>13</v>
      </c>
      <c r="U272" t="s">
        <v>0</v>
      </c>
      <c r="V272">
        <v>8.3000000000000007</v>
      </c>
      <c r="W272" t="s">
        <v>152</v>
      </c>
      <c r="X272">
        <v>2</v>
      </c>
      <c r="Y272" t="s">
        <v>153</v>
      </c>
      <c r="Z272">
        <v>9</v>
      </c>
      <c r="AA272" t="s">
        <v>151</v>
      </c>
      <c r="AB272">
        <v>4344</v>
      </c>
      <c r="AC272" t="s">
        <v>1</v>
      </c>
      <c r="AD272" t="s">
        <v>1376</v>
      </c>
      <c r="AE272" t="s">
        <v>838</v>
      </c>
      <c r="AF272" t="s">
        <v>586</v>
      </c>
      <c r="AG272" t="s">
        <v>569</v>
      </c>
      <c r="AH272" t="s">
        <v>1152</v>
      </c>
      <c r="AI272" t="s">
        <v>572</v>
      </c>
      <c r="AJ272">
        <v>11</v>
      </c>
    </row>
    <row r="273" spans="2:46" x14ac:dyDescent="0.25">
      <c r="B273" t="s">
        <v>1377</v>
      </c>
      <c r="C273" t="s">
        <v>4</v>
      </c>
      <c r="D273">
        <v>0</v>
      </c>
      <c r="E273" t="s">
        <v>5</v>
      </c>
      <c r="F273">
        <v>1</v>
      </c>
      <c r="G273" t="s">
        <v>189</v>
      </c>
      <c r="H273">
        <v>200</v>
      </c>
      <c r="I273" t="s">
        <v>190</v>
      </c>
      <c r="J273">
        <v>1000000</v>
      </c>
      <c r="K273" t="s">
        <v>191</v>
      </c>
      <c r="L273">
        <v>12345</v>
      </c>
      <c r="M273" t="s">
        <v>192</v>
      </c>
      <c r="N273">
        <v>1E-3</v>
      </c>
      <c r="O273" t="s">
        <v>3</v>
      </c>
      <c r="P273">
        <v>1</v>
      </c>
      <c r="Q273" t="s">
        <v>2</v>
      </c>
      <c r="R273">
        <v>0</v>
      </c>
      <c r="S273" t="s">
        <v>17</v>
      </c>
      <c r="T273">
        <v>9</v>
      </c>
      <c r="U273" t="s">
        <v>0</v>
      </c>
      <c r="V273">
        <v>18.399999999999999</v>
      </c>
      <c r="W273" t="s">
        <v>152</v>
      </c>
      <c r="X273">
        <v>5</v>
      </c>
      <c r="Y273" t="s">
        <v>153</v>
      </c>
      <c r="Z273">
        <v>52</v>
      </c>
      <c r="AA273" t="s">
        <v>151</v>
      </c>
      <c r="AB273">
        <v>13055</v>
      </c>
      <c r="AC273" t="s">
        <v>1</v>
      </c>
      <c r="AD273" t="s">
        <v>1378</v>
      </c>
      <c r="AE273" t="s">
        <v>838</v>
      </c>
      <c r="AF273">
        <v>0.54030230586810002</v>
      </c>
      <c r="AG273" t="s">
        <v>572</v>
      </c>
      <c r="AH273" t="s">
        <v>1379</v>
      </c>
    </row>
    <row r="274" spans="2:46" x14ac:dyDescent="0.25">
      <c r="B274" t="s">
        <v>1380</v>
      </c>
      <c r="C274" t="s">
        <v>4</v>
      </c>
      <c r="D274">
        <v>0</v>
      </c>
      <c r="E274" t="s">
        <v>5</v>
      </c>
      <c r="F274">
        <v>1</v>
      </c>
      <c r="G274" t="s">
        <v>189</v>
      </c>
      <c r="H274">
        <v>200</v>
      </c>
      <c r="I274" t="s">
        <v>190</v>
      </c>
      <c r="J274">
        <v>1000000</v>
      </c>
      <c r="K274" t="s">
        <v>191</v>
      </c>
      <c r="L274">
        <v>12345</v>
      </c>
      <c r="M274" t="s">
        <v>192</v>
      </c>
      <c r="N274">
        <v>1E-3</v>
      </c>
      <c r="O274" t="s">
        <v>3</v>
      </c>
      <c r="P274">
        <v>1</v>
      </c>
      <c r="Q274" t="s">
        <v>2</v>
      </c>
      <c r="R274">
        <v>0</v>
      </c>
      <c r="S274" t="s">
        <v>17</v>
      </c>
      <c r="T274">
        <v>16</v>
      </c>
      <c r="U274" t="s">
        <v>0</v>
      </c>
      <c r="V274">
        <v>6.8</v>
      </c>
      <c r="W274" t="s">
        <v>152</v>
      </c>
      <c r="X274">
        <v>3</v>
      </c>
      <c r="Y274" t="s">
        <v>153</v>
      </c>
      <c r="Z274">
        <v>9</v>
      </c>
      <c r="AA274" t="s">
        <v>151</v>
      </c>
      <c r="AB274">
        <v>3802</v>
      </c>
      <c r="AC274" t="s">
        <v>1</v>
      </c>
      <c r="AD274" t="e" cm="1">
        <f t="array" ref="AD274">-1+(1*x0)+(1*SIN(X2))+(-1*EXP(X1))</f>
        <v>#NAME?</v>
      </c>
      <c r="AE274" t="s">
        <v>838</v>
      </c>
      <c r="AF274" t="s">
        <v>578</v>
      </c>
      <c r="AG274" t="s">
        <v>569</v>
      </c>
      <c r="AH274" t="s">
        <v>1313</v>
      </c>
      <c r="AI274" t="s">
        <v>572</v>
      </c>
      <c r="AJ274" t="s">
        <v>1381</v>
      </c>
      <c r="AK274" t="s">
        <v>569</v>
      </c>
      <c r="AL274">
        <v>1</v>
      </c>
    </row>
    <row r="275" spans="2:46" x14ac:dyDescent="0.25">
      <c r="B275" t="s">
        <v>1382</v>
      </c>
      <c r="C275" t="s">
        <v>4</v>
      </c>
      <c r="D275">
        <v>0</v>
      </c>
      <c r="E275" t="s">
        <v>5</v>
      </c>
      <c r="F275">
        <v>1</v>
      </c>
      <c r="G275" t="s">
        <v>189</v>
      </c>
      <c r="H275">
        <v>200</v>
      </c>
      <c r="I275" t="s">
        <v>190</v>
      </c>
      <c r="J275">
        <v>1000000</v>
      </c>
      <c r="K275" t="s">
        <v>191</v>
      </c>
      <c r="L275">
        <v>12345</v>
      </c>
      <c r="M275" t="s">
        <v>192</v>
      </c>
      <c r="N275">
        <v>1E-3</v>
      </c>
      <c r="O275" t="s">
        <v>3</v>
      </c>
      <c r="P275">
        <v>1</v>
      </c>
      <c r="Q275" t="s">
        <v>2</v>
      </c>
      <c r="R275">
        <v>0</v>
      </c>
      <c r="S275" t="s">
        <v>17</v>
      </c>
      <c r="T275">
        <v>12</v>
      </c>
      <c r="U275" t="s">
        <v>0</v>
      </c>
      <c r="V275">
        <v>4.0999999999999996</v>
      </c>
      <c r="W275" t="s">
        <v>152</v>
      </c>
      <c r="X275">
        <v>2</v>
      </c>
      <c r="Y275" t="s">
        <v>153</v>
      </c>
      <c r="Z275">
        <v>7</v>
      </c>
      <c r="AA275" t="s">
        <v>151</v>
      </c>
      <c r="AB275">
        <v>2687</v>
      </c>
      <c r="AC275" t="s">
        <v>1</v>
      </c>
      <c r="AD275" t="s">
        <v>1383</v>
      </c>
      <c r="AE275" t="s">
        <v>838</v>
      </c>
      <c r="AF275">
        <f>-1*LOG(X1)</f>
        <v>-2.2095150145426308</v>
      </c>
      <c r="AG275" t="s">
        <v>572</v>
      </c>
      <c r="AH275" t="s">
        <v>1384</v>
      </c>
    </row>
    <row r="276" spans="2:46" x14ac:dyDescent="0.25">
      <c r="B276" t="s">
        <v>1385</v>
      </c>
      <c r="C276" t="s">
        <v>4</v>
      </c>
      <c r="D276">
        <v>7.3762000000000003E-3</v>
      </c>
      <c r="E276" t="s">
        <v>5</v>
      </c>
      <c r="F276">
        <v>0.99960590000000005</v>
      </c>
      <c r="G276" t="s">
        <v>189</v>
      </c>
      <c r="H276">
        <v>200</v>
      </c>
      <c r="I276" t="s">
        <v>190</v>
      </c>
      <c r="J276">
        <v>1000000</v>
      </c>
      <c r="K276" t="s">
        <v>191</v>
      </c>
      <c r="L276">
        <v>12345</v>
      </c>
      <c r="M276" t="s">
        <v>192</v>
      </c>
      <c r="N276">
        <v>1E-3</v>
      </c>
      <c r="O276" t="s">
        <v>3</v>
      </c>
      <c r="P276">
        <v>0.99966710000000003</v>
      </c>
      <c r="Q276" t="s">
        <v>2</v>
      </c>
      <c r="R276">
        <v>7.0621E-3</v>
      </c>
      <c r="S276" t="s">
        <v>17</v>
      </c>
      <c r="T276">
        <v>21</v>
      </c>
      <c r="U276" t="s">
        <v>0</v>
      </c>
      <c r="V276">
        <v>200.3</v>
      </c>
      <c r="W276" t="s">
        <v>152</v>
      </c>
      <c r="X276">
        <v>3</v>
      </c>
      <c r="Y276" t="s">
        <v>153</v>
      </c>
      <c r="Z276">
        <v>87</v>
      </c>
      <c r="AA276" t="s">
        <v>151</v>
      </c>
      <c r="AB276">
        <v>99127</v>
      </c>
      <c r="AC276" t="s">
        <v>1</v>
      </c>
      <c r="AD276" t="s">
        <v>1386</v>
      </c>
      <c r="AE276" t="s">
        <v>838</v>
      </c>
      <c r="AF276" t="s">
        <v>1387</v>
      </c>
      <c r="AG276" t="s">
        <v>572</v>
      </c>
      <c r="AH276" t="s">
        <v>1388</v>
      </c>
      <c r="AI276" t="s">
        <v>572</v>
      </c>
      <c r="AJ276">
        <v>0.1504127592367</v>
      </c>
    </row>
    <row r="277" spans="2:46" x14ac:dyDescent="0.25">
      <c r="B277" t="s">
        <v>1389</v>
      </c>
      <c r="C277" t="s">
        <v>4</v>
      </c>
      <c r="D277">
        <v>2.4265999999999999E-2</v>
      </c>
      <c r="E277" t="s">
        <v>5</v>
      </c>
      <c r="F277">
        <v>0.99819239999999998</v>
      </c>
      <c r="G277" t="s">
        <v>189</v>
      </c>
      <c r="H277">
        <v>200</v>
      </c>
      <c r="I277" t="s">
        <v>190</v>
      </c>
      <c r="J277">
        <v>1000000</v>
      </c>
      <c r="K277" t="s">
        <v>191</v>
      </c>
      <c r="L277">
        <v>12345</v>
      </c>
      <c r="M277" t="s">
        <v>192</v>
      </c>
      <c r="N277">
        <v>1E-3</v>
      </c>
      <c r="O277" t="s">
        <v>3</v>
      </c>
      <c r="P277">
        <v>0.99853760000000003</v>
      </c>
      <c r="Q277" t="s">
        <v>2</v>
      </c>
      <c r="R277">
        <v>2.3324399999999999E-2</v>
      </c>
      <c r="S277" t="s">
        <v>17</v>
      </c>
      <c r="T277">
        <v>21</v>
      </c>
      <c r="U277" t="s">
        <v>0</v>
      </c>
      <c r="V277">
        <v>200.4</v>
      </c>
      <c r="W277" t="s">
        <v>152</v>
      </c>
      <c r="X277">
        <v>4</v>
      </c>
      <c r="Y277" t="s">
        <v>153</v>
      </c>
      <c r="Z277">
        <v>107</v>
      </c>
      <c r="AA277" t="s">
        <v>151</v>
      </c>
      <c r="AB277">
        <v>100757</v>
      </c>
      <c r="AC277" t="s">
        <v>1</v>
      </c>
      <c r="AD277" t="s">
        <v>1390</v>
      </c>
      <c r="AE277" t="s">
        <v>838</v>
      </c>
      <c r="AF277">
        <f>-0.4635016417478*X2</f>
        <v>-645.19428531293761</v>
      </c>
      <c r="AG277" t="s">
        <v>569</v>
      </c>
      <c r="AH277" t="s">
        <v>1391</v>
      </c>
      <c r="AI277" t="s">
        <v>572</v>
      </c>
      <c r="AJ277" t="s">
        <v>1392</v>
      </c>
      <c r="AK277" t="s">
        <v>572</v>
      </c>
      <c r="AL277" t="s">
        <v>1112</v>
      </c>
      <c r="AM277" t="s">
        <v>572</v>
      </c>
      <c r="AN277">
        <v>8.5301466850499996E-2</v>
      </c>
    </row>
    <row r="278" spans="2:46" x14ac:dyDescent="0.25">
      <c r="B278" t="s">
        <v>1393</v>
      </c>
      <c r="C278" t="s">
        <v>4</v>
      </c>
      <c r="D278">
        <v>0</v>
      </c>
      <c r="E278" t="s">
        <v>5</v>
      </c>
      <c r="F278">
        <v>1</v>
      </c>
      <c r="G278" t="s">
        <v>189</v>
      </c>
      <c r="H278">
        <v>200</v>
      </c>
      <c r="I278" t="s">
        <v>190</v>
      </c>
      <c r="J278">
        <v>1000000</v>
      </c>
      <c r="K278" t="s">
        <v>191</v>
      </c>
      <c r="L278">
        <v>12345</v>
      </c>
      <c r="M278" t="s">
        <v>192</v>
      </c>
      <c r="N278">
        <v>1E-3</v>
      </c>
      <c r="O278" t="s">
        <v>3</v>
      </c>
      <c r="P278">
        <v>1</v>
      </c>
      <c r="Q278" t="s">
        <v>2</v>
      </c>
      <c r="R278">
        <v>0</v>
      </c>
      <c r="S278" t="s">
        <v>17</v>
      </c>
      <c r="T278">
        <v>14</v>
      </c>
      <c r="U278" t="s">
        <v>0</v>
      </c>
      <c r="V278">
        <v>8.1999999999999993</v>
      </c>
      <c r="W278" t="s">
        <v>152</v>
      </c>
      <c r="X278">
        <v>2</v>
      </c>
      <c r="Y278" t="s">
        <v>153</v>
      </c>
      <c r="Z278">
        <v>9</v>
      </c>
      <c r="AA278" t="s">
        <v>151</v>
      </c>
      <c r="AB278">
        <v>4699</v>
      </c>
      <c r="AC278" t="s">
        <v>1</v>
      </c>
      <c r="AD278" t="s">
        <v>1394</v>
      </c>
      <c r="AE278" t="s">
        <v>838</v>
      </c>
      <c r="AF278" t="s">
        <v>1395</v>
      </c>
      <c r="AG278" t="s">
        <v>572</v>
      </c>
      <c r="AH278" t="s">
        <v>1396</v>
      </c>
    </row>
    <row r="279" spans="2:46" x14ac:dyDescent="0.25">
      <c r="B279" t="s">
        <v>1397</v>
      </c>
      <c r="C279" t="s">
        <v>4</v>
      </c>
      <c r="D279">
        <v>0</v>
      </c>
      <c r="E279" t="s">
        <v>5</v>
      </c>
      <c r="F279">
        <v>1</v>
      </c>
      <c r="G279" t="s">
        <v>189</v>
      </c>
      <c r="H279">
        <v>200</v>
      </c>
      <c r="I279" t="s">
        <v>190</v>
      </c>
      <c r="J279">
        <v>1000000</v>
      </c>
      <c r="K279" t="s">
        <v>191</v>
      </c>
      <c r="L279">
        <v>12345</v>
      </c>
      <c r="M279" t="s">
        <v>192</v>
      </c>
      <c r="N279">
        <v>1E-3</v>
      </c>
      <c r="O279" t="s">
        <v>3</v>
      </c>
      <c r="P279">
        <v>1</v>
      </c>
      <c r="Q279" t="s">
        <v>2</v>
      </c>
      <c r="R279">
        <v>0</v>
      </c>
      <c r="S279" t="s">
        <v>17</v>
      </c>
      <c r="T279">
        <v>15</v>
      </c>
      <c r="U279" t="s">
        <v>0</v>
      </c>
      <c r="V279">
        <v>3.5</v>
      </c>
      <c r="W279" t="s">
        <v>152</v>
      </c>
      <c r="X279">
        <v>1</v>
      </c>
      <c r="Y279" t="s">
        <v>153</v>
      </c>
      <c r="Z279">
        <v>6</v>
      </c>
      <c r="AA279" t="s">
        <v>151</v>
      </c>
      <c r="AB279">
        <v>2430</v>
      </c>
      <c r="AC279" t="s">
        <v>1</v>
      </c>
      <c r="AD279" t="s">
        <v>1398</v>
      </c>
      <c r="AE279" t="s">
        <v>838</v>
      </c>
      <c r="AF279" t="s">
        <v>577</v>
      </c>
      <c r="AG279" t="s">
        <v>572</v>
      </c>
      <c r="AH279" t="s">
        <v>1399</v>
      </c>
    </row>
    <row r="280" spans="2:46" x14ac:dyDescent="0.25">
      <c r="B280" t="s">
        <v>1400</v>
      </c>
      <c r="C280" t="s">
        <v>4</v>
      </c>
      <c r="D280">
        <v>0</v>
      </c>
      <c r="E280" t="s">
        <v>5</v>
      </c>
      <c r="F280">
        <v>1</v>
      </c>
      <c r="G280" t="s">
        <v>189</v>
      </c>
      <c r="H280">
        <v>200</v>
      </c>
      <c r="I280" t="s">
        <v>190</v>
      </c>
      <c r="J280">
        <v>1000000</v>
      </c>
      <c r="K280" t="s">
        <v>191</v>
      </c>
      <c r="L280">
        <v>12345</v>
      </c>
      <c r="M280" t="s">
        <v>192</v>
      </c>
      <c r="N280">
        <v>1E-3</v>
      </c>
      <c r="O280" t="s">
        <v>3</v>
      </c>
      <c r="P280">
        <v>1</v>
      </c>
      <c r="Q280" t="s">
        <v>2</v>
      </c>
      <c r="R280">
        <v>0</v>
      </c>
      <c r="S280" t="s">
        <v>17</v>
      </c>
      <c r="T280">
        <v>17</v>
      </c>
      <c r="U280" t="s">
        <v>0</v>
      </c>
      <c r="V280">
        <v>72.2</v>
      </c>
      <c r="W280" t="s">
        <v>152</v>
      </c>
      <c r="X280">
        <v>3</v>
      </c>
      <c r="Y280" t="s">
        <v>153</v>
      </c>
      <c r="Z280">
        <v>59</v>
      </c>
      <c r="AA280" t="s">
        <v>151</v>
      </c>
      <c r="AB280">
        <v>35353</v>
      </c>
      <c r="AC280" t="s">
        <v>1</v>
      </c>
      <c r="AD280" t="s">
        <v>1401</v>
      </c>
      <c r="AE280" t="s">
        <v>838</v>
      </c>
      <c r="AF280" t="s">
        <v>1402</v>
      </c>
      <c r="AG280" t="s">
        <v>572</v>
      </c>
      <c r="AH280" t="s">
        <v>1403</v>
      </c>
      <c r="AI280" t="s">
        <v>572</v>
      </c>
      <c r="AJ280" t="s">
        <v>1255</v>
      </c>
    </row>
    <row r="281" spans="2:46" x14ac:dyDescent="0.25">
      <c r="B281" t="s">
        <v>1404</v>
      </c>
      <c r="C281" t="s">
        <v>4</v>
      </c>
      <c r="D281">
        <v>2.11802E-2</v>
      </c>
      <c r="E281" t="s">
        <v>5</v>
      </c>
      <c r="F281">
        <v>0.9969886</v>
      </c>
      <c r="G281" t="s">
        <v>189</v>
      </c>
      <c r="H281">
        <v>200</v>
      </c>
      <c r="I281" t="s">
        <v>190</v>
      </c>
      <c r="J281">
        <v>1000000</v>
      </c>
      <c r="K281" t="s">
        <v>191</v>
      </c>
      <c r="L281">
        <v>12345</v>
      </c>
      <c r="M281" t="s">
        <v>192</v>
      </c>
      <c r="N281">
        <v>1E-3</v>
      </c>
      <c r="O281" t="s">
        <v>3</v>
      </c>
      <c r="P281">
        <v>0.9970774</v>
      </c>
      <c r="Q281" t="s">
        <v>2</v>
      </c>
      <c r="R281">
        <v>2.0471E-2</v>
      </c>
      <c r="S281" t="s">
        <v>17</v>
      </c>
      <c r="T281">
        <v>19</v>
      </c>
      <c r="U281" t="s">
        <v>0</v>
      </c>
      <c r="V281">
        <v>200.1</v>
      </c>
      <c r="W281" t="s">
        <v>152</v>
      </c>
      <c r="X281">
        <v>7</v>
      </c>
      <c r="Y281" t="s">
        <v>153</v>
      </c>
      <c r="Z281">
        <v>124</v>
      </c>
      <c r="AA281" t="s">
        <v>151</v>
      </c>
      <c r="AB281">
        <v>103331</v>
      </c>
      <c r="AC281" t="s">
        <v>1</v>
      </c>
      <c r="AD281" t="s">
        <v>1405</v>
      </c>
      <c r="AE281" t="s">
        <v>838</v>
      </c>
      <c r="AF281" t="s">
        <v>1406</v>
      </c>
      <c r="AG281" t="s">
        <v>572</v>
      </c>
      <c r="AH281" t="s">
        <v>1407</v>
      </c>
      <c r="AI281" t="s">
        <v>572</v>
      </c>
      <c r="AJ281" t="s">
        <v>1408</v>
      </c>
      <c r="AK281" t="s">
        <v>572</v>
      </c>
      <c r="AL281">
        <v>2.1107599249999001</v>
      </c>
    </row>
    <row r="282" spans="2:46" x14ac:dyDescent="0.25">
      <c r="B282" t="s">
        <v>1409</v>
      </c>
      <c r="C282" t="s">
        <v>4</v>
      </c>
      <c r="D282">
        <v>3.1646300000000002E-2</v>
      </c>
      <c r="E282" t="s">
        <v>5</v>
      </c>
      <c r="F282">
        <v>0.9988224</v>
      </c>
      <c r="G282" t="s">
        <v>189</v>
      </c>
      <c r="H282">
        <v>200</v>
      </c>
      <c r="I282" t="s">
        <v>190</v>
      </c>
      <c r="J282">
        <v>1000000</v>
      </c>
      <c r="K282" t="s">
        <v>191</v>
      </c>
      <c r="L282">
        <v>12345</v>
      </c>
      <c r="M282" t="s">
        <v>192</v>
      </c>
      <c r="N282">
        <v>1E-3</v>
      </c>
      <c r="O282" t="s">
        <v>3</v>
      </c>
      <c r="P282">
        <v>0.99880049999999998</v>
      </c>
      <c r="Q282" t="s">
        <v>2</v>
      </c>
      <c r="R282">
        <v>3.2574699999999998E-2</v>
      </c>
      <c r="S282" t="s">
        <v>17</v>
      </c>
      <c r="T282">
        <v>19</v>
      </c>
      <c r="U282" t="s">
        <v>0</v>
      </c>
      <c r="V282">
        <v>200.4</v>
      </c>
      <c r="W282" t="s">
        <v>152</v>
      </c>
      <c r="X282">
        <v>3</v>
      </c>
      <c r="Y282" t="s">
        <v>153</v>
      </c>
      <c r="Z282">
        <v>180</v>
      </c>
      <c r="AA282" t="s">
        <v>151</v>
      </c>
      <c r="AB282">
        <v>109561</v>
      </c>
      <c r="AC282" t="s">
        <v>1</v>
      </c>
      <c r="AD282" t="e" cm="1">
        <f t="array" ref="AD282">-0.8611418454465+(0.9913003101927*X3)+(1.0152535261409*SIN(X2))+((0.6848711664037*EXP(x0))*EXP(X1))</f>
        <v>#NAME?</v>
      </c>
      <c r="AE282" t="s">
        <v>838</v>
      </c>
      <c r="AF282" t="s">
        <v>1410</v>
      </c>
      <c r="AG282" t="s">
        <v>572</v>
      </c>
      <c r="AH282" t="s">
        <v>1411</v>
      </c>
      <c r="AI282" t="s">
        <v>572</v>
      </c>
      <c r="AJ282" t="s">
        <v>761</v>
      </c>
      <c r="AK282" t="s">
        <v>572</v>
      </c>
      <c r="AL282" t="s">
        <v>1412</v>
      </c>
      <c r="AM282" t="s">
        <v>569</v>
      </c>
      <c r="AN282">
        <v>0.86114184544649996</v>
      </c>
    </row>
    <row r="283" spans="2:46" x14ac:dyDescent="0.25">
      <c r="B283" t="s">
        <v>1413</v>
      </c>
      <c r="C283" t="s">
        <v>4</v>
      </c>
      <c r="D283">
        <v>1.38139E-2</v>
      </c>
      <c r="E283" t="s">
        <v>5</v>
      </c>
      <c r="F283">
        <v>0.99847580000000002</v>
      </c>
      <c r="G283" t="s">
        <v>189</v>
      </c>
      <c r="H283">
        <v>200</v>
      </c>
      <c r="I283" t="s">
        <v>190</v>
      </c>
      <c r="J283">
        <v>1000000</v>
      </c>
      <c r="K283" t="s">
        <v>191</v>
      </c>
      <c r="L283">
        <v>12345</v>
      </c>
      <c r="M283" t="s">
        <v>192</v>
      </c>
      <c r="N283">
        <v>1E-3</v>
      </c>
      <c r="O283" t="s">
        <v>3</v>
      </c>
      <c r="P283">
        <v>0.9984828</v>
      </c>
      <c r="Q283" t="s">
        <v>2</v>
      </c>
      <c r="R283">
        <v>1.3632699999999999E-2</v>
      </c>
      <c r="S283" t="s">
        <v>17</v>
      </c>
      <c r="T283">
        <v>29</v>
      </c>
      <c r="U283" t="s">
        <v>0</v>
      </c>
      <c r="V283">
        <v>200.3</v>
      </c>
      <c r="W283" t="s">
        <v>152</v>
      </c>
      <c r="X283">
        <v>8</v>
      </c>
      <c r="Y283" t="s">
        <v>153</v>
      </c>
      <c r="Z283">
        <v>74</v>
      </c>
      <c r="AA283" t="s">
        <v>151</v>
      </c>
      <c r="AB283">
        <v>85282</v>
      </c>
      <c r="AC283" t="s">
        <v>1</v>
      </c>
      <c r="AD283" t="s">
        <v>1414</v>
      </c>
      <c r="AE283" t="s">
        <v>838</v>
      </c>
      <c r="AF283" t="s">
        <v>1415</v>
      </c>
      <c r="AG283" t="s">
        <v>572</v>
      </c>
      <c r="AH283" t="s">
        <v>1416</v>
      </c>
      <c r="AI283" t="s">
        <v>572</v>
      </c>
      <c r="AJ283" t="s">
        <v>1417</v>
      </c>
      <c r="AK283" t="s">
        <v>572</v>
      </c>
      <c r="AL283" t="s">
        <v>1418</v>
      </c>
    </row>
    <row r="284" spans="2:46" x14ac:dyDescent="0.25">
      <c r="B284" t="s">
        <v>1419</v>
      </c>
      <c r="C284" t="s">
        <v>4</v>
      </c>
      <c r="D284">
        <v>0</v>
      </c>
      <c r="E284" t="s">
        <v>5</v>
      </c>
      <c r="F284">
        <v>1</v>
      </c>
      <c r="G284" t="s">
        <v>189</v>
      </c>
      <c r="H284">
        <v>200</v>
      </c>
      <c r="I284" t="s">
        <v>190</v>
      </c>
      <c r="J284">
        <v>1000000</v>
      </c>
      <c r="K284" t="s">
        <v>191</v>
      </c>
      <c r="L284">
        <v>12345</v>
      </c>
      <c r="M284" t="s">
        <v>192</v>
      </c>
      <c r="N284">
        <v>1E-3</v>
      </c>
      <c r="O284" t="s">
        <v>3</v>
      </c>
      <c r="P284">
        <v>1</v>
      </c>
      <c r="Q284" t="s">
        <v>2</v>
      </c>
      <c r="R284">
        <v>0</v>
      </c>
      <c r="S284" t="s">
        <v>17</v>
      </c>
      <c r="T284">
        <v>14</v>
      </c>
      <c r="U284" t="s">
        <v>0</v>
      </c>
      <c r="V284">
        <v>2.7</v>
      </c>
      <c r="W284" t="s">
        <v>152</v>
      </c>
      <c r="X284">
        <v>2</v>
      </c>
      <c r="Y284" t="s">
        <v>153</v>
      </c>
      <c r="Z284">
        <v>7</v>
      </c>
      <c r="AA284" t="s">
        <v>151</v>
      </c>
      <c r="AB284">
        <v>1773</v>
      </c>
      <c r="AC284" t="s">
        <v>1</v>
      </c>
      <c r="AD284" t="s">
        <v>1420</v>
      </c>
      <c r="AE284" t="s">
        <v>838</v>
      </c>
      <c r="AF284" t="s">
        <v>1421</v>
      </c>
      <c r="AG284" t="s">
        <v>569</v>
      </c>
      <c r="AH284" t="s">
        <v>1422</v>
      </c>
      <c r="AI284" t="s">
        <v>572</v>
      </c>
      <c r="AJ284">
        <v>38.830648770008601</v>
      </c>
    </row>
    <row r="285" spans="2:46" x14ac:dyDescent="0.25">
      <c r="B285" t="s">
        <v>1423</v>
      </c>
      <c r="C285" t="s">
        <v>4</v>
      </c>
      <c r="D285">
        <v>0</v>
      </c>
      <c r="E285" t="s">
        <v>5</v>
      </c>
      <c r="F285">
        <v>1</v>
      </c>
      <c r="G285" t="s">
        <v>189</v>
      </c>
      <c r="H285">
        <v>200</v>
      </c>
      <c r="I285" t="s">
        <v>190</v>
      </c>
      <c r="J285">
        <v>1000000</v>
      </c>
      <c r="K285" t="s">
        <v>191</v>
      </c>
      <c r="L285">
        <v>12345</v>
      </c>
      <c r="M285" t="s">
        <v>192</v>
      </c>
      <c r="N285">
        <v>1E-3</v>
      </c>
      <c r="O285" t="s">
        <v>3</v>
      </c>
      <c r="P285">
        <v>1</v>
      </c>
      <c r="Q285" t="s">
        <v>2</v>
      </c>
      <c r="R285">
        <v>0</v>
      </c>
      <c r="S285" t="s">
        <v>17</v>
      </c>
      <c r="T285">
        <v>9</v>
      </c>
      <c r="U285" t="s">
        <v>0</v>
      </c>
      <c r="V285">
        <v>0.9</v>
      </c>
      <c r="W285" t="s">
        <v>152</v>
      </c>
      <c r="X285">
        <v>1</v>
      </c>
      <c r="Y285" t="s">
        <v>153</v>
      </c>
      <c r="Z285">
        <v>3</v>
      </c>
      <c r="AA285" t="s">
        <v>151</v>
      </c>
      <c r="AB285">
        <v>674</v>
      </c>
      <c r="AC285" t="s">
        <v>1</v>
      </c>
      <c r="AD285" t="s">
        <v>1424</v>
      </c>
      <c r="AE285" t="s">
        <v>838</v>
      </c>
      <c r="AF285" t="s">
        <v>1425</v>
      </c>
      <c r="AG285" t="s">
        <v>572</v>
      </c>
      <c r="AH285">
        <v>11</v>
      </c>
    </row>
    <row r="286" spans="2:46" x14ac:dyDescent="0.25">
      <c r="B286" t="s">
        <v>1426</v>
      </c>
      <c r="C286" t="s">
        <v>4</v>
      </c>
      <c r="D286">
        <v>0.7953981</v>
      </c>
      <c r="E286" t="s">
        <v>5</v>
      </c>
      <c r="F286">
        <v>-0.25403920000000002</v>
      </c>
      <c r="G286" t="s">
        <v>189</v>
      </c>
      <c r="H286">
        <v>200</v>
      </c>
      <c r="I286" t="s">
        <v>190</v>
      </c>
      <c r="J286">
        <v>1000000</v>
      </c>
      <c r="K286" t="s">
        <v>191</v>
      </c>
      <c r="L286">
        <v>12345</v>
      </c>
      <c r="M286" t="s">
        <v>192</v>
      </c>
      <c r="N286">
        <v>1E-3</v>
      </c>
      <c r="O286" t="s">
        <v>3</v>
      </c>
      <c r="P286">
        <v>-0.23924329999999999</v>
      </c>
      <c r="Q286" t="s">
        <v>2</v>
      </c>
      <c r="R286">
        <v>0.7829952</v>
      </c>
      <c r="S286" t="s">
        <v>17</v>
      </c>
      <c r="T286">
        <v>52</v>
      </c>
      <c r="U286" t="s">
        <v>0</v>
      </c>
      <c r="V286">
        <v>200.3</v>
      </c>
      <c r="W286" t="s">
        <v>152</v>
      </c>
      <c r="X286">
        <v>9</v>
      </c>
      <c r="Y286" t="s">
        <v>153</v>
      </c>
      <c r="Z286">
        <v>214</v>
      </c>
      <c r="AA286" t="s">
        <v>151</v>
      </c>
      <c r="AB286">
        <v>114444</v>
      </c>
      <c r="AC286" t="s">
        <v>1</v>
      </c>
      <c r="AD286" t="s">
        <v>1427</v>
      </c>
      <c r="AE286" t="s">
        <v>838</v>
      </c>
      <c r="AF286" t="s">
        <v>1428</v>
      </c>
      <c r="AG286" t="s">
        <v>572</v>
      </c>
      <c r="AH286" t="s">
        <v>1429</v>
      </c>
      <c r="AI286" t="s">
        <v>572</v>
      </c>
      <c r="AJ286" t="s">
        <v>597</v>
      </c>
      <c r="AK286" t="s">
        <v>569</v>
      </c>
      <c r="AL286" t="s">
        <v>1430</v>
      </c>
      <c r="AM286" t="s">
        <v>569</v>
      </c>
      <c r="AN286" t="s">
        <v>1431</v>
      </c>
      <c r="AO286" t="s">
        <v>572</v>
      </c>
      <c r="AP286" t="s">
        <v>1432</v>
      </c>
      <c r="AQ286" t="s">
        <v>572</v>
      </c>
      <c r="AR286" t="s">
        <v>669</v>
      </c>
      <c r="AS286" t="s">
        <v>572</v>
      </c>
      <c r="AT286">
        <v>0.83350251830389999</v>
      </c>
    </row>
    <row r="287" spans="2:46" x14ac:dyDescent="0.25">
      <c r="B287" t="s">
        <v>1433</v>
      </c>
      <c r="C287" t="s">
        <v>4</v>
      </c>
      <c r="D287">
        <v>0</v>
      </c>
      <c r="E287" t="s">
        <v>5</v>
      </c>
      <c r="F287">
        <v>1</v>
      </c>
      <c r="G287" t="s">
        <v>189</v>
      </c>
      <c r="H287">
        <v>200</v>
      </c>
      <c r="I287" t="s">
        <v>190</v>
      </c>
      <c r="J287">
        <v>1000000</v>
      </c>
      <c r="K287" t="s">
        <v>191</v>
      </c>
      <c r="L287">
        <v>12345</v>
      </c>
      <c r="M287" t="s">
        <v>192</v>
      </c>
      <c r="N287">
        <v>1E-3</v>
      </c>
      <c r="O287" t="s">
        <v>3</v>
      </c>
      <c r="P287">
        <v>1</v>
      </c>
      <c r="Q287" t="s">
        <v>2</v>
      </c>
      <c r="R287">
        <v>0</v>
      </c>
      <c r="S287" t="s">
        <v>17</v>
      </c>
      <c r="T287">
        <v>11</v>
      </c>
      <c r="U287" t="s">
        <v>0</v>
      </c>
      <c r="V287">
        <v>4.7</v>
      </c>
      <c r="W287" t="s">
        <v>152</v>
      </c>
      <c r="X287">
        <v>2</v>
      </c>
      <c r="Y287" t="s">
        <v>153</v>
      </c>
      <c r="Z287">
        <v>8</v>
      </c>
      <c r="AA287" t="s">
        <v>151</v>
      </c>
      <c r="AB287">
        <v>2778</v>
      </c>
      <c r="AC287" t="s">
        <v>1</v>
      </c>
      <c r="AD287" t="s">
        <v>1434</v>
      </c>
      <c r="AE287" t="s">
        <v>838</v>
      </c>
      <c r="AF287" t="s">
        <v>1435</v>
      </c>
      <c r="AG287" t="s">
        <v>569</v>
      </c>
      <c r="AH287" t="s">
        <v>1436</v>
      </c>
    </row>
    <row r="288" spans="2:46" x14ac:dyDescent="0.25">
      <c r="B288" t="s">
        <v>1437</v>
      </c>
      <c r="C288" t="s">
        <v>4</v>
      </c>
      <c r="D288">
        <v>1.0639E-3</v>
      </c>
      <c r="E288" t="s">
        <v>5</v>
      </c>
      <c r="F288">
        <v>0.99884859999999998</v>
      </c>
      <c r="G288" t="s">
        <v>189</v>
      </c>
      <c r="H288">
        <v>200</v>
      </c>
      <c r="I288" t="s">
        <v>190</v>
      </c>
      <c r="J288">
        <v>1000000</v>
      </c>
      <c r="K288" t="s">
        <v>191</v>
      </c>
      <c r="L288">
        <v>12345</v>
      </c>
      <c r="M288" t="s">
        <v>192</v>
      </c>
      <c r="N288">
        <v>1E-3</v>
      </c>
      <c r="O288" t="s">
        <v>3</v>
      </c>
      <c r="P288">
        <v>0.99868590000000002</v>
      </c>
      <c r="Q288" t="s">
        <v>2</v>
      </c>
      <c r="R288">
        <v>1.1079E-3</v>
      </c>
      <c r="S288" t="s">
        <v>17</v>
      </c>
      <c r="T288">
        <v>8</v>
      </c>
      <c r="U288" t="s">
        <v>0</v>
      </c>
      <c r="V288">
        <v>200</v>
      </c>
      <c r="W288" t="s">
        <v>152</v>
      </c>
      <c r="X288">
        <v>16</v>
      </c>
      <c r="Y288" t="s">
        <v>153</v>
      </c>
      <c r="Z288">
        <v>512</v>
      </c>
      <c r="AA288" t="s">
        <v>151</v>
      </c>
      <c r="AB288">
        <v>137284</v>
      </c>
      <c r="AC288" t="s">
        <v>1</v>
      </c>
      <c r="AD288" t="s">
        <v>1438</v>
      </c>
      <c r="AE288" t="s">
        <v>838</v>
      </c>
      <c r="AF288" t="s">
        <v>1439</v>
      </c>
      <c r="AG288" t="s">
        <v>572</v>
      </c>
      <c r="AH288">
        <v>4.7304871771700001E-2</v>
      </c>
    </row>
    <row r="289" spans="2:52" x14ac:dyDescent="0.25">
      <c r="B289" t="s">
        <v>1440</v>
      </c>
      <c r="C289" t="s">
        <v>4</v>
      </c>
      <c r="D289">
        <v>0.37781480000000001</v>
      </c>
      <c r="E289" t="s">
        <v>5</v>
      </c>
      <c r="F289">
        <v>0.68085169999999995</v>
      </c>
      <c r="G289" t="s">
        <v>189</v>
      </c>
      <c r="H289">
        <v>200</v>
      </c>
      <c r="I289" t="s">
        <v>190</v>
      </c>
      <c r="J289">
        <v>1000000</v>
      </c>
      <c r="K289" t="s">
        <v>191</v>
      </c>
      <c r="L289">
        <v>12345</v>
      </c>
      <c r="M289" t="s">
        <v>192</v>
      </c>
      <c r="N289">
        <v>1E-3</v>
      </c>
      <c r="O289" t="s">
        <v>3</v>
      </c>
      <c r="P289">
        <v>-145.76173890000001</v>
      </c>
      <c r="Q289" t="s">
        <v>2</v>
      </c>
      <c r="R289">
        <v>8.0232372999999999</v>
      </c>
      <c r="S289" t="s">
        <v>17</v>
      </c>
      <c r="T289">
        <v>39</v>
      </c>
      <c r="U289" t="s">
        <v>0</v>
      </c>
      <c r="V289">
        <v>200.3</v>
      </c>
      <c r="W289" t="s">
        <v>152</v>
      </c>
      <c r="X289">
        <v>5</v>
      </c>
      <c r="Y289" t="s">
        <v>153</v>
      </c>
      <c r="Z289">
        <v>83</v>
      </c>
      <c r="AA289" t="s">
        <v>151</v>
      </c>
      <c r="AB289">
        <v>90450</v>
      </c>
      <c r="AC289" t="s">
        <v>1</v>
      </c>
      <c r="AD289" t="s">
        <v>1441</v>
      </c>
      <c r="AE289" t="s">
        <v>838</v>
      </c>
      <c r="AF289" t="s">
        <v>1442</v>
      </c>
      <c r="AG289" t="s">
        <v>569</v>
      </c>
      <c r="AH289" t="s">
        <v>1443</v>
      </c>
      <c r="AI289" t="s">
        <v>569</v>
      </c>
      <c r="AJ289" t="s">
        <v>1444</v>
      </c>
      <c r="AK289" t="s">
        <v>572</v>
      </c>
      <c r="AL289" t="s">
        <v>1445</v>
      </c>
      <c r="AM289" t="s">
        <v>572</v>
      </c>
      <c r="AN289" t="s">
        <v>1446</v>
      </c>
      <c r="AO289" t="s">
        <v>572</v>
      </c>
      <c r="AP289">
        <v>1.6578846658563</v>
      </c>
    </row>
    <row r="290" spans="2:52" x14ac:dyDescent="0.25">
      <c r="B290" t="s">
        <v>1447</v>
      </c>
      <c r="C290" t="s">
        <v>4</v>
      </c>
      <c r="D290">
        <v>0.1393509</v>
      </c>
      <c r="E290" t="s">
        <v>5</v>
      </c>
      <c r="F290">
        <v>0.91761360000000003</v>
      </c>
      <c r="G290" t="s">
        <v>189</v>
      </c>
      <c r="H290">
        <v>200</v>
      </c>
      <c r="I290" t="s">
        <v>190</v>
      </c>
      <c r="J290">
        <v>1000000</v>
      </c>
      <c r="K290" t="s">
        <v>191</v>
      </c>
      <c r="L290">
        <v>12345</v>
      </c>
      <c r="M290" t="s">
        <v>192</v>
      </c>
      <c r="N290">
        <v>1E-3</v>
      </c>
      <c r="O290" t="s">
        <v>3</v>
      </c>
      <c r="P290">
        <v>0.93608630000000004</v>
      </c>
      <c r="Q290" t="s">
        <v>2</v>
      </c>
      <c r="R290">
        <v>0.1145066</v>
      </c>
      <c r="S290" t="s">
        <v>17</v>
      </c>
      <c r="T290">
        <v>30</v>
      </c>
      <c r="U290" t="s">
        <v>0</v>
      </c>
      <c r="V290">
        <v>200.2</v>
      </c>
      <c r="W290" t="s">
        <v>152</v>
      </c>
      <c r="X290">
        <v>3</v>
      </c>
      <c r="Y290" t="s">
        <v>153</v>
      </c>
      <c r="Z290">
        <v>104</v>
      </c>
      <c r="AA290" t="s">
        <v>151</v>
      </c>
      <c r="AB290">
        <v>87539</v>
      </c>
      <c r="AC290" t="s">
        <v>1</v>
      </c>
      <c r="AD290" t="s">
        <v>1448</v>
      </c>
      <c r="AE290" t="s">
        <v>838</v>
      </c>
      <c r="AF290" t="s">
        <v>1449</v>
      </c>
      <c r="AG290" t="s">
        <v>569</v>
      </c>
      <c r="AH290" t="s">
        <v>1450</v>
      </c>
      <c r="AI290" t="s">
        <v>569</v>
      </c>
      <c r="AJ290" t="s">
        <v>1451</v>
      </c>
      <c r="AK290" t="s">
        <v>569</v>
      </c>
      <c r="AL290" t="s">
        <v>1452</v>
      </c>
      <c r="AM290" t="s">
        <v>572</v>
      </c>
      <c r="AN290">
        <v>2.2081066174261998</v>
      </c>
    </row>
    <row r="291" spans="2:52" x14ac:dyDescent="0.25">
      <c r="B291" t="s">
        <v>1453</v>
      </c>
      <c r="C291" t="s">
        <v>4</v>
      </c>
      <c r="D291">
        <v>2.7185E-3</v>
      </c>
      <c r="E291" t="s">
        <v>5</v>
      </c>
      <c r="F291">
        <v>0.9993071</v>
      </c>
      <c r="G291" t="s">
        <v>189</v>
      </c>
      <c r="H291">
        <v>200</v>
      </c>
      <c r="I291" t="s">
        <v>190</v>
      </c>
      <c r="J291">
        <v>1000000</v>
      </c>
      <c r="K291" t="s">
        <v>191</v>
      </c>
      <c r="L291">
        <v>12345</v>
      </c>
      <c r="M291" t="s">
        <v>192</v>
      </c>
      <c r="N291">
        <v>1E-3</v>
      </c>
      <c r="O291" t="s">
        <v>3</v>
      </c>
      <c r="P291">
        <v>0.99928539999999999</v>
      </c>
      <c r="Q291" t="s">
        <v>2</v>
      </c>
      <c r="R291">
        <v>2.6354E-3</v>
      </c>
      <c r="S291" t="s">
        <v>17</v>
      </c>
      <c r="T291">
        <v>12</v>
      </c>
      <c r="U291" t="s">
        <v>0</v>
      </c>
      <c r="V291">
        <v>200.1</v>
      </c>
      <c r="W291" t="s">
        <v>152</v>
      </c>
      <c r="X291">
        <v>5</v>
      </c>
      <c r="Y291" t="s">
        <v>153</v>
      </c>
      <c r="Z291">
        <v>289</v>
      </c>
      <c r="AA291" t="s">
        <v>151</v>
      </c>
      <c r="AB291">
        <v>131488</v>
      </c>
      <c r="AC291" t="s">
        <v>1</v>
      </c>
      <c r="AD291" t="e" cm="1">
        <f t="array" aca="1" ref="AD291" ca="1">-0.0369982592663+(-0.1058136981325*pow((0.6+(x0*X1)),4))</f>
        <v>#NAME?</v>
      </c>
      <c r="AE291" t="s">
        <v>838</v>
      </c>
      <c r="AF291" t="s">
        <v>1454</v>
      </c>
      <c r="AG291" t="s">
        <v>572</v>
      </c>
      <c r="AH291" t="s">
        <v>1455</v>
      </c>
      <c r="AI291" t="s">
        <v>569</v>
      </c>
      <c r="AJ291">
        <v>3.6998259266300002E-2</v>
      </c>
    </row>
    <row r="292" spans="2:52" x14ac:dyDescent="0.25">
      <c r="B292" t="s">
        <v>1456</v>
      </c>
      <c r="C292" t="s">
        <v>4</v>
      </c>
      <c r="D292">
        <v>7.4006000000000002E-3</v>
      </c>
      <c r="E292" t="s">
        <v>5</v>
      </c>
      <c r="F292">
        <v>0.99999919999999998</v>
      </c>
      <c r="G292" t="s">
        <v>189</v>
      </c>
      <c r="H292">
        <v>200</v>
      </c>
      <c r="I292" t="s">
        <v>190</v>
      </c>
      <c r="J292">
        <v>1000000</v>
      </c>
      <c r="K292" t="s">
        <v>191</v>
      </c>
      <c r="L292">
        <v>12345</v>
      </c>
      <c r="M292" t="s">
        <v>192</v>
      </c>
      <c r="N292">
        <v>1E-3</v>
      </c>
      <c r="O292" t="s">
        <v>3</v>
      </c>
      <c r="P292">
        <v>0.99999919999999998</v>
      </c>
      <c r="Q292" t="s">
        <v>2</v>
      </c>
      <c r="R292">
        <v>7.2741999999999998E-3</v>
      </c>
      <c r="S292" t="s">
        <v>17</v>
      </c>
      <c r="T292">
        <v>26</v>
      </c>
      <c r="U292" t="s">
        <v>0</v>
      </c>
      <c r="V292">
        <v>200.2</v>
      </c>
      <c r="W292" t="s">
        <v>152</v>
      </c>
      <c r="X292">
        <v>8</v>
      </c>
      <c r="Y292" t="s">
        <v>153</v>
      </c>
      <c r="Z292">
        <v>127</v>
      </c>
      <c r="AA292" t="s">
        <v>151</v>
      </c>
      <c r="AB292">
        <v>91543</v>
      </c>
      <c r="AC292" t="s">
        <v>1</v>
      </c>
      <c r="AD292" t="s">
        <v>1457</v>
      </c>
      <c r="AE292" t="s">
        <v>838</v>
      </c>
      <c r="AF292" t="s">
        <v>1458</v>
      </c>
      <c r="AG292" t="s">
        <v>569</v>
      </c>
      <c r="AH292" t="s">
        <v>756</v>
      </c>
      <c r="AI292" t="s">
        <v>569</v>
      </c>
      <c r="AJ292" t="s">
        <v>1459</v>
      </c>
      <c r="AK292" t="s">
        <v>569</v>
      </c>
      <c r="AL292" t="s">
        <v>1460</v>
      </c>
      <c r="AM292" t="s">
        <v>572</v>
      </c>
      <c r="AN292">
        <v>2.9977331609432998</v>
      </c>
    </row>
    <row r="293" spans="2:52" x14ac:dyDescent="0.25">
      <c r="B293" t="s">
        <v>1461</v>
      </c>
      <c r="C293" t="s">
        <v>4</v>
      </c>
      <c r="D293">
        <v>7.8992999999999997E-3</v>
      </c>
      <c r="E293" t="s">
        <v>5</v>
      </c>
      <c r="F293">
        <v>0.99406410000000001</v>
      </c>
      <c r="G293" t="s">
        <v>189</v>
      </c>
      <c r="H293">
        <v>200</v>
      </c>
      <c r="I293" t="s">
        <v>190</v>
      </c>
      <c r="J293">
        <v>1000000</v>
      </c>
      <c r="K293" t="s">
        <v>191</v>
      </c>
      <c r="L293">
        <v>12345</v>
      </c>
      <c r="M293" t="s">
        <v>192</v>
      </c>
      <c r="N293">
        <v>1E-3</v>
      </c>
      <c r="O293" t="s">
        <v>3</v>
      </c>
      <c r="P293">
        <v>0.99376739999999997</v>
      </c>
      <c r="Q293" t="s">
        <v>2</v>
      </c>
      <c r="R293">
        <v>7.7238000000000003E-3</v>
      </c>
      <c r="S293" t="s">
        <v>17</v>
      </c>
      <c r="T293">
        <v>17</v>
      </c>
      <c r="U293" t="s">
        <v>0</v>
      </c>
      <c r="V293">
        <v>200.3</v>
      </c>
      <c r="W293" t="s">
        <v>152</v>
      </c>
      <c r="X293">
        <v>8</v>
      </c>
      <c r="Y293" t="s">
        <v>153</v>
      </c>
      <c r="Z293">
        <v>152</v>
      </c>
      <c r="AA293" t="s">
        <v>151</v>
      </c>
      <c r="AB293">
        <v>104747</v>
      </c>
      <c r="AC293" t="s">
        <v>1</v>
      </c>
      <c r="AD293" t="e" cm="1">
        <f t="array" ref="AD293">-0.0680549405219+(-0.0292269125717*x0)+(-0.9100989887553*SIN((SIN(x0)+SIN((0.5+X1)))))</f>
        <v>#NAME?</v>
      </c>
      <c r="AE293" t="s">
        <v>838</v>
      </c>
      <c r="AF293" t="e" cm="1">
        <f t="array" ref="AF293">-0.0292269125717*x0</f>
        <v>#NAME?</v>
      </c>
      <c r="AG293" t="s">
        <v>569</v>
      </c>
      <c r="AH293" t="s">
        <v>1462</v>
      </c>
      <c r="AI293" t="s">
        <v>572</v>
      </c>
      <c r="AJ293" t="s">
        <v>1463</v>
      </c>
      <c r="AK293" t="s">
        <v>572</v>
      </c>
      <c r="AL293" t="s">
        <v>1464</v>
      </c>
      <c r="AM293" t="s">
        <v>569</v>
      </c>
      <c r="AN293">
        <v>6.8054940521900004E-2</v>
      </c>
    </row>
    <row r="294" spans="2:52" x14ac:dyDescent="0.25">
      <c r="B294" t="s">
        <v>1465</v>
      </c>
      <c r="C294" t="s">
        <v>4</v>
      </c>
      <c r="D294">
        <v>0.27613409999999999</v>
      </c>
      <c r="E294" t="s">
        <v>5</v>
      </c>
      <c r="F294">
        <v>0.79232610000000003</v>
      </c>
      <c r="G294" t="s">
        <v>189</v>
      </c>
      <c r="H294">
        <v>200</v>
      </c>
      <c r="I294" t="s">
        <v>190</v>
      </c>
      <c r="J294">
        <v>1000000</v>
      </c>
      <c r="K294" t="s">
        <v>191</v>
      </c>
      <c r="L294">
        <v>12345</v>
      </c>
      <c r="M294" t="s">
        <v>192</v>
      </c>
      <c r="N294">
        <v>1E-3</v>
      </c>
      <c r="O294" t="s">
        <v>3</v>
      </c>
      <c r="P294">
        <v>0.7602506</v>
      </c>
      <c r="Q294" t="s">
        <v>2</v>
      </c>
      <c r="R294">
        <v>0.29417549999999998</v>
      </c>
      <c r="S294" t="s">
        <v>17</v>
      </c>
      <c r="T294">
        <v>24</v>
      </c>
      <c r="U294" t="s">
        <v>0</v>
      </c>
      <c r="V294">
        <v>200.1</v>
      </c>
      <c r="W294" t="s">
        <v>152</v>
      </c>
      <c r="X294">
        <v>5</v>
      </c>
      <c r="Y294" t="s">
        <v>153</v>
      </c>
      <c r="Z294">
        <v>98</v>
      </c>
      <c r="AA294" t="s">
        <v>151</v>
      </c>
      <c r="AB294">
        <v>92771</v>
      </c>
      <c r="AC294" t="s">
        <v>1</v>
      </c>
      <c r="AD294" t="s">
        <v>1466</v>
      </c>
      <c r="AE294" t="s">
        <v>838</v>
      </c>
      <c r="AF294" t="s">
        <v>1467</v>
      </c>
      <c r="AG294" t="s">
        <v>569</v>
      </c>
      <c r="AH294" t="s">
        <v>1468</v>
      </c>
      <c r="AI294" t="s">
        <v>572</v>
      </c>
      <c r="AJ294">
        <v>1.188012333391</v>
      </c>
    </row>
    <row r="295" spans="2:52" x14ac:dyDescent="0.25">
      <c r="B295" t="s">
        <v>1469</v>
      </c>
      <c r="C295" t="s">
        <v>4</v>
      </c>
      <c r="D295">
        <v>1.38429E-2</v>
      </c>
      <c r="E295" t="s">
        <v>5</v>
      </c>
      <c r="F295">
        <v>0.9978167</v>
      </c>
      <c r="G295" t="s">
        <v>189</v>
      </c>
      <c r="H295">
        <v>200</v>
      </c>
      <c r="I295" t="s">
        <v>190</v>
      </c>
      <c r="J295">
        <v>1000000</v>
      </c>
      <c r="K295" t="s">
        <v>191</v>
      </c>
      <c r="L295">
        <v>12345</v>
      </c>
      <c r="M295" t="s">
        <v>192</v>
      </c>
      <c r="N295">
        <v>1E-3</v>
      </c>
      <c r="O295" t="s">
        <v>3</v>
      </c>
      <c r="P295">
        <v>0.99792700000000001</v>
      </c>
      <c r="Q295" t="s">
        <v>2</v>
      </c>
      <c r="R295">
        <v>1.39455E-2</v>
      </c>
      <c r="S295" t="s">
        <v>17</v>
      </c>
      <c r="T295">
        <v>15</v>
      </c>
      <c r="U295" t="s">
        <v>0</v>
      </c>
      <c r="V295">
        <v>200.1</v>
      </c>
      <c r="W295" t="s">
        <v>152</v>
      </c>
      <c r="X295">
        <v>2</v>
      </c>
      <c r="Y295" t="s">
        <v>153</v>
      </c>
      <c r="Z295">
        <v>256</v>
      </c>
      <c r="AA295" t="s">
        <v>151</v>
      </c>
      <c r="AB295">
        <v>120315</v>
      </c>
      <c r="AC295" t="s">
        <v>1</v>
      </c>
      <c r="AD295" t="s">
        <v>1470</v>
      </c>
      <c r="AE295" t="s">
        <v>838</v>
      </c>
      <c r="AF295" t="s">
        <v>1471</v>
      </c>
      <c r="AG295" t="s">
        <v>569</v>
      </c>
      <c r="AH295" t="s">
        <v>1472</v>
      </c>
      <c r="AI295" t="s">
        <v>572</v>
      </c>
      <c r="AJ295">
        <v>0.55174089513900004</v>
      </c>
    </row>
    <row r="296" spans="2:52" x14ac:dyDescent="0.25">
      <c r="B296" t="s">
        <v>1473</v>
      </c>
      <c r="C296" t="s">
        <v>4</v>
      </c>
      <c r="D296">
        <v>7.7349999999999999E-4</v>
      </c>
      <c r="E296" t="s">
        <v>5</v>
      </c>
      <c r="F296">
        <v>0.99999950000000004</v>
      </c>
      <c r="G296" t="s">
        <v>189</v>
      </c>
      <c r="H296">
        <v>200</v>
      </c>
      <c r="I296" t="s">
        <v>190</v>
      </c>
      <c r="J296">
        <v>1000000</v>
      </c>
      <c r="K296" t="s">
        <v>191</v>
      </c>
      <c r="L296">
        <v>12345</v>
      </c>
      <c r="M296" t="s">
        <v>192</v>
      </c>
      <c r="N296">
        <v>1E-3</v>
      </c>
      <c r="O296" t="s">
        <v>3</v>
      </c>
      <c r="P296">
        <v>0.99999950000000004</v>
      </c>
      <c r="Q296" t="s">
        <v>2</v>
      </c>
      <c r="R296">
        <v>8.0449999999999999E-4</v>
      </c>
      <c r="S296" t="s">
        <v>17</v>
      </c>
      <c r="T296">
        <v>19</v>
      </c>
      <c r="U296" t="s">
        <v>0</v>
      </c>
      <c r="V296">
        <v>200.1</v>
      </c>
      <c r="W296" t="s">
        <v>152</v>
      </c>
      <c r="X296">
        <v>6</v>
      </c>
      <c r="Y296" t="s">
        <v>153</v>
      </c>
      <c r="Z296">
        <v>180</v>
      </c>
      <c r="AA296" t="s">
        <v>151</v>
      </c>
      <c r="AB296">
        <v>117892</v>
      </c>
      <c r="AC296" t="s">
        <v>1</v>
      </c>
      <c r="AD296" t="e" cm="1">
        <f t="array" aca="1" ref="AD296" ca="1">-1.221909814361+(1.2219407213315*pow(1.5,pow(X2,2)))+(0.9999691551348*LOG((X1*pow(x0,0.5))))</f>
        <v>#NAME?</v>
      </c>
      <c r="AE296" t="s">
        <v>838</v>
      </c>
      <c r="AF296" t="s">
        <v>1474</v>
      </c>
      <c r="AG296" t="s">
        <v>572</v>
      </c>
      <c r="AH296" t="s">
        <v>1475</v>
      </c>
      <c r="AI296" t="s">
        <v>569</v>
      </c>
      <c r="AJ296">
        <v>1.2219098143610001</v>
      </c>
    </row>
    <row r="297" spans="2:52" x14ac:dyDescent="0.25">
      <c r="B297" t="s">
        <v>1476</v>
      </c>
      <c r="C297" t="s">
        <v>4</v>
      </c>
      <c r="D297">
        <v>1.3478199999999999E-2</v>
      </c>
      <c r="E297" t="s">
        <v>5</v>
      </c>
      <c r="F297">
        <v>0.98035649999999996</v>
      </c>
      <c r="G297" t="s">
        <v>189</v>
      </c>
      <c r="H297">
        <v>200</v>
      </c>
      <c r="I297" t="s">
        <v>190</v>
      </c>
      <c r="J297">
        <v>1000000</v>
      </c>
      <c r="K297" t="s">
        <v>191</v>
      </c>
      <c r="L297">
        <v>12345</v>
      </c>
      <c r="M297" t="s">
        <v>192</v>
      </c>
      <c r="N297">
        <v>1E-3</v>
      </c>
      <c r="O297" t="s">
        <v>3</v>
      </c>
      <c r="P297">
        <v>0.98319350000000005</v>
      </c>
      <c r="Q297" t="s">
        <v>2</v>
      </c>
      <c r="R297">
        <v>1.26362E-2</v>
      </c>
      <c r="S297" t="s">
        <v>17</v>
      </c>
      <c r="T297">
        <v>28</v>
      </c>
      <c r="U297" t="s">
        <v>0</v>
      </c>
      <c r="V297">
        <v>200.3</v>
      </c>
      <c r="W297" t="s">
        <v>152</v>
      </c>
      <c r="X297">
        <v>7</v>
      </c>
      <c r="Y297" t="s">
        <v>153</v>
      </c>
      <c r="Z297">
        <v>109</v>
      </c>
      <c r="AA297" t="s">
        <v>151</v>
      </c>
      <c r="AB297">
        <v>93356</v>
      </c>
      <c r="AC297" t="s">
        <v>1</v>
      </c>
      <c r="AD297" t="s">
        <v>1477</v>
      </c>
      <c r="AE297" t="s">
        <v>838</v>
      </c>
      <c r="AF297" t="s">
        <v>1478</v>
      </c>
      <c r="AG297" t="s">
        <v>569</v>
      </c>
      <c r="AH297" t="s">
        <v>1479</v>
      </c>
      <c r="AI297" t="s">
        <v>572</v>
      </c>
      <c r="AJ297" t="s">
        <v>1480</v>
      </c>
      <c r="AK297" t="s">
        <v>569</v>
      </c>
      <c r="AL297" t="s">
        <v>669</v>
      </c>
      <c r="AM297" t="s">
        <v>569</v>
      </c>
      <c r="AN297" t="s">
        <v>1481</v>
      </c>
      <c r="AO297" t="s">
        <v>572</v>
      </c>
      <c r="AP297">
        <v>1.8365001348443999</v>
      </c>
    </row>
    <row r="298" spans="2:52" x14ac:dyDescent="0.25">
      <c r="B298" t="s">
        <v>1482</v>
      </c>
      <c r="C298" t="s">
        <v>4</v>
      </c>
      <c r="D298">
        <v>7.6599999999999997E-4</v>
      </c>
      <c r="E298" t="s">
        <v>5</v>
      </c>
      <c r="F298">
        <v>0.99999879999999997</v>
      </c>
      <c r="G298" t="s">
        <v>189</v>
      </c>
      <c r="H298">
        <v>200</v>
      </c>
      <c r="I298" t="s">
        <v>190</v>
      </c>
      <c r="J298">
        <v>1000000</v>
      </c>
      <c r="K298" t="s">
        <v>191</v>
      </c>
      <c r="L298">
        <v>12345</v>
      </c>
      <c r="M298" t="s">
        <v>192</v>
      </c>
      <c r="N298">
        <v>1E-3</v>
      </c>
      <c r="O298" t="s">
        <v>3</v>
      </c>
      <c r="P298">
        <v>0.99999879999999997</v>
      </c>
      <c r="Q298" t="s">
        <v>2</v>
      </c>
      <c r="R298">
        <v>7.7249999999999997E-4</v>
      </c>
      <c r="S298" t="s">
        <v>17</v>
      </c>
      <c r="T298">
        <v>15</v>
      </c>
      <c r="U298" t="s">
        <v>0</v>
      </c>
      <c r="V298">
        <v>200.1</v>
      </c>
      <c r="W298" t="s">
        <v>152</v>
      </c>
      <c r="X298">
        <v>13</v>
      </c>
      <c r="Y298" t="s">
        <v>153</v>
      </c>
      <c r="Z298">
        <v>108</v>
      </c>
      <c r="AA298" t="s">
        <v>151</v>
      </c>
      <c r="AB298">
        <v>103641</v>
      </c>
      <c r="AC298" t="s">
        <v>1</v>
      </c>
      <c r="AD298" t="e" cm="1">
        <f t="array" aca="1" ref="AD298" ca="1">-0.0003644986802+(1.0000371588327*COS(((11.7260393995585+X1)+(x0*pow(X2,-2)))))</f>
        <v>#NAME?</v>
      </c>
      <c r="AE298" t="s">
        <v>838</v>
      </c>
      <c r="AF298" t="s">
        <v>1483</v>
      </c>
      <c r="AG298" t="s">
        <v>572</v>
      </c>
      <c r="AH298" t="s">
        <v>762</v>
      </c>
      <c r="AI298" t="s">
        <v>572</v>
      </c>
      <c r="AJ298" t="s">
        <v>1484</v>
      </c>
      <c r="AK298" t="s">
        <v>569</v>
      </c>
      <c r="AL298">
        <v>3.644986802E-4</v>
      </c>
    </row>
    <row r="299" spans="2:52" x14ac:dyDescent="0.25">
      <c r="B299" t="s">
        <v>1485</v>
      </c>
      <c r="C299" t="s">
        <v>4</v>
      </c>
      <c r="D299">
        <v>175.4523279</v>
      </c>
      <c r="E299" t="s">
        <v>5</v>
      </c>
      <c r="F299">
        <v>-125843.2327985</v>
      </c>
      <c r="G299" t="s">
        <v>189</v>
      </c>
      <c r="H299">
        <v>200</v>
      </c>
      <c r="I299" t="s">
        <v>190</v>
      </c>
      <c r="J299">
        <v>1000000</v>
      </c>
      <c r="K299" t="s">
        <v>191</v>
      </c>
      <c r="L299">
        <v>12345</v>
      </c>
      <c r="M299" t="s">
        <v>192</v>
      </c>
      <c r="N299">
        <v>1E-3</v>
      </c>
      <c r="O299" t="s">
        <v>3</v>
      </c>
      <c r="P299">
        <v>-1697.9501421</v>
      </c>
      <c r="Q299" t="s">
        <v>2</v>
      </c>
      <c r="R299">
        <v>20.120596899999999</v>
      </c>
      <c r="S299" t="s">
        <v>17</v>
      </c>
      <c r="T299">
        <v>54</v>
      </c>
      <c r="U299" t="s">
        <v>0</v>
      </c>
      <c r="V299">
        <v>200.8</v>
      </c>
      <c r="W299" t="s">
        <v>152</v>
      </c>
      <c r="X299">
        <v>3</v>
      </c>
      <c r="Y299" t="s">
        <v>153</v>
      </c>
      <c r="Z299">
        <v>56</v>
      </c>
      <c r="AA299" t="s">
        <v>151</v>
      </c>
      <c r="AB299">
        <v>78396</v>
      </c>
      <c r="AC299" t="s">
        <v>1</v>
      </c>
      <c r="AD299" t="s">
        <v>1486</v>
      </c>
      <c r="AE299" t="s">
        <v>838</v>
      </c>
      <c r="AF299" t="s">
        <v>1487</v>
      </c>
      <c r="AG299" t="s">
        <v>569</v>
      </c>
      <c r="AH299" t="s">
        <v>1488</v>
      </c>
      <c r="AI299" t="s">
        <v>572</v>
      </c>
      <c r="AJ299" t="s">
        <v>1489</v>
      </c>
      <c r="AK299" t="s">
        <v>572</v>
      </c>
      <c r="AL299" t="s">
        <v>1490</v>
      </c>
      <c r="AM299" t="s">
        <v>572</v>
      </c>
      <c r="AN299" t="s">
        <v>1491</v>
      </c>
      <c r="AO299" t="s">
        <v>569</v>
      </c>
      <c r="AP299" t="s">
        <v>1492</v>
      </c>
      <c r="AQ299" t="s">
        <v>569</v>
      </c>
      <c r="AR299" t="s">
        <v>1493</v>
      </c>
      <c r="AS299" t="s">
        <v>572</v>
      </c>
      <c r="AT299">
        <v>0.91455026851230004</v>
      </c>
    </row>
    <row r="300" spans="2:52" x14ac:dyDescent="0.25">
      <c r="B300" t="s">
        <v>1494</v>
      </c>
      <c r="C300" t="s">
        <v>4</v>
      </c>
      <c r="D300">
        <v>4.3952403999999996</v>
      </c>
      <c r="E300" t="s">
        <v>5</v>
      </c>
      <c r="F300">
        <v>-51.995577099999998</v>
      </c>
      <c r="G300" t="s">
        <v>189</v>
      </c>
      <c r="H300">
        <v>200</v>
      </c>
      <c r="I300" t="s">
        <v>190</v>
      </c>
      <c r="J300">
        <v>1000000</v>
      </c>
      <c r="K300" t="s">
        <v>191</v>
      </c>
      <c r="L300">
        <v>12345</v>
      </c>
      <c r="M300" t="s">
        <v>192</v>
      </c>
      <c r="N300">
        <v>1E-3</v>
      </c>
      <c r="O300" t="s">
        <v>3</v>
      </c>
      <c r="P300">
        <v>-405.00096300000001</v>
      </c>
      <c r="Q300" t="s">
        <v>2</v>
      </c>
      <c r="R300">
        <v>12.426936700000001</v>
      </c>
      <c r="S300" t="s">
        <v>17</v>
      </c>
      <c r="T300">
        <v>85</v>
      </c>
      <c r="U300" t="s">
        <v>0</v>
      </c>
      <c r="V300">
        <v>200.2</v>
      </c>
      <c r="W300" t="s">
        <v>152</v>
      </c>
      <c r="X300">
        <v>5</v>
      </c>
      <c r="Y300" t="s">
        <v>153</v>
      </c>
      <c r="Z300">
        <v>28</v>
      </c>
      <c r="AA300" t="s">
        <v>151</v>
      </c>
      <c r="AB300">
        <v>60976</v>
      </c>
      <c r="AC300" t="s">
        <v>1</v>
      </c>
      <c r="AD300" t="e" cm="1">
        <f t="array" aca="1" ref="AD300" ca="1">-10.6079124736241+(11.5829017253081*SIN(((((1+x0)+((X1*X2)*X3))+(((-1*X2)*X3)*SIN(pow(X1,2))))+((((-1*x0)*X1)*X2)*X3))))+(0.0243760722661*pow(X2,-1))+(-0.3598625592157*COS((0.5*pow((x0*pow(X3,-1)),-1))))+((4.6638309057473*EXP(x0))*SIN((x0*X1)))+((10.2964678572738*pow(x0,2))*SIN((x0*X1)))+((-24.1986094766978*x0)*SIN((x0*X1)))</f>
        <v>#NAME?</v>
      </c>
      <c r="AE300" t="s">
        <v>838</v>
      </c>
      <c r="AF300" t="e" cm="1">
        <f t="array" ref="AF300">-24.1986094766978*x0*SIN(x0*X1)</f>
        <v>#NAME?</v>
      </c>
      <c r="AG300" t="s">
        <v>572</v>
      </c>
      <c r="AH300" t="s">
        <v>1495</v>
      </c>
      <c r="AI300" t="s">
        <v>572</v>
      </c>
      <c r="AJ300" t="s">
        <v>1496</v>
      </c>
      <c r="AK300" t="s">
        <v>572</v>
      </c>
      <c r="AL300" t="s">
        <v>1497</v>
      </c>
      <c r="AM300" t="s">
        <v>572</v>
      </c>
      <c r="AN300" t="s">
        <v>1498</v>
      </c>
      <c r="AO300" t="s">
        <v>572</v>
      </c>
      <c r="AP300" t="s">
        <v>1499</v>
      </c>
      <c r="AQ300" t="s">
        <v>572</v>
      </c>
      <c r="AR300" t="s">
        <v>1500</v>
      </c>
      <c r="AS300" t="s">
        <v>569</v>
      </c>
      <c r="AT300" t="s">
        <v>1501</v>
      </c>
      <c r="AU300" t="s">
        <v>572</v>
      </c>
      <c r="AV300" t="s">
        <v>692</v>
      </c>
      <c r="AW300" t="s">
        <v>569</v>
      </c>
      <c r="AX300" t="s">
        <v>1502</v>
      </c>
      <c r="AY300" t="s">
        <v>569</v>
      </c>
      <c r="AZ300">
        <v>10.607912473624101</v>
      </c>
    </row>
    <row r="301" spans="2:52" x14ac:dyDescent="0.25">
      <c r="B301" t="s">
        <v>1503</v>
      </c>
      <c r="C301" t="s">
        <v>4</v>
      </c>
      <c r="D301">
        <v>0.21563309999999999</v>
      </c>
      <c r="E301" t="s">
        <v>5</v>
      </c>
      <c r="F301">
        <v>0.85631849999999998</v>
      </c>
      <c r="G301" t="s">
        <v>189</v>
      </c>
      <c r="H301">
        <v>200</v>
      </c>
      <c r="I301" t="s">
        <v>190</v>
      </c>
      <c r="J301">
        <v>1000000</v>
      </c>
      <c r="K301" t="s">
        <v>191</v>
      </c>
      <c r="L301">
        <v>12345</v>
      </c>
      <c r="M301" t="s">
        <v>192</v>
      </c>
      <c r="N301">
        <v>1E-3</v>
      </c>
      <c r="O301" t="s">
        <v>3</v>
      </c>
      <c r="P301">
        <v>0.87712760000000001</v>
      </c>
      <c r="Q301" t="s">
        <v>2</v>
      </c>
      <c r="R301">
        <v>0.20027980000000001</v>
      </c>
      <c r="S301" t="s">
        <v>17</v>
      </c>
      <c r="T301">
        <v>45</v>
      </c>
      <c r="U301" t="s">
        <v>0</v>
      </c>
      <c r="V301">
        <v>200.2</v>
      </c>
      <c r="W301" t="s">
        <v>152</v>
      </c>
      <c r="X301">
        <v>7</v>
      </c>
      <c r="Y301" t="s">
        <v>153</v>
      </c>
      <c r="Z301">
        <v>63</v>
      </c>
      <c r="AA301" t="s">
        <v>151</v>
      </c>
      <c r="AB301">
        <v>75962</v>
      </c>
      <c r="AC301" t="s">
        <v>1</v>
      </c>
      <c r="AD301" t="s">
        <v>1504</v>
      </c>
      <c r="AE301" t="s">
        <v>838</v>
      </c>
      <c r="AF301" t="s">
        <v>1505</v>
      </c>
      <c r="AG301" t="s">
        <v>569</v>
      </c>
      <c r="AH301" t="s">
        <v>1506</v>
      </c>
      <c r="AI301" t="s">
        <v>569</v>
      </c>
      <c r="AJ301" t="s">
        <v>1507</v>
      </c>
      <c r="AK301" t="s">
        <v>572</v>
      </c>
      <c r="AL301" t="s">
        <v>1508</v>
      </c>
      <c r="AM301" t="s">
        <v>572</v>
      </c>
      <c r="AN301" t="s">
        <v>1509</v>
      </c>
      <c r="AO301" t="s">
        <v>569</v>
      </c>
      <c r="AP301" t="s">
        <v>1510</v>
      </c>
      <c r="AQ301" t="s">
        <v>569</v>
      </c>
      <c r="AR301" t="s">
        <v>1511</v>
      </c>
      <c r="AS301" t="s">
        <v>572</v>
      </c>
      <c r="AT301">
        <v>0.54580067133129995</v>
      </c>
    </row>
    <row r="302" spans="2:52" x14ac:dyDescent="0.25">
      <c r="B302" t="s">
        <v>1512</v>
      </c>
      <c r="C302" t="s">
        <v>4</v>
      </c>
      <c r="D302">
        <v>9.0833899999999995E-2</v>
      </c>
      <c r="E302" t="s">
        <v>5</v>
      </c>
      <c r="F302">
        <v>0.81272979999999995</v>
      </c>
      <c r="G302" t="s">
        <v>189</v>
      </c>
      <c r="H302">
        <v>200</v>
      </c>
      <c r="I302" t="s">
        <v>190</v>
      </c>
      <c r="J302">
        <v>1000000</v>
      </c>
      <c r="K302" t="s">
        <v>191</v>
      </c>
      <c r="L302">
        <v>12345</v>
      </c>
      <c r="M302" t="s">
        <v>192</v>
      </c>
      <c r="N302">
        <v>1E-3</v>
      </c>
      <c r="O302" t="s">
        <v>3</v>
      </c>
      <c r="P302">
        <v>0.81215610000000005</v>
      </c>
      <c r="Q302" t="s">
        <v>2</v>
      </c>
      <c r="R302">
        <v>9.1899599999999998E-2</v>
      </c>
      <c r="S302" t="s">
        <v>17</v>
      </c>
      <c r="T302">
        <v>44</v>
      </c>
      <c r="U302" t="s">
        <v>0</v>
      </c>
      <c r="V302">
        <v>200.6</v>
      </c>
      <c r="W302" t="s">
        <v>152</v>
      </c>
      <c r="X302">
        <v>2</v>
      </c>
      <c r="Y302" t="s">
        <v>153</v>
      </c>
      <c r="Z302">
        <v>52</v>
      </c>
      <c r="AA302" t="s">
        <v>151</v>
      </c>
      <c r="AB302">
        <v>77935</v>
      </c>
      <c r="AC302" t="s">
        <v>1</v>
      </c>
      <c r="AD302" t="s">
        <v>1513</v>
      </c>
      <c r="AE302" t="s">
        <v>838</v>
      </c>
      <c r="AF302" t="s">
        <v>1514</v>
      </c>
      <c r="AG302" t="s">
        <v>572</v>
      </c>
      <c r="AH302" t="s">
        <v>1515</v>
      </c>
      <c r="AI302" t="s">
        <v>572</v>
      </c>
      <c r="AJ302" t="s">
        <v>1516</v>
      </c>
      <c r="AK302" t="s">
        <v>569</v>
      </c>
      <c r="AL302" t="s">
        <v>1517</v>
      </c>
      <c r="AM302" t="s">
        <v>569</v>
      </c>
      <c r="AN302" t="s">
        <v>1518</v>
      </c>
    </row>
    <row r="303" spans="2:52" x14ac:dyDescent="0.25">
      <c r="B303" t="s">
        <v>1519</v>
      </c>
      <c r="C303" t="s">
        <v>4</v>
      </c>
      <c r="D303">
        <v>6.5994000000000001E-3</v>
      </c>
      <c r="E303" t="s">
        <v>5</v>
      </c>
      <c r="F303">
        <v>0.9974864</v>
      </c>
      <c r="G303" t="s">
        <v>189</v>
      </c>
      <c r="H303">
        <v>200</v>
      </c>
      <c r="I303" t="s">
        <v>190</v>
      </c>
      <c r="J303">
        <v>1000000</v>
      </c>
      <c r="K303" t="s">
        <v>191</v>
      </c>
      <c r="L303">
        <v>12345</v>
      </c>
      <c r="M303" t="s">
        <v>192</v>
      </c>
      <c r="N303">
        <v>1E-3</v>
      </c>
      <c r="O303" t="s">
        <v>3</v>
      </c>
      <c r="P303">
        <v>0.99737279999999995</v>
      </c>
      <c r="Q303" t="s">
        <v>2</v>
      </c>
      <c r="R303">
        <v>6.8436E-3</v>
      </c>
      <c r="S303" t="s">
        <v>17</v>
      </c>
      <c r="T303">
        <v>20</v>
      </c>
      <c r="U303" t="s">
        <v>0</v>
      </c>
      <c r="V303">
        <v>200.1</v>
      </c>
      <c r="W303" t="s">
        <v>152</v>
      </c>
      <c r="X303">
        <v>3</v>
      </c>
      <c r="Y303" t="s">
        <v>153</v>
      </c>
      <c r="Z303">
        <v>121</v>
      </c>
      <c r="AA303" t="s">
        <v>151</v>
      </c>
      <c r="AB303">
        <v>104572</v>
      </c>
      <c r="AC303" t="s">
        <v>1</v>
      </c>
      <c r="AD303" t="s">
        <v>1520</v>
      </c>
      <c r="AE303" t="s">
        <v>838</v>
      </c>
      <c r="AF303" t="s">
        <v>1521</v>
      </c>
      <c r="AG303" t="s">
        <v>569</v>
      </c>
      <c r="AH303" t="s">
        <v>1522</v>
      </c>
      <c r="AI303" t="s">
        <v>572</v>
      </c>
      <c r="AJ303">
        <v>7.0161045358000003E-3</v>
      </c>
    </row>
    <row r="304" spans="2:52" x14ac:dyDescent="0.25">
      <c r="B304" t="s">
        <v>1523</v>
      </c>
      <c r="C304" t="s">
        <v>4</v>
      </c>
      <c r="D304">
        <v>6438920087697020</v>
      </c>
      <c r="E304" t="s">
        <v>5</v>
      </c>
      <c r="F304">
        <v>-4.0020000000000002E-4</v>
      </c>
      <c r="G304" t="s">
        <v>189</v>
      </c>
      <c r="H304">
        <v>200</v>
      </c>
      <c r="I304" t="s">
        <v>190</v>
      </c>
      <c r="J304">
        <v>1000000</v>
      </c>
      <c r="K304" t="s">
        <v>191</v>
      </c>
      <c r="L304">
        <v>12345</v>
      </c>
      <c r="M304" t="s">
        <v>192</v>
      </c>
      <c r="N304">
        <v>1E-3</v>
      </c>
      <c r="O304" t="s">
        <v>3</v>
      </c>
      <c r="P304">
        <v>-1.382E-4</v>
      </c>
      <c r="Q304" t="s">
        <v>2</v>
      </c>
      <c r="R304">
        <v>2416546633676380</v>
      </c>
      <c r="S304" t="s">
        <v>17</v>
      </c>
      <c r="T304">
        <v>36</v>
      </c>
      <c r="U304" t="s">
        <v>0</v>
      </c>
      <c r="V304">
        <v>251.8</v>
      </c>
      <c r="W304" t="s">
        <v>152</v>
      </c>
      <c r="X304">
        <v>3</v>
      </c>
      <c r="Y304" t="s">
        <v>153</v>
      </c>
      <c r="Z304">
        <v>113</v>
      </c>
      <c r="AA304" t="s">
        <v>151</v>
      </c>
      <c r="AB304">
        <v>68289</v>
      </c>
      <c r="AC304" t="s">
        <v>1</v>
      </c>
      <c r="AD304" t="s">
        <v>1524</v>
      </c>
      <c r="AE304" t="s">
        <v>838</v>
      </c>
      <c r="AF304" t="s">
        <v>1525</v>
      </c>
      <c r="AG304" t="s">
        <v>572</v>
      </c>
      <c r="AH304" t="s">
        <v>1526</v>
      </c>
      <c r="AI304" t="s">
        <v>569</v>
      </c>
      <c r="AJ304" t="s">
        <v>1527</v>
      </c>
      <c r="AK304" t="s">
        <v>572</v>
      </c>
      <c r="AL304" t="s">
        <v>1528</v>
      </c>
      <c r="AM304" t="s">
        <v>569</v>
      </c>
      <c r="AN304" t="s">
        <v>1529</v>
      </c>
      <c r="AO304" t="s">
        <v>572</v>
      </c>
      <c r="AP304" t="s">
        <v>1526</v>
      </c>
      <c r="AQ304" t="s">
        <v>572</v>
      </c>
      <c r="AR304">
        <v>7876446592.1863298</v>
      </c>
    </row>
    <row r="305" spans="2:44" x14ac:dyDescent="0.25">
      <c r="B305" t="s">
        <v>1530</v>
      </c>
      <c r="C305" t="s">
        <v>4</v>
      </c>
      <c r="D305">
        <v>1.6615E-3</v>
      </c>
      <c r="E305" t="s">
        <v>5</v>
      </c>
      <c r="F305">
        <v>0.99987340000000002</v>
      </c>
      <c r="G305" t="s">
        <v>189</v>
      </c>
      <c r="H305">
        <v>200</v>
      </c>
      <c r="I305" t="s">
        <v>190</v>
      </c>
      <c r="J305">
        <v>1000000</v>
      </c>
      <c r="K305" t="s">
        <v>191</v>
      </c>
      <c r="L305">
        <v>12345</v>
      </c>
      <c r="M305" t="s">
        <v>192</v>
      </c>
      <c r="N305">
        <v>1E-3</v>
      </c>
      <c r="O305" t="s">
        <v>3</v>
      </c>
      <c r="P305">
        <v>0.99987269999999995</v>
      </c>
      <c r="Q305" t="s">
        <v>2</v>
      </c>
      <c r="R305">
        <v>1.6793999999999999E-3</v>
      </c>
      <c r="S305" t="s">
        <v>17</v>
      </c>
      <c r="T305">
        <v>12</v>
      </c>
      <c r="U305" t="s">
        <v>0</v>
      </c>
      <c r="V305">
        <v>200.1</v>
      </c>
      <c r="W305" t="s">
        <v>152</v>
      </c>
      <c r="X305">
        <v>6</v>
      </c>
      <c r="Y305" t="s">
        <v>153</v>
      </c>
      <c r="Z305">
        <v>383</v>
      </c>
      <c r="AA305" t="s">
        <v>151</v>
      </c>
      <c r="AB305">
        <v>138326</v>
      </c>
      <c r="AC305" t="s">
        <v>1</v>
      </c>
      <c r="AD305" t="s">
        <v>1531</v>
      </c>
      <c r="AE305" t="s">
        <v>838</v>
      </c>
      <c r="AF305" t="s">
        <v>1532</v>
      </c>
      <c r="AG305" t="s">
        <v>572</v>
      </c>
      <c r="AH305" t="s">
        <v>1533</v>
      </c>
      <c r="AI305" t="s">
        <v>572</v>
      </c>
      <c r="AJ305">
        <v>0.3692296161802</v>
      </c>
    </row>
    <row r="306" spans="2:44" x14ac:dyDescent="0.25">
      <c r="B306" t="s">
        <v>1534</v>
      </c>
      <c r="C306" t="s">
        <v>4</v>
      </c>
      <c r="D306">
        <v>1.0157E-3</v>
      </c>
      <c r="E306" t="s">
        <v>5</v>
      </c>
      <c r="F306">
        <v>0.99999020000000005</v>
      </c>
      <c r="G306" t="s">
        <v>189</v>
      </c>
      <c r="H306">
        <v>200</v>
      </c>
      <c r="I306" t="s">
        <v>190</v>
      </c>
      <c r="J306">
        <v>1000000</v>
      </c>
      <c r="K306" t="s">
        <v>191</v>
      </c>
      <c r="L306">
        <v>12345</v>
      </c>
      <c r="M306" t="s">
        <v>192</v>
      </c>
      <c r="N306">
        <v>1E-3</v>
      </c>
      <c r="O306" t="s">
        <v>3</v>
      </c>
      <c r="P306">
        <v>0.99999070000000001</v>
      </c>
      <c r="Q306" t="s">
        <v>2</v>
      </c>
      <c r="R306">
        <v>9.7260000000000001E-4</v>
      </c>
      <c r="S306" t="s">
        <v>17</v>
      </c>
      <c r="T306">
        <v>11</v>
      </c>
      <c r="U306" t="s">
        <v>0</v>
      </c>
      <c r="V306">
        <v>200.2</v>
      </c>
      <c r="W306" t="s">
        <v>152</v>
      </c>
      <c r="X306">
        <v>15</v>
      </c>
      <c r="Y306" t="s">
        <v>153</v>
      </c>
      <c r="Z306">
        <v>514</v>
      </c>
      <c r="AA306" t="s">
        <v>151</v>
      </c>
      <c r="AB306">
        <v>134618</v>
      </c>
      <c r="AC306" t="s">
        <v>1</v>
      </c>
      <c r="AD306" t="s">
        <v>1535</v>
      </c>
      <c r="AE306" t="s">
        <v>838</v>
      </c>
      <c r="AF306" t="s">
        <v>1536</v>
      </c>
      <c r="AG306" t="s">
        <v>572</v>
      </c>
      <c r="AH306">
        <v>4.2391915552955997</v>
      </c>
    </row>
    <row r="307" spans="2:44" x14ac:dyDescent="0.25">
      <c r="B307" t="s">
        <v>1537</v>
      </c>
      <c r="C307" t="s">
        <v>4</v>
      </c>
      <c r="D307">
        <v>1.237E-4</v>
      </c>
      <c r="E307" t="s">
        <v>5</v>
      </c>
      <c r="F307">
        <v>0.99999150000000003</v>
      </c>
      <c r="G307" t="s">
        <v>189</v>
      </c>
      <c r="H307">
        <v>200</v>
      </c>
      <c r="I307" t="s">
        <v>190</v>
      </c>
      <c r="J307">
        <v>1000000</v>
      </c>
      <c r="K307" t="s">
        <v>191</v>
      </c>
      <c r="L307">
        <v>12345</v>
      </c>
      <c r="M307" t="s">
        <v>192</v>
      </c>
      <c r="N307">
        <v>1E-3</v>
      </c>
      <c r="O307" t="s">
        <v>3</v>
      </c>
      <c r="P307">
        <v>0.99999139999999997</v>
      </c>
      <c r="Q307" t="s">
        <v>2</v>
      </c>
      <c r="R307">
        <v>1.2449999999999999E-4</v>
      </c>
      <c r="S307" t="s">
        <v>17</v>
      </c>
      <c r="T307">
        <v>8</v>
      </c>
      <c r="U307" t="s">
        <v>0</v>
      </c>
      <c r="V307">
        <v>200.1</v>
      </c>
      <c r="W307" t="s">
        <v>152</v>
      </c>
      <c r="X307">
        <v>20</v>
      </c>
      <c r="Y307" t="s">
        <v>153</v>
      </c>
      <c r="Z307">
        <v>577</v>
      </c>
      <c r="AA307" t="s">
        <v>151</v>
      </c>
      <c r="AB307">
        <v>136953</v>
      </c>
      <c r="AC307" t="s">
        <v>1</v>
      </c>
      <c r="AD307" t="s">
        <v>1538</v>
      </c>
      <c r="AE307" t="s">
        <v>838</v>
      </c>
      <c r="AF307" t="s">
        <v>1539</v>
      </c>
      <c r="AG307" t="s">
        <v>572</v>
      </c>
      <c r="AH307">
        <v>0.7454739429442</v>
      </c>
    </row>
    <row r="308" spans="2:44" x14ac:dyDescent="0.25">
      <c r="B308" t="s">
        <v>1540</v>
      </c>
      <c r="C308" t="s">
        <v>4</v>
      </c>
      <c r="D308">
        <v>0</v>
      </c>
      <c r="E308" t="s">
        <v>5</v>
      </c>
      <c r="F308">
        <v>1</v>
      </c>
      <c r="G308" t="s">
        <v>189</v>
      </c>
      <c r="H308">
        <v>200</v>
      </c>
      <c r="I308" t="s">
        <v>190</v>
      </c>
      <c r="J308">
        <v>1000000</v>
      </c>
      <c r="K308" t="s">
        <v>191</v>
      </c>
      <c r="L308">
        <v>12345</v>
      </c>
      <c r="M308" t="s">
        <v>192</v>
      </c>
      <c r="N308">
        <v>1E-3</v>
      </c>
      <c r="O308" t="s">
        <v>3</v>
      </c>
      <c r="P308">
        <v>1</v>
      </c>
      <c r="Q308" t="s">
        <v>2</v>
      </c>
      <c r="R308">
        <v>0</v>
      </c>
      <c r="S308" t="s">
        <v>17</v>
      </c>
      <c r="T308">
        <v>7</v>
      </c>
      <c r="U308" t="s">
        <v>0</v>
      </c>
      <c r="V308">
        <v>97.1</v>
      </c>
      <c r="W308" t="s">
        <v>152</v>
      </c>
      <c r="X308">
        <v>5</v>
      </c>
      <c r="Y308" t="s">
        <v>153</v>
      </c>
      <c r="Z308">
        <v>120</v>
      </c>
      <c r="AA308" t="s">
        <v>151</v>
      </c>
      <c r="AB308">
        <v>51513</v>
      </c>
      <c r="AC308" t="s">
        <v>1</v>
      </c>
      <c r="AD308" t="s">
        <v>1541</v>
      </c>
      <c r="AE308" t="s">
        <v>838</v>
      </c>
      <c r="AF308" t="s">
        <v>1542</v>
      </c>
    </row>
    <row r="309" spans="2:44" x14ac:dyDescent="0.25">
      <c r="B309" t="s">
        <v>1543</v>
      </c>
      <c r="C309" t="s">
        <v>4</v>
      </c>
      <c r="D309">
        <v>9.4219000000000004E-3</v>
      </c>
      <c r="E309" t="s">
        <v>5</v>
      </c>
      <c r="F309">
        <v>0.99997919999999996</v>
      </c>
      <c r="G309" t="s">
        <v>189</v>
      </c>
      <c r="H309">
        <v>200</v>
      </c>
      <c r="I309" t="s">
        <v>190</v>
      </c>
      <c r="J309">
        <v>1000000</v>
      </c>
      <c r="K309" t="s">
        <v>191</v>
      </c>
      <c r="L309">
        <v>12345</v>
      </c>
      <c r="M309" t="s">
        <v>192</v>
      </c>
      <c r="N309">
        <v>1E-3</v>
      </c>
      <c r="O309" t="s">
        <v>3</v>
      </c>
      <c r="P309">
        <v>0.9999806</v>
      </c>
      <c r="Q309" t="s">
        <v>2</v>
      </c>
      <c r="R309">
        <v>9.0764999999999995E-3</v>
      </c>
      <c r="S309" t="s">
        <v>17</v>
      </c>
      <c r="T309">
        <v>21</v>
      </c>
      <c r="U309" t="s">
        <v>0</v>
      </c>
      <c r="V309">
        <v>200.1</v>
      </c>
      <c r="W309" t="s">
        <v>152</v>
      </c>
      <c r="X309">
        <v>9</v>
      </c>
      <c r="Y309" t="s">
        <v>153</v>
      </c>
      <c r="Z309">
        <v>166</v>
      </c>
      <c r="AA309" t="s">
        <v>151</v>
      </c>
      <c r="AB309">
        <v>109839</v>
      </c>
      <c r="AC309" t="s">
        <v>1</v>
      </c>
      <c r="AD309" t="e" cm="1">
        <f t="array" ref="AD309">-0.0193277715732+(-2.0063788041119*LOG(x0))+(((1.1647295277927*COS(X1))*LOG((0.5403023058681+X1)))*LOG(COS(x0)))</f>
        <v>#NAME?</v>
      </c>
      <c r="AE309" t="s">
        <v>838</v>
      </c>
      <c r="AF309" t="e" cm="1">
        <f t="array" ref="AF309">-2.0063788041119*LOG(x0)</f>
        <v>#NAME?</v>
      </c>
      <c r="AG309" t="s">
        <v>572</v>
      </c>
      <c r="AH309" t="s">
        <v>1544</v>
      </c>
      <c r="AI309" t="s">
        <v>572</v>
      </c>
      <c r="AJ309" t="s">
        <v>1545</v>
      </c>
      <c r="AK309" t="s">
        <v>569</v>
      </c>
      <c r="AL309">
        <v>1.9327771573199998E-2</v>
      </c>
    </row>
    <row r="310" spans="2:44" x14ac:dyDescent="0.25">
      <c r="B310" t="s">
        <v>1546</v>
      </c>
      <c r="C310" t="s">
        <v>4</v>
      </c>
      <c r="D310">
        <v>3.8069999999999998E-4</v>
      </c>
      <c r="E310" t="s">
        <v>5</v>
      </c>
      <c r="F310">
        <v>0.9999363</v>
      </c>
      <c r="G310" t="s">
        <v>189</v>
      </c>
      <c r="H310">
        <v>200</v>
      </c>
      <c r="I310" t="s">
        <v>190</v>
      </c>
      <c r="J310">
        <v>1000000</v>
      </c>
      <c r="K310" t="s">
        <v>191</v>
      </c>
      <c r="L310">
        <v>12345</v>
      </c>
      <c r="M310" t="s">
        <v>192</v>
      </c>
      <c r="N310">
        <v>1E-3</v>
      </c>
      <c r="O310" t="s">
        <v>3</v>
      </c>
      <c r="P310">
        <v>0.99994959999999999</v>
      </c>
      <c r="Q310" t="s">
        <v>2</v>
      </c>
      <c r="R310">
        <v>3.2689999999999998E-4</v>
      </c>
      <c r="S310" t="s">
        <v>17</v>
      </c>
      <c r="T310">
        <v>13</v>
      </c>
      <c r="U310" t="s">
        <v>0</v>
      </c>
      <c r="V310">
        <v>200.1</v>
      </c>
      <c r="W310" t="s">
        <v>152</v>
      </c>
      <c r="X310">
        <v>4</v>
      </c>
      <c r="Y310" t="s">
        <v>153</v>
      </c>
      <c r="Z310">
        <v>269</v>
      </c>
      <c r="AA310" t="s">
        <v>151</v>
      </c>
      <c r="AB310">
        <v>129785</v>
      </c>
      <c r="AC310" t="s">
        <v>1</v>
      </c>
      <c r="AD310" t="e" cm="1">
        <f t="array" aca="1" ref="AD310" ca="1">-0.8376469144884+(0.2466740844037*COS(((1.8*x0)*pow(X1,2))))</f>
        <v>#NAME?</v>
      </c>
      <c r="AE310" t="s">
        <v>838</v>
      </c>
      <c r="AF310" t="s">
        <v>1547</v>
      </c>
      <c r="AG310" t="s">
        <v>569</v>
      </c>
      <c r="AH310">
        <v>0.83764691448840001</v>
      </c>
    </row>
    <row r="311" spans="2:44" x14ac:dyDescent="0.25">
      <c r="B311" t="s">
        <v>1548</v>
      </c>
      <c r="C311" t="s">
        <v>4</v>
      </c>
      <c r="D311">
        <v>3.0349999999999999E-3</v>
      </c>
      <c r="E311" t="s">
        <v>5</v>
      </c>
      <c r="F311">
        <v>0.97142289999999998</v>
      </c>
      <c r="G311" t="s">
        <v>189</v>
      </c>
      <c r="H311">
        <v>200</v>
      </c>
      <c r="I311" t="s">
        <v>190</v>
      </c>
      <c r="J311">
        <v>1000000</v>
      </c>
      <c r="K311" t="s">
        <v>191</v>
      </c>
      <c r="L311">
        <v>12345</v>
      </c>
      <c r="M311" t="s">
        <v>192</v>
      </c>
      <c r="N311">
        <v>1E-3</v>
      </c>
      <c r="O311" t="s">
        <v>3</v>
      </c>
      <c r="P311">
        <v>0.97242609999999996</v>
      </c>
      <c r="Q311" t="s">
        <v>2</v>
      </c>
      <c r="R311">
        <v>3.0406000000000001E-3</v>
      </c>
      <c r="S311" t="s">
        <v>17</v>
      </c>
      <c r="T311">
        <v>18</v>
      </c>
      <c r="U311" t="s">
        <v>0</v>
      </c>
      <c r="V311">
        <v>200.1</v>
      </c>
      <c r="W311" t="s">
        <v>152</v>
      </c>
      <c r="X311">
        <v>7</v>
      </c>
      <c r="Y311" t="s">
        <v>153</v>
      </c>
      <c r="Z311">
        <v>241</v>
      </c>
      <c r="AA311" t="s">
        <v>151</v>
      </c>
      <c r="AB311">
        <v>117026</v>
      </c>
      <c r="AC311" t="s">
        <v>1</v>
      </c>
      <c r="AD311" t="s">
        <v>1549</v>
      </c>
      <c r="AE311" t="s">
        <v>838</v>
      </c>
      <c r="AF311" t="s">
        <v>1550</v>
      </c>
      <c r="AG311" t="s">
        <v>572</v>
      </c>
      <c r="AH311" t="s">
        <v>1551</v>
      </c>
      <c r="AI311" t="s">
        <v>572</v>
      </c>
      <c r="AJ311">
        <v>0.96290674661819997</v>
      </c>
    </row>
    <row r="312" spans="2:44" x14ac:dyDescent="0.25">
      <c r="B312" t="s">
        <v>1552</v>
      </c>
      <c r="C312" t="s">
        <v>4</v>
      </c>
      <c r="D312">
        <v>2.6850000000000002E-4</v>
      </c>
      <c r="E312" t="s">
        <v>5</v>
      </c>
      <c r="F312">
        <v>0.99999890000000002</v>
      </c>
      <c r="G312" t="s">
        <v>189</v>
      </c>
      <c r="H312">
        <v>200</v>
      </c>
      <c r="I312" t="s">
        <v>190</v>
      </c>
      <c r="J312">
        <v>1000000</v>
      </c>
      <c r="K312" t="s">
        <v>191</v>
      </c>
      <c r="L312">
        <v>12345</v>
      </c>
      <c r="M312" t="s">
        <v>192</v>
      </c>
      <c r="N312">
        <v>1E-3</v>
      </c>
      <c r="O312" t="s">
        <v>3</v>
      </c>
      <c r="P312">
        <v>0.99999879999999997</v>
      </c>
      <c r="Q312" t="s">
        <v>2</v>
      </c>
      <c r="R312">
        <v>2.7310000000000002E-4</v>
      </c>
      <c r="S312" t="s">
        <v>17</v>
      </c>
      <c r="T312">
        <v>13</v>
      </c>
      <c r="U312" t="s">
        <v>0</v>
      </c>
      <c r="V312">
        <v>200.1</v>
      </c>
      <c r="W312" t="s">
        <v>152</v>
      </c>
      <c r="X312">
        <v>4</v>
      </c>
      <c r="Y312" t="s">
        <v>153</v>
      </c>
      <c r="Z312">
        <v>404</v>
      </c>
      <c r="AA312" t="s">
        <v>151</v>
      </c>
      <c r="AB312">
        <v>131564</v>
      </c>
      <c r="AC312" t="s">
        <v>1</v>
      </c>
      <c r="AD312" t="s">
        <v>1553</v>
      </c>
      <c r="AE312" t="s">
        <v>838</v>
      </c>
      <c r="AF312" t="s">
        <v>1554</v>
      </c>
      <c r="AG312" t="s">
        <v>572</v>
      </c>
      <c r="AH312" t="s">
        <v>1555</v>
      </c>
      <c r="AI312" t="s">
        <v>572</v>
      </c>
      <c r="AJ312">
        <v>2.6717055366590001</v>
      </c>
    </row>
    <row r="313" spans="2:44" x14ac:dyDescent="0.25">
      <c r="B313" t="s">
        <v>1556</v>
      </c>
      <c r="C313" t="s">
        <v>4</v>
      </c>
      <c r="D313">
        <v>8.2963800000000004E-2</v>
      </c>
      <c r="E313" t="s">
        <v>5</v>
      </c>
      <c r="F313">
        <v>0.98463420000000001</v>
      </c>
      <c r="G313" t="s">
        <v>189</v>
      </c>
      <c r="H313">
        <v>200</v>
      </c>
      <c r="I313" t="s">
        <v>190</v>
      </c>
      <c r="J313">
        <v>1000000</v>
      </c>
      <c r="K313" t="s">
        <v>191</v>
      </c>
      <c r="L313">
        <v>12345</v>
      </c>
      <c r="M313" t="s">
        <v>192</v>
      </c>
      <c r="N313">
        <v>1E-3</v>
      </c>
      <c r="O313" t="s">
        <v>3</v>
      </c>
      <c r="P313">
        <v>0.9861683</v>
      </c>
      <c r="Q313" t="s">
        <v>2</v>
      </c>
      <c r="R313">
        <v>7.8302700000000003E-2</v>
      </c>
      <c r="S313" t="s">
        <v>17</v>
      </c>
      <c r="T313">
        <v>15</v>
      </c>
      <c r="U313" t="s">
        <v>0</v>
      </c>
      <c r="V313">
        <v>200.3</v>
      </c>
      <c r="W313" t="s">
        <v>152</v>
      </c>
      <c r="X313">
        <v>3</v>
      </c>
      <c r="Y313" t="s">
        <v>153</v>
      </c>
      <c r="Z313">
        <v>214</v>
      </c>
      <c r="AA313" t="s">
        <v>151</v>
      </c>
      <c r="AB313">
        <v>115237</v>
      </c>
      <c r="AC313" t="s">
        <v>1</v>
      </c>
      <c r="AD313" t="s">
        <v>1557</v>
      </c>
      <c r="AE313" t="s">
        <v>838</v>
      </c>
      <c r="AF313" t="s">
        <v>1558</v>
      </c>
      <c r="AG313" t="s">
        <v>569</v>
      </c>
      <c r="AH313" t="s">
        <v>1559</v>
      </c>
      <c r="AI313" t="s">
        <v>572</v>
      </c>
      <c r="AJ313" t="s">
        <v>1560</v>
      </c>
      <c r="AK313" t="s">
        <v>572</v>
      </c>
      <c r="AL313">
        <v>1.0021139517224</v>
      </c>
    </row>
    <row r="314" spans="2:44" x14ac:dyDescent="0.25">
      <c r="B314" t="s">
        <v>1561</v>
      </c>
      <c r="C314" t="s">
        <v>4</v>
      </c>
      <c r="D314">
        <v>0</v>
      </c>
      <c r="E314" t="s">
        <v>5</v>
      </c>
      <c r="F314">
        <v>1</v>
      </c>
      <c r="G314" t="s">
        <v>189</v>
      </c>
      <c r="H314">
        <v>200</v>
      </c>
      <c r="I314" t="s">
        <v>190</v>
      </c>
      <c r="J314">
        <v>1000000</v>
      </c>
      <c r="K314" t="s">
        <v>191</v>
      </c>
      <c r="L314">
        <v>12345</v>
      </c>
      <c r="M314" t="s">
        <v>192</v>
      </c>
      <c r="N314">
        <v>1E-3</v>
      </c>
      <c r="O314" t="s">
        <v>3</v>
      </c>
      <c r="P314">
        <v>1</v>
      </c>
      <c r="Q314" t="s">
        <v>2</v>
      </c>
      <c r="R314">
        <v>0</v>
      </c>
      <c r="S314" t="s">
        <v>17</v>
      </c>
      <c r="T314">
        <v>16</v>
      </c>
      <c r="U314" t="s">
        <v>0</v>
      </c>
      <c r="V314">
        <v>75.900000000000006</v>
      </c>
      <c r="W314" t="s">
        <v>152</v>
      </c>
      <c r="X314">
        <v>2</v>
      </c>
      <c r="Y314" t="s">
        <v>153</v>
      </c>
      <c r="Z314">
        <v>37</v>
      </c>
      <c r="AA314" t="s">
        <v>151</v>
      </c>
      <c r="AB314">
        <v>31940</v>
      </c>
      <c r="AC314" t="s">
        <v>1</v>
      </c>
      <c r="AD314" t="s">
        <v>1562</v>
      </c>
      <c r="AE314" t="s">
        <v>838</v>
      </c>
      <c r="AF314" t="s">
        <v>1563</v>
      </c>
      <c r="AG314" t="s">
        <v>572</v>
      </c>
      <c r="AH314" t="s">
        <v>1316</v>
      </c>
      <c r="AI314" t="s">
        <v>572</v>
      </c>
      <c r="AJ314">
        <v>4.6051701859880998</v>
      </c>
    </row>
    <row r="315" spans="2:44" x14ac:dyDescent="0.25">
      <c r="B315" t="s">
        <v>1564</v>
      </c>
      <c r="C315" t="s">
        <v>4</v>
      </c>
      <c r="D315">
        <v>0</v>
      </c>
      <c r="E315" t="s">
        <v>5</v>
      </c>
      <c r="F315">
        <v>1</v>
      </c>
      <c r="G315" t="s">
        <v>189</v>
      </c>
      <c r="H315">
        <v>200</v>
      </c>
      <c r="I315" t="s">
        <v>190</v>
      </c>
      <c r="J315">
        <v>1000000</v>
      </c>
      <c r="K315" t="s">
        <v>191</v>
      </c>
      <c r="L315">
        <v>12345</v>
      </c>
      <c r="M315" t="s">
        <v>192</v>
      </c>
      <c r="N315">
        <v>1E-3</v>
      </c>
      <c r="O315" t="s">
        <v>3</v>
      </c>
      <c r="P315">
        <v>1</v>
      </c>
      <c r="Q315" t="s">
        <v>2</v>
      </c>
      <c r="R315">
        <v>0</v>
      </c>
      <c r="S315" t="s">
        <v>17</v>
      </c>
      <c r="T315">
        <v>16</v>
      </c>
      <c r="U315" t="s">
        <v>0</v>
      </c>
      <c r="V315">
        <v>6.4</v>
      </c>
      <c r="W315" t="s">
        <v>152</v>
      </c>
      <c r="X315">
        <v>2</v>
      </c>
      <c r="Y315" t="s">
        <v>153</v>
      </c>
      <c r="Z315">
        <v>8</v>
      </c>
      <c r="AA315" t="s">
        <v>151</v>
      </c>
      <c r="AB315">
        <v>3593</v>
      </c>
      <c r="AC315" t="s">
        <v>1</v>
      </c>
      <c r="AD315" t="s">
        <v>1565</v>
      </c>
      <c r="AE315" t="s">
        <v>838</v>
      </c>
      <c r="AF315" t="s">
        <v>1566</v>
      </c>
      <c r="AG315" t="s">
        <v>572</v>
      </c>
      <c r="AH315" t="s">
        <v>570</v>
      </c>
      <c r="AI315" t="s">
        <v>572</v>
      </c>
      <c r="AJ315" t="s">
        <v>1567</v>
      </c>
    </row>
    <row r="316" spans="2:44" x14ac:dyDescent="0.25">
      <c r="B316" t="s">
        <v>1568</v>
      </c>
      <c r="C316" t="s">
        <v>4</v>
      </c>
      <c r="D316">
        <v>0</v>
      </c>
      <c r="E316" t="s">
        <v>5</v>
      </c>
      <c r="F316">
        <v>1</v>
      </c>
      <c r="G316" t="s">
        <v>189</v>
      </c>
      <c r="H316">
        <v>200</v>
      </c>
      <c r="I316" t="s">
        <v>190</v>
      </c>
      <c r="J316">
        <v>1000000</v>
      </c>
      <c r="K316" t="s">
        <v>191</v>
      </c>
      <c r="L316">
        <v>12345</v>
      </c>
      <c r="M316" t="s">
        <v>192</v>
      </c>
      <c r="N316">
        <v>1E-3</v>
      </c>
      <c r="O316" t="s">
        <v>3</v>
      </c>
      <c r="P316">
        <v>1</v>
      </c>
      <c r="Q316" t="s">
        <v>2</v>
      </c>
      <c r="R316">
        <v>0</v>
      </c>
      <c r="S316" t="s">
        <v>17</v>
      </c>
      <c r="T316">
        <v>16</v>
      </c>
      <c r="U316" t="s">
        <v>0</v>
      </c>
      <c r="V316">
        <v>9.6</v>
      </c>
      <c r="W316" t="s">
        <v>152</v>
      </c>
      <c r="X316">
        <v>2</v>
      </c>
      <c r="Y316" t="s">
        <v>153</v>
      </c>
      <c r="Z316">
        <v>12</v>
      </c>
      <c r="AA316" t="s">
        <v>151</v>
      </c>
      <c r="AB316">
        <v>5230</v>
      </c>
      <c r="AC316" t="s">
        <v>1</v>
      </c>
      <c r="AD316" t="s">
        <v>1569</v>
      </c>
      <c r="AE316" t="s">
        <v>838</v>
      </c>
      <c r="AF316" t="s">
        <v>1570</v>
      </c>
      <c r="AG316" t="s">
        <v>572</v>
      </c>
      <c r="AH316" t="s">
        <v>1571</v>
      </c>
      <c r="AI316" t="s">
        <v>572</v>
      </c>
      <c r="AJ316" t="s">
        <v>1572</v>
      </c>
    </row>
    <row r="317" spans="2:44" x14ac:dyDescent="0.25">
      <c r="B317" t="s">
        <v>1573</v>
      </c>
      <c r="C317" t="s">
        <v>4</v>
      </c>
      <c r="D317">
        <v>79.941947400000004</v>
      </c>
      <c r="E317" t="s">
        <v>5</v>
      </c>
      <c r="F317">
        <v>-149.70514539999999</v>
      </c>
      <c r="G317" t="s">
        <v>189</v>
      </c>
      <c r="H317">
        <v>200</v>
      </c>
      <c r="I317" t="s">
        <v>190</v>
      </c>
      <c r="J317">
        <v>1000000</v>
      </c>
      <c r="K317" t="s">
        <v>191</v>
      </c>
      <c r="L317">
        <v>12345</v>
      </c>
      <c r="M317" t="s">
        <v>192</v>
      </c>
      <c r="N317">
        <v>1E-3</v>
      </c>
      <c r="O317" t="s">
        <v>3</v>
      </c>
      <c r="P317">
        <v>-200.60844159999999</v>
      </c>
      <c r="Q317" t="s">
        <v>2</v>
      </c>
      <c r="R317">
        <v>74.246987500000003</v>
      </c>
      <c r="S317" t="s">
        <v>17</v>
      </c>
      <c r="T317">
        <v>40</v>
      </c>
      <c r="U317" t="s">
        <v>0</v>
      </c>
      <c r="V317">
        <v>200.4</v>
      </c>
      <c r="W317" t="s">
        <v>152</v>
      </c>
      <c r="X317">
        <v>5</v>
      </c>
      <c r="Y317" t="s">
        <v>153</v>
      </c>
      <c r="Z317">
        <v>55</v>
      </c>
      <c r="AA317" t="s">
        <v>151</v>
      </c>
      <c r="AB317">
        <v>73810</v>
      </c>
      <c r="AC317" t="s">
        <v>1</v>
      </c>
      <c r="AD317" t="e" cm="1">
        <f t="array" aca="1" ref="AD317" ca="1">-0.4970118776151+(2.1648373614917*pow((X1+(x0*X2)),0.5))+(0.7755014274164*LOG((pow(X1,-1)*pow(X2,0.5))))+(0.2467308865136*x0)+(-0.3432886309955*X1)+((0.1189427313507*pow(X1,-1))*SIN(X2))</f>
        <v>#NAME?</v>
      </c>
      <c r="AE317" t="s">
        <v>838</v>
      </c>
      <c r="AF317" t="s">
        <v>1574</v>
      </c>
      <c r="AG317" t="s">
        <v>572</v>
      </c>
      <c r="AH317" t="s">
        <v>1575</v>
      </c>
      <c r="AI317" t="s">
        <v>569</v>
      </c>
      <c r="AJ317" t="s">
        <v>1576</v>
      </c>
      <c r="AK317" t="s">
        <v>572</v>
      </c>
      <c r="AL317" t="s">
        <v>1577</v>
      </c>
      <c r="AM317" t="s">
        <v>572</v>
      </c>
      <c r="AN317" t="s">
        <v>759</v>
      </c>
      <c r="AO317" t="s">
        <v>572</v>
      </c>
      <c r="AP317" t="s">
        <v>1578</v>
      </c>
      <c r="AQ317" t="s">
        <v>569</v>
      </c>
      <c r="AR317">
        <v>0.49701187761510002</v>
      </c>
    </row>
    <row r="318" spans="2:44" x14ac:dyDescent="0.25">
      <c r="B318" t="s">
        <v>1579</v>
      </c>
      <c r="C318" t="s">
        <v>4</v>
      </c>
      <c r="D318">
        <v>2.78208E-2</v>
      </c>
      <c r="E318" t="s">
        <v>5</v>
      </c>
      <c r="F318">
        <v>0.99534250000000002</v>
      </c>
      <c r="G318" t="s">
        <v>189</v>
      </c>
      <c r="H318">
        <v>200</v>
      </c>
      <c r="I318" t="s">
        <v>190</v>
      </c>
      <c r="J318">
        <v>1000000</v>
      </c>
      <c r="K318" t="s">
        <v>191</v>
      </c>
      <c r="L318">
        <v>12345</v>
      </c>
      <c r="M318" t="s">
        <v>192</v>
      </c>
      <c r="N318">
        <v>1E-3</v>
      </c>
      <c r="O318" t="s">
        <v>3</v>
      </c>
      <c r="P318">
        <v>0.99553519999999995</v>
      </c>
      <c r="Q318" t="s">
        <v>2</v>
      </c>
      <c r="R318">
        <v>2.8128500000000001E-2</v>
      </c>
      <c r="S318" t="s">
        <v>17</v>
      </c>
      <c r="T318">
        <v>16</v>
      </c>
      <c r="U318" t="s">
        <v>0</v>
      </c>
      <c r="V318">
        <v>200.1</v>
      </c>
      <c r="W318" t="s">
        <v>152</v>
      </c>
      <c r="X318">
        <v>5</v>
      </c>
      <c r="Y318" t="s">
        <v>153</v>
      </c>
      <c r="Z318">
        <v>278</v>
      </c>
      <c r="AA318" t="s">
        <v>151</v>
      </c>
      <c r="AB318">
        <v>114527</v>
      </c>
      <c r="AC318" t="s">
        <v>1</v>
      </c>
      <c r="AD318" t="e" cm="1">
        <f t="array" ref="AD318">-0.3836164216395+(0.9259275499171*X1)+(0.9064211729968*SIN(x0))+(-0.9071971058611*SIN(X2))</f>
        <v>#NAME?</v>
      </c>
      <c r="AE318" t="s">
        <v>838</v>
      </c>
      <c r="AF318" t="s">
        <v>1580</v>
      </c>
      <c r="AG318" t="s">
        <v>572</v>
      </c>
      <c r="AH318" t="s">
        <v>1581</v>
      </c>
      <c r="AI318" t="s">
        <v>569</v>
      </c>
      <c r="AJ318" t="s">
        <v>1582</v>
      </c>
      <c r="AK318" t="s">
        <v>569</v>
      </c>
      <c r="AL318">
        <v>0.38361642163949999</v>
      </c>
    </row>
    <row r="319" spans="2:44" x14ac:dyDescent="0.25">
      <c r="B319" t="s">
        <v>1583</v>
      </c>
      <c r="C319" t="s">
        <v>4</v>
      </c>
      <c r="D319">
        <v>7.6356000000000002E-3</v>
      </c>
      <c r="E319" t="s">
        <v>5</v>
      </c>
      <c r="F319">
        <v>0.96162800000000004</v>
      </c>
      <c r="G319" t="s">
        <v>189</v>
      </c>
      <c r="H319">
        <v>200</v>
      </c>
      <c r="I319" t="s">
        <v>190</v>
      </c>
      <c r="J319">
        <v>1000000</v>
      </c>
      <c r="K319" t="s">
        <v>191</v>
      </c>
      <c r="L319">
        <v>12345</v>
      </c>
      <c r="M319" t="s">
        <v>192</v>
      </c>
      <c r="N319">
        <v>1E-3</v>
      </c>
      <c r="O319" t="s">
        <v>3</v>
      </c>
      <c r="P319">
        <v>0.96357519999999997</v>
      </c>
      <c r="Q319" t="s">
        <v>2</v>
      </c>
      <c r="R319">
        <v>7.1116E-3</v>
      </c>
      <c r="S319" t="s">
        <v>17</v>
      </c>
      <c r="T319">
        <v>48</v>
      </c>
      <c r="U319" t="s">
        <v>0</v>
      </c>
      <c r="V319">
        <v>200.6</v>
      </c>
      <c r="W319" t="s">
        <v>152</v>
      </c>
      <c r="X319">
        <v>4</v>
      </c>
      <c r="Y319" t="s">
        <v>153</v>
      </c>
      <c r="Z319">
        <v>50</v>
      </c>
      <c r="AA319" t="s">
        <v>151</v>
      </c>
      <c r="AB319">
        <v>75800</v>
      </c>
      <c r="AC319" t="s">
        <v>1</v>
      </c>
      <c r="AD319" t="s">
        <v>1584</v>
      </c>
      <c r="AE319" t="s">
        <v>838</v>
      </c>
      <c r="AF319" t="s">
        <v>1585</v>
      </c>
      <c r="AG319" t="s">
        <v>572</v>
      </c>
      <c r="AH319" t="s">
        <v>1586</v>
      </c>
      <c r="AI319" t="s">
        <v>572</v>
      </c>
      <c r="AJ319" t="s">
        <v>1587</v>
      </c>
      <c r="AK319" t="s">
        <v>569</v>
      </c>
      <c r="AL319" t="s">
        <v>1588</v>
      </c>
      <c r="AM319" t="s">
        <v>572</v>
      </c>
      <c r="AN319">
        <v>0.99991026744510003</v>
      </c>
    </row>
    <row r="320" spans="2:44" x14ac:dyDescent="0.25">
      <c r="B320" t="s">
        <v>1589</v>
      </c>
      <c r="C320" t="s">
        <v>4</v>
      </c>
      <c r="D320">
        <v>3.2751E-3</v>
      </c>
      <c r="E320" t="s">
        <v>5</v>
      </c>
      <c r="F320">
        <v>0.99996700000000005</v>
      </c>
      <c r="G320" t="s">
        <v>189</v>
      </c>
      <c r="H320">
        <v>200</v>
      </c>
      <c r="I320" t="s">
        <v>190</v>
      </c>
      <c r="J320">
        <v>1000000</v>
      </c>
      <c r="K320" t="s">
        <v>191</v>
      </c>
      <c r="L320">
        <v>12345</v>
      </c>
      <c r="M320" t="s">
        <v>192</v>
      </c>
      <c r="N320">
        <v>1E-3</v>
      </c>
      <c r="O320" t="s">
        <v>3</v>
      </c>
      <c r="P320">
        <v>0.99996510000000005</v>
      </c>
      <c r="Q320" t="s">
        <v>2</v>
      </c>
      <c r="R320">
        <v>3.3825999999999999E-3</v>
      </c>
      <c r="S320" t="s">
        <v>17</v>
      </c>
      <c r="T320">
        <v>28</v>
      </c>
      <c r="U320" t="s">
        <v>0</v>
      </c>
      <c r="V320">
        <v>200.3</v>
      </c>
      <c r="W320" t="s">
        <v>152</v>
      </c>
      <c r="X320">
        <v>6</v>
      </c>
      <c r="Y320" t="s">
        <v>153</v>
      </c>
      <c r="Z320">
        <v>94</v>
      </c>
      <c r="AA320" t="s">
        <v>151</v>
      </c>
      <c r="AB320">
        <v>96004</v>
      </c>
      <c r="AC320" t="s">
        <v>1</v>
      </c>
      <c r="AD320" t="s">
        <v>1590</v>
      </c>
      <c r="AE320" t="s">
        <v>838</v>
      </c>
      <c r="AF320" t="s">
        <v>1591</v>
      </c>
      <c r="AG320" t="s">
        <v>572</v>
      </c>
      <c r="AH320" t="s">
        <v>1592</v>
      </c>
      <c r="AI320" t="s">
        <v>572</v>
      </c>
      <c r="AJ320" t="s">
        <v>1593</v>
      </c>
      <c r="AK320" t="s">
        <v>572</v>
      </c>
      <c r="AL320">
        <v>1.0013634110572001</v>
      </c>
    </row>
    <row r="321" spans="2:54" x14ac:dyDescent="0.25">
      <c r="B321" t="s">
        <v>1594</v>
      </c>
      <c r="C321" t="s">
        <v>4</v>
      </c>
      <c r="D321">
        <v>1.9109600000000001E-2</v>
      </c>
      <c r="E321" t="s">
        <v>5</v>
      </c>
      <c r="F321">
        <v>0.99802829999999998</v>
      </c>
      <c r="G321" t="s">
        <v>189</v>
      </c>
      <c r="H321">
        <v>200</v>
      </c>
      <c r="I321" t="s">
        <v>190</v>
      </c>
      <c r="J321">
        <v>1000000</v>
      </c>
      <c r="K321" t="s">
        <v>191</v>
      </c>
      <c r="L321">
        <v>12345</v>
      </c>
      <c r="M321" t="s">
        <v>192</v>
      </c>
      <c r="N321">
        <v>1E-3</v>
      </c>
      <c r="O321" t="s">
        <v>3</v>
      </c>
      <c r="P321">
        <v>0.99796300000000004</v>
      </c>
      <c r="Q321" t="s">
        <v>2</v>
      </c>
      <c r="R321">
        <v>1.9415600000000002E-2</v>
      </c>
      <c r="S321" t="s">
        <v>17</v>
      </c>
      <c r="T321">
        <v>42</v>
      </c>
      <c r="U321" t="s">
        <v>0</v>
      </c>
      <c r="V321">
        <v>200.3</v>
      </c>
      <c r="W321" t="s">
        <v>152</v>
      </c>
      <c r="X321">
        <v>9</v>
      </c>
      <c r="Y321" t="s">
        <v>153</v>
      </c>
      <c r="Z321">
        <v>80</v>
      </c>
      <c r="AA321" t="s">
        <v>151</v>
      </c>
      <c r="AB321">
        <v>76518</v>
      </c>
      <c r="AC321" t="s">
        <v>1</v>
      </c>
      <c r="AD321" t="e" cm="1">
        <f t="array" aca="1" ref="AD321" ca="1">-0.0978974706217+(0.0975163569103*X2)+(0.1216275237975*X3)+(1.8185954339971*pow(x0,0.5))+(-0.3216778064882*x0)+((0.3186620209508*x0)*X3)+((0.3663243045052*x0)*X2)+((-0.4988414362503*pow(x0,0.5))*pow(X1,2))</f>
        <v>#NAME?</v>
      </c>
      <c r="AE321" t="s">
        <v>838</v>
      </c>
      <c r="AF321" t="s">
        <v>1595</v>
      </c>
      <c r="AG321" t="s">
        <v>572</v>
      </c>
      <c r="AH321" t="s">
        <v>1596</v>
      </c>
      <c r="AI321" t="s">
        <v>572</v>
      </c>
      <c r="AJ321" t="s">
        <v>1597</v>
      </c>
      <c r="AK321" t="s">
        <v>572</v>
      </c>
      <c r="AL321" t="s">
        <v>1598</v>
      </c>
      <c r="AM321" t="s">
        <v>569</v>
      </c>
      <c r="AN321" t="s">
        <v>1599</v>
      </c>
      <c r="AO321" t="s">
        <v>572</v>
      </c>
      <c r="AP321" t="s">
        <v>1600</v>
      </c>
      <c r="AQ321" t="s">
        <v>572</v>
      </c>
      <c r="AR321" t="s">
        <v>1601</v>
      </c>
      <c r="AS321" t="s">
        <v>569</v>
      </c>
      <c r="AT321">
        <v>9.7897470621699997E-2</v>
      </c>
    </row>
    <row r="322" spans="2:54" x14ac:dyDescent="0.25">
      <c r="B322" t="s">
        <v>1602</v>
      </c>
      <c r="C322" t="s">
        <v>4</v>
      </c>
      <c r="D322">
        <v>12.757098600000001</v>
      </c>
      <c r="E322" t="s">
        <v>5</v>
      </c>
      <c r="F322">
        <v>-1426.8408816000001</v>
      </c>
      <c r="G322" t="s">
        <v>189</v>
      </c>
      <c r="H322">
        <v>200</v>
      </c>
      <c r="I322" t="s">
        <v>190</v>
      </c>
      <c r="J322">
        <v>1000000</v>
      </c>
      <c r="K322" t="s">
        <v>191</v>
      </c>
      <c r="L322">
        <v>12345</v>
      </c>
      <c r="M322" t="s">
        <v>192</v>
      </c>
      <c r="N322">
        <v>1E-3</v>
      </c>
      <c r="O322" t="s">
        <v>3</v>
      </c>
      <c r="P322">
        <v>-34224470356.251801</v>
      </c>
      <c r="Q322" t="s">
        <v>2</v>
      </c>
      <c r="R322">
        <v>63091.337264399997</v>
      </c>
      <c r="S322" t="s">
        <v>17</v>
      </c>
      <c r="T322">
        <v>47</v>
      </c>
      <c r="U322" t="s">
        <v>0</v>
      </c>
      <c r="V322">
        <v>200.4</v>
      </c>
      <c r="W322" t="s">
        <v>152</v>
      </c>
      <c r="X322">
        <v>2</v>
      </c>
      <c r="Y322" t="s">
        <v>153</v>
      </c>
      <c r="Z322">
        <v>61</v>
      </c>
      <c r="AA322" t="s">
        <v>151</v>
      </c>
      <c r="AB322">
        <v>74318</v>
      </c>
      <c r="AC322" t="s">
        <v>1</v>
      </c>
      <c r="AD322" t="e" cm="1">
        <f t="array" aca="1" ref="AD322" ca="1">-2.3318795094965+(0.4619841120279*X1)+(3.0954840101618*COS(((x0*X2)+((-0.6549542073665*X1)*X2))))+(-0.0000000000006*pow(X3,-5))+(-0.4122377036151*X3)+(((-0.429393897562*x0)*X2)*X3)+((((-1.1980050986757*x0)*X1)*X2)*X3)</f>
        <v>#NAME?</v>
      </c>
      <c r="AE322" t="s">
        <v>838</v>
      </c>
      <c r="AF322" t="e" cm="1">
        <f t="array" ref="AF322">-1.1980050986757*x0*X1*X2*X3</f>
        <v>#NAME?</v>
      </c>
      <c r="AG322" t="s">
        <v>569</v>
      </c>
      <c r="AH322" t="s">
        <v>1603</v>
      </c>
      <c r="AI322" t="s">
        <v>572</v>
      </c>
      <c r="AJ322" t="s">
        <v>1604</v>
      </c>
      <c r="AK322" t="s">
        <v>569</v>
      </c>
      <c r="AL322" t="s">
        <v>1605</v>
      </c>
      <c r="AM322" t="s">
        <v>569</v>
      </c>
      <c r="AN322" t="s">
        <v>1606</v>
      </c>
      <c r="AO322" t="s">
        <v>572</v>
      </c>
      <c r="AP322" t="s">
        <v>1607</v>
      </c>
      <c r="AQ322" t="s">
        <v>569</v>
      </c>
      <c r="AR322" t="s">
        <v>1608</v>
      </c>
      <c r="AS322" t="s">
        <v>569</v>
      </c>
      <c r="AT322">
        <v>2.3318795094964999</v>
      </c>
    </row>
    <row r="323" spans="2:54" x14ac:dyDescent="0.25">
      <c r="B323" t="s">
        <v>1609</v>
      </c>
      <c r="C323" t="s">
        <v>4</v>
      </c>
      <c r="D323">
        <v>2.6653E-2</v>
      </c>
      <c r="E323" t="s">
        <v>5</v>
      </c>
      <c r="F323">
        <v>0.99148170000000002</v>
      </c>
      <c r="G323" t="s">
        <v>189</v>
      </c>
      <c r="H323">
        <v>200</v>
      </c>
      <c r="I323" t="s">
        <v>190</v>
      </c>
      <c r="J323">
        <v>1000000</v>
      </c>
      <c r="K323" t="s">
        <v>191</v>
      </c>
      <c r="L323">
        <v>12345</v>
      </c>
      <c r="M323" t="s">
        <v>192</v>
      </c>
      <c r="N323">
        <v>1E-3</v>
      </c>
      <c r="O323" t="s">
        <v>3</v>
      </c>
      <c r="P323">
        <v>0.99243590000000004</v>
      </c>
      <c r="Q323" t="s">
        <v>2</v>
      </c>
      <c r="R323">
        <v>2.5419600000000001E-2</v>
      </c>
      <c r="S323" t="s">
        <v>17</v>
      </c>
      <c r="T323">
        <v>38</v>
      </c>
      <c r="U323" t="s">
        <v>0</v>
      </c>
      <c r="V323">
        <v>200.4</v>
      </c>
      <c r="W323" t="s">
        <v>152</v>
      </c>
      <c r="X323">
        <v>7</v>
      </c>
      <c r="Y323" t="s">
        <v>153</v>
      </c>
      <c r="Z323">
        <v>48</v>
      </c>
      <c r="AA323" t="s">
        <v>151</v>
      </c>
      <c r="AB323">
        <v>72464</v>
      </c>
      <c r="AC323" t="s">
        <v>1</v>
      </c>
      <c r="AD323" t="s">
        <v>1610</v>
      </c>
      <c r="AE323" t="s">
        <v>838</v>
      </c>
      <c r="AF323" t="s">
        <v>1611</v>
      </c>
      <c r="AG323" t="s">
        <v>569</v>
      </c>
      <c r="AH323" t="s">
        <v>1612</v>
      </c>
      <c r="AI323" t="s">
        <v>572</v>
      </c>
      <c r="AJ323" t="s">
        <v>1613</v>
      </c>
      <c r="AK323" t="s">
        <v>569</v>
      </c>
      <c r="AL323" t="s">
        <v>1614</v>
      </c>
      <c r="AM323" t="s">
        <v>572</v>
      </c>
      <c r="AN323" t="s">
        <v>1615</v>
      </c>
      <c r="AO323" t="s">
        <v>572</v>
      </c>
      <c r="AP323">
        <v>1.0090137115672</v>
      </c>
    </row>
    <row r="324" spans="2:54" x14ac:dyDescent="0.25">
      <c r="B324" t="s">
        <v>1616</v>
      </c>
      <c r="C324" t="s">
        <v>4</v>
      </c>
      <c r="D324">
        <v>0</v>
      </c>
      <c r="E324" t="s">
        <v>5</v>
      </c>
      <c r="F324">
        <v>1</v>
      </c>
      <c r="G324" t="s">
        <v>189</v>
      </c>
      <c r="H324">
        <v>200</v>
      </c>
      <c r="I324" t="s">
        <v>190</v>
      </c>
      <c r="J324">
        <v>1000000</v>
      </c>
      <c r="K324" t="s">
        <v>191</v>
      </c>
      <c r="L324">
        <v>12345</v>
      </c>
      <c r="M324" t="s">
        <v>192</v>
      </c>
      <c r="N324">
        <v>1E-3</v>
      </c>
      <c r="O324" t="s">
        <v>3</v>
      </c>
      <c r="P324">
        <v>1</v>
      </c>
      <c r="Q324" t="s">
        <v>2</v>
      </c>
      <c r="R324">
        <v>0</v>
      </c>
      <c r="S324" t="s">
        <v>17</v>
      </c>
      <c r="T324">
        <v>12</v>
      </c>
      <c r="U324" t="s">
        <v>0</v>
      </c>
      <c r="V324">
        <v>7.2</v>
      </c>
      <c r="W324" t="s">
        <v>152</v>
      </c>
      <c r="X324">
        <v>2</v>
      </c>
      <c r="Y324" t="s">
        <v>153</v>
      </c>
      <c r="Z324">
        <v>10</v>
      </c>
      <c r="AA324" t="s">
        <v>151</v>
      </c>
      <c r="AB324">
        <v>3940</v>
      </c>
      <c r="AC324" t="s">
        <v>1</v>
      </c>
      <c r="AD324" t="e" cm="1">
        <f t="array" aca="1" ref="AD324" ca="1">-0.3816542582009+(-1.3073638445111*x0)+(-1.412743399596*pow(x0,0.5))</f>
        <v>#NAME?</v>
      </c>
      <c r="AE324" t="s">
        <v>838</v>
      </c>
      <c r="AF324" t="s">
        <v>1617</v>
      </c>
      <c r="AG324" t="s">
        <v>569</v>
      </c>
      <c r="AH324" t="s">
        <v>1618</v>
      </c>
      <c r="AI324" t="s">
        <v>569</v>
      </c>
      <c r="AJ324">
        <v>0.38165425820089999</v>
      </c>
    </row>
    <row r="325" spans="2:54" x14ac:dyDescent="0.25">
      <c r="B325" t="s">
        <v>1619</v>
      </c>
      <c r="C325" t="s">
        <v>4</v>
      </c>
      <c r="D325">
        <v>0.75262929999999995</v>
      </c>
      <c r="E325" t="s">
        <v>5</v>
      </c>
      <c r="F325">
        <v>-0.12497560000000001</v>
      </c>
      <c r="G325" t="s">
        <v>189</v>
      </c>
      <c r="H325">
        <v>200</v>
      </c>
      <c r="I325" t="s">
        <v>190</v>
      </c>
      <c r="J325">
        <v>1000000</v>
      </c>
      <c r="K325" t="s">
        <v>191</v>
      </c>
      <c r="L325">
        <v>12345</v>
      </c>
      <c r="M325" t="s">
        <v>192</v>
      </c>
      <c r="N325">
        <v>1E-3</v>
      </c>
      <c r="O325" t="s">
        <v>3</v>
      </c>
      <c r="P325">
        <v>-0.1182214</v>
      </c>
      <c r="Q325" t="s">
        <v>2</v>
      </c>
      <c r="R325">
        <v>0.74744659999999996</v>
      </c>
      <c r="S325" t="s">
        <v>17</v>
      </c>
      <c r="T325">
        <v>18</v>
      </c>
      <c r="U325" t="s">
        <v>0</v>
      </c>
      <c r="V325">
        <v>200.1</v>
      </c>
      <c r="W325" t="s">
        <v>152</v>
      </c>
      <c r="X325">
        <v>8</v>
      </c>
      <c r="Y325" t="s">
        <v>153</v>
      </c>
      <c r="Z325">
        <v>350</v>
      </c>
      <c r="AA325" t="s">
        <v>151</v>
      </c>
      <c r="AB325">
        <v>133872</v>
      </c>
      <c r="AC325" t="s">
        <v>1</v>
      </c>
      <c r="AD325" t="s">
        <v>1620</v>
      </c>
      <c r="AE325" t="s">
        <v>838</v>
      </c>
      <c r="AF325">
        <v>86.171679152787902</v>
      </c>
      <c r="AG325" t="s">
        <v>569</v>
      </c>
      <c r="AH325" t="s">
        <v>1621</v>
      </c>
    </row>
    <row r="326" spans="2:54" x14ac:dyDescent="0.25">
      <c r="B326" t="s">
        <v>1622</v>
      </c>
      <c r="C326" t="s">
        <v>4</v>
      </c>
      <c r="D326">
        <v>1.147E-4</v>
      </c>
      <c r="E326" t="s">
        <v>5</v>
      </c>
      <c r="F326">
        <v>0.99988829999999995</v>
      </c>
      <c r="G326" t="s">
        <v>189</v>
      </c>
      <c r="H326">
        <v>200</v>
      </c>
      <c r="I326" t="s">
        <v>190</v>
      </c>
      <c r="J326">
        <v>1000000</v>
      </c>
      <c r="K326" t="s">
        <v>191</v>
      </c>
      <c r="L326">
        <v>12345</v>
      </c>
      <c r="M326" t="s">
        <v>192</v>
      </c>
      <c r="N326">
        <v>1E-3</v>
      </c>
      <c r="O326" t="s">
        <v>3</v>
      </c>
      <c r="P326">
        <v>0.99988440000000001</v>
      </c>
      <c r="Q326" t="s">
        <v>2</v>
      </c>
      <c r="R326">
        <v>1.13E-4</v>
      </c>
      <c r="S326" t="s">
        <v>17</v>
      </c>
      <c r="T326">
        <v>9</v>
      </c>
      <c r="U326" t="s">
        <v>0</v>
      </c>
      <c r="V326">
        <v>200.1</v>
      </c>
      <c r="W326" t="s">
        <v>152</v>
      </c>
      <c r="X326">
        <v>9</v>
      </c>
      <c r="Y326" t="s">
        <v>153</v>
      </c>
      <c r="Z326">
        <v>367</v>
      </c>
      <c r="AA326" t="s">
        <v>151</v>
      </c>
      <c r="AB326">
        <v>134659</v>
      </c>
      <c r="AC326" t="s">
        <v>1</v>
      </c>
      <c r="AD326" t="s">
        <v>1623</v>
      </c>
      <c r="AE326" t="s">
        <v>838</v>
      </c>
      <c r="AF326" t="s">
        <v>1624</v>
      </c>
      <c r="AG326" t="s">
        <v>569</v>
      </c>
      <c r="AH326" t="s">
        <v>1625</v>
      </c>
      <c r="AI326" t="s">
        <v>572</v>
      </c>
      <c r="AJ326">
        <v>10.1081786951582</v>
      </c>
    </row>
    <row r="327" spans="2:54" x14ac:dyDescent="0.25">
      <c r="B327" t="s">
        <v>1626</v>
      </c>
      <c r="C327" t="s">
        <v>4</v>
      </c>
      <c r="D327">
        <v>4.8939999999999997E-4</v>
      </c>
      <c r="E327" t="s">
        <v>5</v>
      </c>
      <c r="F327">
        <v>0.99999660000000001</v>
      </c>
      <c r="G327" t="s">
        <v>189</v>
      </c>
      <c r="H327">
        <v>200</v>
      </c>
      <c r="I327" t="s">
        <v>190</v>
      </c>
      <c r="J327">
        <v>1000000</v>
      </c>
      <c r="K327" t="s">
        <v>191</v>
      </c>
      <c r="L327">
        <v>12345</v>
      </c>
      <c r="M327" t="s">
        <v>192</v>
      </c>
      <c r="N327">
        <v>1E-3</v>
      </c>
      <c r="O327" t="s">
        <v>3</v>
      </c>
      <c r="P327">
        <v>0.99999669999999996</v>
      </c>
      <c r="Q327" t="s">
        <v>2</v>
      </c>
      <c r="R327">
        <v>4.8109999999999998E-4</v>
      </c>
      <c r="S327" t="s">
        <v>17</v>
      </c>
      <c r="T327">
        <v>9</v>
      </c>
      <c r="U327" t="s">
        <v>0</v>
      </c>
      <c r="V327">
        <v>200.1</v>
      </c>
      <c r="W327" t="s">
        <v>152</v>
      </c>
      <c r="X327">
        <v>12</v>
      </c>
      <c r="Y327" t="s">
        <v>153</v>
      </c>
      <c r="Z327">
        <v>473</v>
      </c>
      <c r="AA327" t="s">
        <v>151</v>
      </c>
      <c r="AB327">
        <v>147314</v>
      </c>
      <c r="AC327" t="s">
        <v>1</v>
      </c>
      <c r="AD327" t="s">
        <v>1627</v>
      </c>
      <c r="AE327" t="s">
        <v>838</v>
      </c>
      <c r="AF327">
        <v>4.7244908911910004</v>
      </c>
      <c r="AG327" t="s">
        <v>569</v>
      </c>
      <c r="AH327" t="s">
        <v>1628</v>
      </c>
      <c r="AI327" t="s">
        <v>572</v>
      </c>
      <c r="AJ327" t="s">
        <v>1629</v>
      </c>
    </row>
    <row r="328" spans="2:54" x14ac:dyDescent="0.25">
      <c r="B328" t="s">
        <v>1630</v>
      </c>
      <c r="C328" t="s">
        <v>4</v>
      </c>
      <c r="D328">
        <v>274.67011359999998</v>
      </c>
      <c r="E328" t="s">
        <v>5</v>
      </c>
      <c r="F328">
        <v>0.99995999999999996</v>
      </c>
      <c r="G328" t="s">
        <v>189</v>
      </c>
      <c r="H328">
        <v>200</v>
      </c>
      <c r="I328" t="s">
        <v>190</v>
      </c>
      <c r="J328">
        <v>1000000</v>
      </c>
      <c r="K328" t="s">
        <v>191</v>
      </c>
      <c r="L328">
        <v>12345</v>
      </c>
      <c r="M328" t="s">
        <v>192</v>
      </c>
      <c r="N328">
        <v>1E-3</v>
      </c>
      <c r="O328" t="s">
        <v>3</v>
      </c>
      <c r="P328">
        <v>0.97933570000000003</v>
      </c>
      <c r="Q328" t="s">
        <v>2</v>
      </c>
      <c r="R328">
        <v>916918.38389459997</v>
      </c>
      <c r="S328" t="s">
        <v>17</v>
      </c>
      <c r="T328">
        <v>39</v>
      </c>
      <c r="U328" t="s">
        <v>0</v>
      </c>
      <c r="V328">
        <v>200.4</v>
      </c>
      <c r="W328" t="s">
        <v>152</v>
      </c>
      <c r="X328">
        <v>2</v>
      </c>
      <c r="Y328" t="s">
        <v>153</v>
      </c>
      <c r="Z328">
        <v>106</v>
      </c>
      <c r="AA328" t="s">
        <v>151</v>
      </c>
      <c r="AB328">
        <v>86492</v>
      </c>
      <c r="AC328" t="s">
        <v>1</v>
      </c>
      <c r="AD328" t="e" cm="1">
        <f t="array" aca="1" ref="AD328" ca="1">-0.1810726195477+(2.326463635014*pow(x0,-2))+(0.1476349707237*LOG(x0))+(0.3027550448421*pow(x0,-1))+((0.0123788189995*pow(x0,-2))*pow(LOG(x0),2))+((0.2952699414474*pow(x0,-2))*LOG(x0))</f>
        <v>#NAME?</v>
      </c>
      <c r="AE328" t="s">
        <v>838</v>
      </c>
      <c r="AF328" t="s">
        <v>1631</v>
      </c>
      <c r="AG328" t="s">
        <v>572</v>
      </c>
      <c r="AH328" t="s">
        <v>1632</v>
      </c>
      <c r="AI328" t="s">
        <v>572</v>
      </c>
      <c r="AJ328" t="s">
        <v>1633</v>
      </c>
      <c r="AK328" t="s">
        <v>572</v>
      </c>
      <c r="AL328" t="s">
        <v>1634</v>
      </c>
      <c r="AM328" t="s">
        <v>572</v>
      </c>
      <c r="AN328" t="s">
        <v>1635</v>
      </c>
      <c r="AO328" t="s">
        <v>569</v>
      </c>
      <c r="AP328" t="s">
        <v>1636</v>
      </c>
    </row>
    <row r="329" spans="2:54" x14ac:dyDescent="0.25">
      <c r="B329" t="s">
        <v>1637</v>
      </c>
      <c r="C329" t="s">
        <v>4</v>
      </c>
      <c r="D329">
        <v>0</v>
      </c>
      <c r="E329" t="s">
        <v>5</v>
      </c>
      <c r="F329">
        <v>1</v>
      </c>
      <c r="G329" t="s">
        <v>189</v>
      </c>
      <c r="H329">
        <v>200</v>
      </c>
      <c r="I329" t="s">
        <v>190</v>
      </c>
      <c r="J329">
        <v>1000000</v>
      </c>
      <c r="K329" t="s">
        <v>191</v>
      </c>
      <c r="L329">
        <v>12345</v>
      </c>
      <c r="M329" t="s">
        <v>192</v>
      </c>
      <c r="N329">
        <v>1E-3</v>
      </c>
      <c r="O329" t="s">
        <v>3</v>
      </c>
      <c r="P329">
        <v>1</v>
      </c>
      <c r="Q329" t="s">
        <v>2</v>
      </c>
      <c r="R329">
        <v>0</v>
      </c>
      <c r="S329" t="s">
        <v>17</v>
      </c>
      <c r="T329">
        <v>15</v>
      </c>
      <c r="U329" t="s">
        <v>0</v>
      </c>
      <c r="V329">
        <v>69.900000000000006</v>
      </c>
      <c r="W329" t="s">
        <v>152</v>
      </c>
      <c r="X329">
        <v>2</v>
      </c>
      <c r="Y329" t="s">
        <v>153</v>
      </c>
      <c r="Z329">
        <v>26</v>
      </c>
      <c r="AA329" t="s">
        <v>151</v>
      </c>
      <c r="AB329">
        <v>24877</v>
      </c>
      <c r="AC329" t="s">
        <v>1</v>
      </c>
      <c r="AD329" t="s">
        <v>1638</v>
      </c>
      <c r="AE329" t="s">
        <v>838</v>
      </c>
      <c r="AF329" t="s">
        <v>1639</v>
      </c>
      <c r="AG329" t="s">
        <v>572</v>
      </c>
      <c r="AH329" t="s">
        <v>1640</v>
      </c>
      <c r="AI329" t="s">
        <v>572</v>
      </c>
      <c r="AJ329">
        <v>100</v>
      </c>
    </row>
    <row r="330" spans="2:54" x14ac:dyDescent="0.25">
      <c r="B330" t="s">
        <v>1641</v>
      </c>
      <c r="C330" t="s">
        <v>4</v>
      </c>
      <c r="D330">
        <v>3.9779999999999998E-3</v>
      </c>
      <c r="E330" t="s">
        <v>5</v>
      </c>
      <c r="F330">
        <v>0.99846299999999999</v>
      </c>
      <c r="G330" t="s">
        <v>189</v>
      </c>
      <c r="H330">
        <v>200</v>
      </c>
      <c r="I330" t="s">
        <v>190</v>
      </c>
      <c r="J330">
        <v>1000000</v>
      </c>
      <c r="K330" t="s">
        <v>191</v>
      </c>
      <c r="L330">
        <v>12345</v>
      </c>
      <c r="M330" t="s">
        <v>192</v>
      </c>
      <c r="N330">
        <v>1E-3</v>
      </c>
      <c r="O330" t="s">
        <v>3</v>
      </c>
      <c r="P330">
        <v>0.99854989999999999</v>
      </c>
      <c r="Q330" t="s">
        <v>2</v>
      </c>
      <c r="R330">
        <v>3.7550000000000001E-3</v>
      </c>
      <c r="S330" t="s">
        <v>17</v>
      </c>
      <c r="T330">
        <v>14</v>
      </c>
      <c r="U330" t="s">
        <v>0</v>
      </c>
      <c r="V330">
        <v>200.1</v>
      </c>
      <c r="W330" t="s">
        <v>152</v>
      </c>
      <c r="X330">
        <v>9</v>
      </c>
      <c r="Y330" t="s">
        <v>153</v>
      </c>
      <c r="Z330">
        <v>365</v>
      </c>
      <c r="AA330" t="s">
        <v>151</v>
      </c>
      <c r="AB330">
        <v>127605</v>
      </c>
      <c r="AC330" t="s">
        <v>1</v>
      </c>
      <c r="AD330" t="s">
        <v>1642</v>
      </c>
      <c r="AE330" t="s">
        <v>838</v>
      </c>
      <c r="AF330" t="s">
        <v>1643</v>
      </c>
      <c r="AG330" t="s">
        <v>572</v>
      </c>
      <c r="AH330">
        <v>1.2982910763761999</v>
      </c>
      <c r="AI330" t="s">
        <v>569</v>
      </c>
      <c r="AJ330" t="s">
        <v>1644</v>
      </c>
    </row>
    <row r="331" spans="2:54" x14ac:dyDescent="0.25">
      <c r="B331" t="s">
        <v>1645</v>
      </c>
      <c r="C331" t="s">
        <v>4</v>
      </c>
      <c r="D331">
        <v>31467.013180000002</v>
      </c>
      <c r="E331" t="s">
        <v>5</v>
      </c>
      <c r="F331">
        <v>1</v>
      </c>
      <c r="G331" t="s">
        <v>189</v>
      </c>
      <c r="H331">
        <v>200</v>
      </c>
      <c r="I331" t="s">
        <v>190</v>
      </c>
      <c r="J331">
        <v>1000000</v>
      </c>
      <c r="K331" t="s">
        <v>191</v>
      </c>
      <c r="L331">
        <v>12345</v>
      </c>
      <c r="M331" t="s">
        <v>192</v>
      </c>
      <c r="N331">
        <v>1E-3</v>
      </c>
      <c r="O331" t="s">
        <v>3</v>
      </c>
      <c r="P331">
        <v>1</v>
      </c>
      <c r="Q331" t="s">
        <v>2</v>
      </c>
      <c r="R331">
        <v>5906.6411877</v>
      </c>
      <c r="S331" t="s">
        <v>17</v>
      </c>
      <c r="T331">
        <v>35</v>
      </c>
      <c r="U331" t="s">
        <v>0</v>
      </c>
      <c r="V331">
        <v>200.1</v>
      </c>
      <c r="W331" t="s">
        <v>152</v>
      </c>
      <c r="X331">
        <v>3</v>
      </c>
      <c r="Y331" t="s">
        <v>153</v>
      </c>
      <c r="Z331">
        <v>87</v>
      </c>
      <c r="AA331" t="s">
        <v>151</v>
      </c>
      <c r="AB331">
        <v>83777</v>
      </c>
      <c r="AC331" t="s">
        <v>1</v>
      </c>
      <c r="AD331" t="e" cm="1">
        <f t="array" aca="1" ref="AD331" ca="1">-0.2483492173587+(0.4414158043596*pow(x0,-1))+(-0.2595555606059*pow(x0,-1.2676862140762))+((2.8912084421216*pow(x0,-2))*pow(X1,-1))+((-33.3069818801741*pow(x0,-2))*pow(SIN(X1),-1))</f>
        <v>#NAME?</v>
      </c>
      <c r="AE331" t="s">
        <v>838</v>
      </c>
      <c r="AF331" t="s">
        <v>1646</v>
      </c>
      <c r="AG331" t="s">
        <v>569</v>
      </c>
      <c r="AH331" t="s">
        <v>1647</v>
      </c>
      <c r="AI331" t="s">
        <v>569</v>
      </c>
      <c r="AJ331" t="s">
        <v>1648</v>
      </c>
      <c r="AK331" t="s">
        <v>572</v>
      </c>
      <c r="AL331" t="s">
        <v>1649</v>
      </c>
      <c r="AM331" t="s">
        <v>569</v>
      </c>
      <c r="AN331">
        <v>0.2483492173587</v>
      </c>
    </row>
    <row r="332" spans="2:54" x14ac:dyDescent="0.25">
      <c r="B332" t="s">
        <v>1650</v>
      </c>
      <c r="C332" t="s">
        <v>4</v>
      </c>
      <c r="D332">
        <v>0</v>
      </c>
      <c r="E332" t="s">
        <v>5</v>
      </c>
      <c r="F332">
        <v>1</v>
      </c>
      <c r="G332" t="s">
        <v>189</v>
      </c>
      <c r="H332">
        <v>200</v>
      </c>
      <c r="I332" t="s">
        <v>190</v>
      </c>
      <c r="J332">
        <v>1000000</v>
      </c>
      <c r="K332" t="s">
        <v>191</v>
      </c>
      <c r="L332">
        <v>12345</v>
      </c>
      <c r="M332" t="s">
        <v>192</v>
      </c>
      <c r="N332">
        <v>1E-3</v>
      </c>
      <c r="O332" t="s">
        <v>3</v>
      </c>
      <c r="P332">
        <v>1</v>
      </c>
      <c r="Q332" t="s">
        <v>2</v>
      </c>
      <c r="R332">
        <v>0</v>
      </c>
      <c r="S332" t="s">
        <v>17</v>
      </c>
      <c r="T332">
        <v>11</v>
      </c>
      <c r="U332" t="s">
        <v>0</v>
      </c>
      <c r="V332">
        <v>8.6999999999999993</v>
      </c>
      <c r="W332" t="s">
        <v>152</v>
      </c>
      <c r="X332">
        <v>2</v>
      </c>
      <c r="Y332" t="s">
        <v>153</v>
      </c>
      <c r="Z332">
        <v>13</v>
      </c>
      <c r="AA332" t="s">
        <v>151</v>
      </c>
      <c r="AB332">
        <v>5147</v>
      </c>
      <c r="AC332" t="s">
        <v>1</v>
      </c>
      <c r="AD332" t="s">
        <v>1651</v>
      </c>
      <c r="AE332" t="s">
        <v>838</v>
      </c>
      <c r="AF332" t="s">
        <v>1652</v>
      </c>
    </row>
    <row r="333" spans="2:54" x14ac:dyDescent="0.25">
      <c r="B333" t="s">
        <v>1653</v>
      </c>
      <c r="C333" t="s">
        <v>4</v>
      </c>
      <c r="D333">
        <v>0</v>
      </c>
      <c r="E333" t="s">
        <v>5</v>
      </c>
      <c r="F333">
        <v>1</v>
      </c>
      <c r="G333" t="s">
        <v>189</v>
      </c>
      <c r="H333">
        <v>200</v>
      </c>
      <c r="I333" t="s">
        <v>190</v>
      </c>
      <c r="J333">
        <v>1000000</v>
      </c>
      <c r="K333" t="s">
        <v>191</v>
      </c>
      <c r="L333">
        <v>12345</v>
      </c>
      <c r="M333" t="s">
        <v>192</v>
      </c>
      <c r="N333">
        <v>1E-3</v>
      </c>
      <c r="O333" t="s">
        <v>3</v>
      </c>
      <c r="P333">
        <v>1</v>
      </c>
      <c r="Q333" t="s">
        <v>2</v>
      </c>
      <c r="R333">
        <v>0</v>
      </c>
      <c r="S333" t="s">
        <v>17</v>
      </c>
      <c r="T333">
        <v>14</v>
      </c>
      <c r="U333" t="s">
        <v>0</v>
      </c>
      <c r="V333">
        <v>42.5</v>
      </c>
      <c r="W333" t="s">
        <v>152</v>
      </c>
      <c r="X333">
        <v>3</v>
      </c>
      <c r="Y333" t="s">
        <v>153</v>
      </c>
      <c r="Z333">
        <v>66</v>
      </c>
      <c r="AA333" t="s">
        <v>151</v>
      </c>
      <c r="AB333">
        <v>26157</v>
      </c>
      <c r="AC333" t="s">
        <v>1</v>
      </c>
      <c r="AD333" t="e" cm="1">
        <f t="array" aca="1" ref="AD333" ca="1">-0.9309828660976+(1*pow(X1,4))+(-1*pow(x0,0.5))</f>
        <v>#NAME?</v>
      </c>
      <c r="AE333" t="s">
        <v>838</v>
      </c>
      <c r="AF333" t="s">
        <v>1654</v>
      </c>
      <c r="AG333" t="s">
        <v>572</v>
      </c>
      <c r="AH333" t="s">
        <v>1655</v>
      </c>
      <c r="AI333" t="s">
        <v>569</v>
      </c>
      <c r="AJ333">
        <v>0.93098286609759995</v>
      </c>
    </row>
    <row r="334" spans="2:54" x14ac:dyDescent="0.25">
      <c r="B334" t="s">
        <v>1656</v>
      </c>
      <c r="C334" t="s">
        <v>4</v>
      </c>
      <c r="D334">
        <v>1.3918288999999999</v>
      </c>
      <c r="E334" t="s">
        <v>5</v>
      </c>
      <c r="F334">
        <v>-2.9456161000000001</v>
      </c>
      <c r="G334" t="s">
        <v>189</v>
      </c>
      <c r="H334">
        <v>200</v>
      </c>
      <c r="I334" t="s">
        <v>190</v>
      </c>
      <c r="J334">
        <v>1000000</v>
      </c>
      <c r="K334" t="s">
        <v>191</v>
      </c>
      <c r="L334">
        <v>12345</v>
      </c>
      <c r="M334" t="s">
        <v>192</v>
      </c>
      <c r="N334">
        <v>1E-3</v>
      </c>
      <c r="O334" t="s">
        <v>3</v>
      </c>
      <c r="P334">
        <v>-3.2942046999999999</v>
      </c>
      <c r="Q334" t="s">
        <v>2</v>
      </c>
      <c r="R334">
        <v>1.4707279</v>
      </c>
      <c r="S334" t="s">
        <v>17</v>
      </c>
      <c r="T334">
        <v>70</v>
      </c>
      <c r="U334" t="s">
        <v>0</v>
      </c>
      <c r="V334">
        <v>200.7</v>
      </c>
      <c r="W334" t="s">
        <v>152</v>
      </c>
      <c r="X334">
        <v>6</v>
      </c>
      <c r="Y334" t="s">
        <v>153</v>
      </c>
      <c r="Z334">
        <v>58</v>
      </c>
      <c r="AA334" t="s">
        <v>151</v>
      </c>
      <c r="AB334">
        <v>80248</v>
      </c>
      <c r="AC334" t="s">
        <v>1</v>
      </c>
      <c r="AD334" t="e" cm="1">
        <f t="array" aca="1" ref="AD334" ca="1">-0.8764834469571+(0.0100789905485*pow(x0,-1))+(-0.3185787654716*X1)+((0.7987171416783*pow(x0,-0.5))*pow(COS((((1.2+X2)+pow(x0,0.5))+(X1*X2))),2))+((0.4805009428301*pow(X2,-1))*pow(COS(((((1+pow(x0,0.5))+(4.1415926535898*X2))+((-1*X2)*pow(X1,2)))+((-1*pow(X1,2))*pow(X2,2)))),10))</f>
        <v>#NAME?</v>
      </c>
      <c r="AE334" t="s">
        <v>838</v>
      </c>
      <c r="AF334" t="s">
        <v>1657</v>
      </c>
      <c r="AG334" t="s">
        <v>572</v>
      </c>
      <c r="AH334" t="s">
        <v>1658</v>
      </c>
      <c r="AI334" t="s">
        <v>572</v>
      </c>
      <c r="AJ334" t="s">
        <v>1659</v>
      </c>
      <c r="AK334" t="s">
        <v>572</v>
      </c>
      <c r="AL334" t="s">
        <v>711</v>
      </c>
      <c r="AM334" t="s">
        <v>572</v>
      </c>
      <c r="AN334" t="s">
        <v>1660</v>
      </c>
      <c r="AO334" t="s">
        <v>569</v>
      </c>
      <c r="AP334" t="s">
        <v>1661</v>
      </c>
      <c r="AQ334" t="s">
        <v>572</v>
      </c>
      <c r="AR334" t="s">
        <v>1662</v>
      </c>
      <c r="AS334" t="s">
        <v>569</v>
      </c>
      <c r="AT334" t="s">
        <v>1663</v>
      </c>
      <c r="AU334" t="s">
        <v>569</v>
      </c>
      <c r="AV334" t="s">
        <v>1664</v>
      </c>
      <c r="AW334" t="s">
        <v>572</v>
      </c>
      <c r="AX334" t="s">
        <v>1665</v>
      </c>
      <c r="AY334" t="s">
        <v>572</v>
      </c>
      <c r="AZ334" t="s">
        <v>1666</v>
      </c>
      <c r="BA334" t="s">
        <v>569</v>
      </c>
      <c r="BB334">
        <v>0.87648344695710001</v>
      </c>
    </row>
    <row r="335" spans="2:54" x14ac:dyDescent="0.25">
      <c r="B335" t="s">
        <v>1667</v>
      </c>
      <c r="C335" t="s">
        <v>4</v>
      </c>
      <c r="D335" s="7">
        <v>8.9999999999999996E-7</v>
      </c>
      <c r="E335" t="s">
        <v>5</v>
      </c>
      <c r="F335">
        <v>1</v>
      </c>
      <c r="G335" t="s">
        <v>189</v>
      </c>
      <c r="H335">
        <v>200</v>
      </c>
      <c r="I335" t="s">
        <v>190</v>
      </c>
      <c r="J335">
        <v>1000000</v>
      </c>
      <c r="K335" t="s">
        <v>191</v>
      </c>
      <c r="L335">
        <v>12345</v>
      </c>
      <c r="M335" t="s">
        <v>192</v>
      </c>
      <c r="N335">
        <v>1E-3</v>
      </c>
      <c r="O335" t="s">
        <v>3</v>
      </c>
      <c r="P335">
        <v>1</v>
      </c>
      <c r="Q335" t="s">
        <v>2</v>
      </c>
      <c r="R335">
        <v>8.9999999999999996E-7</v>
      </c>
      <c r="S335" t="s">
        <v>17</v>
      </c>
      <c r="T335">
        <v>15</v>
      </c>
      <c r="U335" t="s">
        <v>0</v>
      </c>
      <c r="V335">
        <v>3.1</v>
      </c>
      <c r="W335" t="s">
        <v>152</v>
      </c>
      <c r="X335">
        <v>1</v>
      </c>
      <c r="Y335" t="s">
        <v>153</v>
      </c>
      <c r="Z335">
        <v>5</v>
      </c>
      <c r="AA335" t="s">
        <v>151</v>
      </c>
      <c r="AB335">
        <v>1913</v>
      </c>
      <c r="AC335" t="s">
        <v>1</v>
      </c>
      <c r="AD335" t="s">
        <v>1668</v>
      </c>
      <c r="AE335" t="s">
        <v>838</v>
      </c>
      <c r="AF335" t="s">
        <v>1669</v>
      </c>
      <c r="AG335" t="s">
        <v>569</v>
      </c>
      <c r="AH335" t="s">
        <v>1670</v>
      </c>
      <c r="AI335" t="s">
        <v>572</v>
      </c>
      <c r="AJ335">
        <v>15556.422485531901</v>
      </c>
    </row>
    <row r="336" spans="2:54" x14ac:dyDescent="0.25">
      <c r="B336" t="s">
        <v>1671</v>
      </c>
      <c r="C336" t="s">
        <v>4</v>
      </c>
      <c r="D336">
        <v>25567779622.581001</v>
      </c>
      <c r="E336" t="s">
        <v>5</v>
      </c>
      <c r="F336">
        <v>-578366423.99126399</v>
      </c>
      <c r="G336" t="s">
        <v>189</v>
      </c>
      <c r="H336">
        <v>200</v>
      </c>
      <c r="I336" t="s">
        <v>190</v>
      </c>
      <c r="J336">
        <v>1000000</v>
      </c>
      <c r="K336" t="s">
        <v>191</v>
      </c>
      <c r="L336">
        <v>12345</v>
      </c>
      <c r="M336" t="s">
        <v>192</v>
      </c>
      <c r="N336">
        <v>1E-3</v>
      </c>
      <c r="O336" t="s">
        <v>3</v>
      </c>
      <c r="P336">
        <v>-635904.61017929995</v>
      </c>
      <c r="Q336" t="s">
        <v>2</v>
      </c>
      <c r="R336">
        <v>668367337.33994901</v>
      </c>
      <c r="S336" t="s">
        <v>17</v>
      </c>
      <c r="T336">
        <v>95</v>
      </c>
      <c r="U336" t="s">
        <v>0</v>
      </c>
      <c r="V336">
        <v>200.1</v>
      </c>
      <c r="W336" t="s">
        <v>152</v>
      </c>
      <c r="X336">
        <v>2</v>
      </c>
      <c r="Y336" t="s">
        <v>153</v>
      </c>
      <c r="Z336">
        <v>27</v>
      </c>
      <c r="AA336" t="s">
        <v>151</v>
      </c>
      <c r="AB336">
        <v>52240</v>
      </c>
      <c r="AC336" t="s">
        <v>1</v>
      </c>
      <c r="AD336" t="s">
        <v>1672</v>
      </c>
      <c r="AE336" t="s">
        <v>838</v>
      </c>
      <c r="AF336" t="s">
        <v>1673</v>
      </c>
      <c r="AG336" t="s">
        <v>572</v>
      </c>
      <c r="AH336" t="s">
        <v>1674</v>
      </c>
      <c r="AI336" t="s">
        <v>569</v>
      </c>
      <c r="AJ336" t="s">
        <v>1675</v>
      </c>
      <c r="AK336" t="s">
        <v>572</v>
      </c>
      <c r="AL336" t="s">
        <v>1676</v>
      </c>
      <c r="AM336" t="s">
        <v>569</v>
      </c>
      <c r="AN336" t="s">
        <v>1677</v>
      </c>
      <c r="AO336" t="s">
        <v>569</v>
      </c>
      <c r="AP336" t="s">
        <v>1678</v>
      </c>
      <c r="AQ336" t="s">
        <v>572</v>
      </c>
      <c r="AR336" t="s">
        <v>1679</v>
      </c>
      <c r="AS336" t="s">
        <v>569</v>
      </c>
      <c r="AT336" t="s">
        <v>1680</v>
      </c>
      <c r="AU336" t="s">
        <v>572</v>
      </c>
      <c r="AV336" t="s">
        <v>1681</v>
      </c>
      <c r="AW336" t="s">
        <v>569</v>
      </c>
      <c r="AX336" t="s">
        <v>1682</v>
      </c>
      <c r="AY336" t="s">
        <v>572</v>
      </c>
      <c r="AZ336" t="s">
        <v>1683</v>
      </c>
      <c r="BA336" t="s">
        <v>572</v>
      </c>
      <c r="BB336">
        <v>88.504870144324897</v>
      </c>
    </row>
    <row r="337" spans="2:48" x14ac:dyDescent="0.25">
      <c r="B337" t="s">
        <v>1684</v>
      </c>
      <c r="C337" t="s">
        <v>4</v>
      </c>
      <c r="D337" s="7">
        <v>4.2085152610614902E+29</v>
      </c>
      <c r="E337" t="s">
        <v>5</v>
      </c>
      <c r="F337">
        <v>1</v>
      </c>
      <c r="G337" t="s">
        <v>189</v>
      </c>
      <c r="H337">
        <v>200</v>
      </c>
      <c r="I337" t="s">
        <v>190</v>
      </c>
      <c r="J337">
        <v>1000000</v>
      </c>
      <c r="K337" t="s">
        <v>191</v>
      </c>
      <c r="L337">
        <v>12345</v>
      </c>
      <c r="M337" t="s">
        <v>192</v>
      </c>
      <c r="N337">
        <v>1E-3</v>
      </c>
      <c r="O337" t="s">
        <v>3</v>
      </c>
      <c r="P337">
        <v>1</v>
      </c>
      <c r="Q337" t="s">
        <v>2</v>
      </c>
      <c r="R337">
        <v>1.39030164677365E+29</v>
      </c>
      <c r="S337" t="s">
        <v>17</v>
      </c>
      <c r="T337">
        <v>6</v>
      </c>
      <c r="U337" t="s">
        <v>0</v>
      </c>
      <c r="V337">
        <v>200.3</v>
      </c>
      <c r="W337" t="s">
        <v>152</v>
      </c>
      <c r="X337">
        <v>540</v>
      </c>
      <c r="Y337" t="s">
        <v>153</v>
      </c>
      <c r="Z337">
        <v>154</v>
      </c>
      <c r="AA337" t="s">
        <v>151</v>
      </c>
      <c r="AB337">
        <v>35412</v>
      </c>
      <c r="AC337" t="s">
        <v>1</v>
      </c>
      <c r="AD337" t="s">
        <v>1685</v>
      </c>
      <c r="AE337" t="s">
        <v>838</v>
      </c>
      <c r="AF337" t="s">
        <v>1686</v>
      </c>
    </row>
    <row r="338" spans="2:48" x14ac:dyDescent="0.25">
      <c r="B338" t="s">
        <v>1687</v>
      </c>
      <c r="C338" t="s">
        <v>4</v>
      </c>
      <c r="D338">
        <v>9.2100000000000005E-4</v>
      </c>
      <c r="E338" t="s">
        <v>5</v>
      </c>
      <c r="F338">
        <v>0.99999959999999999</v>
      </c>
      <c r="G338" t="s">
        <v>189</v>
      </c>
      <c r="H338">
        <v>200</v>
      </c>
      <c r="I338" t="s">
        <v>190</v>
      </c>
      <c r="J338">
        <v>1000000</v>
      </c>
      <c r="K338" t="s">
        <v>191</v>
      </c>
      <c r="L338">
        <v>12345</v>
      </c>
      <c r="M338" t="s">
        <v>192</v>
      </c>
      <c r="N338">
        <v>1E-3</v>
      </c>
      <c r="O338" t="s">
        <v>3</v>
      </c>
      <c r="P338">
        <v>0.99999959999999999</v>
      </c>
      <c r="Q338" t="s">
        <v>2</v>
      </c>
      <c r="R338">
        <v>9.2770000000000005E-4</v>
      </c>
      <c r="S338" t="s">
        <v>17</v>
      </c>
      <c r="T338">
        <v>15</v>
      </c>
      <c r="U338" t="s">
        <v>0</v>
      </c>
      <c r="V338">
        <v>200.3</v>
      </c>
      <c r="W338" t="s">
        <v>152</v>
      </c>
      <c r="X338">
        <v>6</v>
      </c>
      <c r="Y338" t="s">
        <v>153</v>
      </c>
      <c r="Z338">
        <v>284</v>
      </c>
      <c r="AA338" t="s">
        <v>151</v>
      </c>
      <c r="AB338">
        <v>134606</v>
      </c>
      <c r="AC338" t="s">
        <v>1</v>
      </c>
      <c r="AD338" t="e" cm="1">
        <f t="array" ref="AD338">-2.8815150013931+(2.0492233488261*SIN(COS(X1)))+(0.9999328477926*LOG((x0*X2)))</f>
        <v>#NAME?</v>
      </c>
      <c r="AE338" t="s">
        <v>838</v>
      </c>
      <c r="AF338" t="s">
        <v>1688</v>
      </c>
      <c r="AG338" t="s">
        <v>572</v>
      </c>
      <c r="AH338" t="s">
        <v>1689</v>
      </c>
      <c r="AI338" t="s">
        <v>569</v>
      </c>
      <c r="AJ338">
        <v>2.8815150013931001</v>
      </c>
    </row>
    <row r="339" spans="2:48" x14ac:dyDescent="0.25">
      <c r="B339" t="s">
        <v>1690</v>
      </c>
      <c r="C339" t="s">
        <v>4</v>
      </c>
      <c r="D339">
        <v>2.0008499999999999E-2</v>
      </c>
      <c r="E339" t="s">
        <v>5</v>
      </c>
      <c r="F339">
        <v>0.99674700000000005</v>
      </c>
      <c r="G339" t="s">
        <v>189</v>
      </c>
      <c r="H339">
        <v>200</v>
      </c>
      <c r="I339" t="s">
        <v>190</v>
      </c>
      <c r="J339">
        <v>1000000</v>
      </c>
      <c r="K339" t="s">
        <v>191</v>
      </c>
      <c r="L339">
        <v>12345</v>
      </c>
      <c r="M339" t="s">
        <v>192</v>
      </c>
      <c r="N339">
        <v>1E-3</v>
      </c>
      <c r="O339" t="s">
        <v>3</v>
      </c>
      <c r="P339">
        <v>0.99679649999999997</v>
      </c>
      <c r="Q339" t="s">
        <v>2</v>
      </c>
      <c r="R339">
        <v>2.0001000000000001E-2</v>
      </c>
      <c r="S339" t="s">
        <v>17</v>
      </c>
      <c r="T339">
        <v>26</v>
      </c>
      <c r="U339" t="s">
        <v>0</v>
      </c>
      <c r="V339">
        <v>200.2</v>
      </c>
      <c r="W339" t="s">
        <v>152</v>
      </c>
      <c r="X339">
        <v>2</v>
      </c>
      <c r="Y339" t="s">
        <v>153</v>
      </c>
      <c r="Z339">
        <v>110</v>
      </c>
      <c r="AA339" t="s">
        <v>151</v>
      </c>
      <c r="AB339">
        <v>93296</v>
      </c>
      <c r="AC339" t="s">
        <v>1</v>
      </c>
      <c r="AD339" t="s">
        <v>1691</v>
      </c>
      <c r="AE339" t="s">
        <v>838</v>
      </c>
      <c r="AF339" t="s">
        <v>1692</v>
      </c>
      <c r="AG339" t="s">
        <v>572</v>
      </c>
      <c r="AH339" t="s">
        <v>1693</v>
      </c>
      <c r="AI339" t="s">
        <v>572</v>
      </c>
      <c r="AJ339" t="s">
        <v>1694</v>
      </c>
      <c r="AK339" t="s">
        <v>569</v>
      </c>
      <c r="AL339" t="s">
        <v>1695</v>
      </c>
      <c r="AM339" t="s">
        <v>572</v>
      </c>
      <c r="AN339">
        <v>0.98734295318569998</v>
      </c>
    </row>
    <row r="340" spans="2:48" x14ac:dyDescent="0.25">
      <c r="B340" t="s">
        <v>1696</v>
      </c>
      <c r="C340" t="s">
        <v>4</v>
      </c>
      <c r="D340">
        <v>2.4369999999999999E-3</v>
      </c>
      <c r="E340" t="s">
        <v>5</v>
      </c>
      <c r="F340">
        <v>0.99721649999999995</v>
      </c>
      <c r="G340" t="s">
        <v>189</v>
      </c>
      <c r="H340">
        <v>200</v>
      </c>
      <c r="I340" t="s">
        <v>190</v>
      </c>
      <c r="J340">
        <v>1000000</v>
      </c>
      <c r="K340" t="s">
        <v>191</v>
      </c>
      <c r="L340">
        <v>12345</v>
      </c>
      <c r="M340" t="s">
        <v>192</v>
      </c>
      <c r="N340">
        <v>1E-3</v>
      </c>
      <c r="O340" t="s">
        <v>3</v>
      </c>
      <c r="P340">
        <v>0.99675769999999997</v>
      </c>
      <c r="Q340" t="s">
        <v>2</v>
      </c>
      <c r="R340">
        <v>2.5087E-3</v>
      </c>
      <c r="S340" t="s">
        <v>17</v>
      </c>
      <c r="T340">
        <v>22</v>
      </c>
      <c r="U340" t="s">
        <v>0</v>
      </c>
      <c r="V340">
        <v>200.1</v>
      </c>
      <c r="W340" t="s">
        <v>152</v>
      </c>
      <c r="X340">
        <v>7</v>
      </c>
      <c r="Y340" t="s">
        <v>153</v>
      </c>
      <c r="Z340">
        <v>92</v>
      </c>
      <c r="AA340" t="s">
        <v>151</v>
      </c>
      <c r="AB340">
        <v>104211</v>
      </c>
      <c r="AC340" t="s">
        <v>1</v>
      </c>
      <c r="AD340" t="s">
        <v>1697</v>
      </c>
      <c r="AE340" t="s">
        <v>838</v>
      </c>
      <c r="AF340" t="s">
        <v>1698</v>
      </c>
      <c r="AG340" t="s">
        <v>572</v>
      </c>
      <c r="AH340">
        <v>0.99952197287580002</v>
      </c>
    </row>
    <row r="341" spans="2:48" x14ac:dyDescent="0.25">
      <c r="B341" t="s">
        <v>1699</v>
      </c>
      <c r="C341" t="s">
        <v>4</v>
      </c>
      <c r="D341">
        <v>96.757298800000001</v>
      </c>
      <c r="E341" t="s">
        <v>5</v>
      </c>
      <c r="F341">
        <v>-496.73529680000001</v>
      </c>
      <c r="G341" t="s">
        <v>189</v>
      </c>
      <c r="H341">
        <v>200</v>
      </c>
      <c r="I341" t="s">
        <v>190</v>
      </c>
      <c r="J341">
        <v>1000000</v>
      </c>
      <c r="K341" t="s">
        <v>191</v>
      </c>
      <c r="L341">
        <v>12345</v>
      </c>
      <c r="M341" t="s">
        <v>192</v>
      </c>
      <c r="N341">
        <v>1E-3</v>
      </c>
      <c r="O341" t="s">
        <v>3</v>
      </c>
      <c r="P341">
        <v>0.69747840000000005</v>
      </c>
      <c r="Q341" t="s">
        <v>2</v>
      </c>
      <c r="R341">
        <v>2.5460387</v>
      </c>
      <c r="S341" t="s">
        <v>17</v>
      </c>
      <c r="T341">
        <v>71</v>
      </c>
      <c r="U341" t="s">
        <v>0</v>
      </c>
      <c r="V341">
        <v>201</v>
      </c>
      <c r="W341" t="s">
        <v>152</v>
      </c>
      <c r="X341">
        <v>3</v>
      </c>
      <c r="Y341" t="s">
        <v>153</v>
      </c>
      <c r="Z341">
        <v>26</v>
      </c>
      <c r="AA341" t="s">
        <v>151</v>
      </c>
      <c r="AB341">
        <v>57575</v>
      </c>
      <c r="AC341" t="s">
        <v>1</v>
      </c>
      <c r="AD341" t="e" cm="1">
        <f t="array" aca="1" ref="AD341" ca="1">-1.4534218529644+(1.6590408726838*SIN((2*X1)))+((-1.0841938279553*pow((0.5+x0),2))*pow((X2+X3),2))+((-0.1149810015755*x0)*pow(X1,-1))+(((-49.1970965211969*X3)*pow(x0,2))*pow(X2,3))+(((-0.096171750343*x0)*pow(X1,-1))*LOG(X3))+((((70.150384533887*X3)*pow(X1,0.5))*pow(X2,2))*pow(SIN(x0),2))</f>
        <v>#NAME?</v>
      </c>
      <c r="AE341" t="s">
        <v>838</v>
      </c>
      <c r="AF341" t="s">
        <v>1700</v>
      </c>
      <c r="AG341" t="s">
        <v>569</v>
      </c>
      <c r="AH341" t="s">
        <v>1701</v>
      </c>
      <c r="AI341" t="s">
        <v>572</v>
      </c>
      <c r="AJ341" t="s">
        <v>1702</v>
      </c>
      <c r="AK341" t="s">
        <v>572</v>
      </c>
      <c r="AL341" t="s">
        <v>1703</v>
      </c>
      <c r="AM341" t="s">
        <v>569</v>
      </c>
      <c r="AN341" t="s">
        <v>1704</v>
      </c>
      <c r="AO341" t="s">
        <v>572</v>
      </c>
      <c r="AP341" t="s">
        <v>1705</v>
      </c>
      <c r="AQ341" t="s">
        <v>572</v>
      </c>
      <c r="AR341" t="s">
        <v>1706</v>
      </c>
      <c r="AS341" t="s">
        <v>572</v>
      </c>
      <c r="AT341" t="s">
        <v>1707</v>
      </c>
      <c r="AU341" t="s">
        <v>569</v>
      </c>
      <c r="AV341" t="s">
        <v>1708</v>
      </c>
    </row>
    <row r="342" spans="2:48" x14ac:dyDescent="0.25">
      <c r="B342" t="s">
        <v>1709</v>
      </c>
      <c r="C342" t="s">
        <v>4</v>
      </c>
      <c r="D342">
        <v>3.0458200000000001E-2</v>
      </c>
      <c r="E342" t="s">
        <v>5</v>
      </c>
      <c r="F342">
        <v>0.88715909999999998</v>
      </c>
      <c r="G342" t="s">
        <v>189</v>
      </c>
      <c r="H342">
        <v>200</v>
      </c>
      <c r="I342" t="s">
        <v>190</v>
      </c>
      <c r="J342">
        <v>1000000</v>
      </c>
      <c r="K342" t="s">
        <v>191</v>
      </c>
      <c r="L342">
        <v>12345</v>
      </c>
      <c r="M342" t="s">
        <v>192</v>
      </c>
      <c r="N342">
        <v>1E-3</v>
      </c>
      <c r="O342" t="s">
        <v>3</v>
      </c>
      <c r="P342">
        <v>0.89412789999999998</v>
      </c>
      <c r="Q342" t="s">
        <v>2</v>
      </c>
      <c r="R342">
        <v>3.04391E-2</v>
      </c>
      <c r="S342" t="s">
        <v>17</v>
      </c>
      <c r="T342">
        <v>38</v>
      </c>
      <c r="U342" t="s">
        <v>0</v>
      </c>
      <c r="V342">
        <v>200.7</v>
      </c>
      <c r="W342" t="s">
        <v>152</v>
      </c>
      <c r="X342">
        <v>6</v>
      </c>
      <c r="Y342" t="s">
        <v>153</v>
      </c>
      <c r="Z342">
        <v>40</v>
      </c>
      <c r="AA342" t="s">
        <v>151</v>
      </c>
      <c r="AB342">
        <v>81692</v>
      </c>
      <c r="AC342" t="s">
        <v>1</v>
      </c>
      <c r="AD342" t="s">
        <v>1710</v>
      </c>
      <c r="AE342" t="s">
        <v>838</v>
      </c>
      <c r="AF342">
        <f>-0.0326885203703*X1</f>
        <v>-5.2955402999885992</v>
      </c>
      <c r="AG342" t="s">
        <v>572</v>
      </c>
      <c r="AH342" t="s">
        <v>1711</v>
      </c>
      <c r="AI342" t="s">
        <v>572</v>
      </c>
      <c r="AJ342" t="s">
        <v>1712</v>
      </c>
      <c r="AK342" t="s">
        <v>572</v>
      </c>
      <c r="AL342" t="s">
        <v>1713</v>
      </c>
      <c r="AM342" t="s">
        <v>572</v>
      </c>
      <c r="AN342" t="s">
        <v>692</v>
      </c>
      <c r="AO342" t="s">
        <v>572</v>
      </c>
      <c r="AP342">
        <v>0.59234839216599999</v>
      </c>
    </row>
    <row r="343" spans="2:48" x14ac:dyDescent="0.25">
      <c r="B343" t="s">
        <v>1714</v>
      </c>
      <c r="C343" t="s">
        <v>4</v>
      </c>
      <c r="D343">
        <v>4.5116000000000002E-3</v>
      </c>
      <c r="E343" t="s">
        <v>5</v>
      </c>
      <c r="F343">
        <v>0.99954790000000004</v>
      </c>
      <c r="G343" t="s">
        <v>189</v>
      </c>
      <c r="H343">
        <v>200</v>
      </c>
      <c r="I343" t="s">
        <v>190</v>
      </c>
      <c r="J343">
        <v>1000000</v>
      </c>
      <c r="K343" t="s">
        <v>191</v>
      </c>
      <c r="L343">
        <v>12345</v>
      </c>
      <c r="M343" t="s">
        <v>192</v>
      </c>
      <c r="N343">
        <v>1E-3</v>
      </c>
      <c r="O343" t="s">
        <v>3</v>
      </c>
      <c r="P343">
        <v>0.99954030000000005</v>
      </c>
      <c r="Q343" t="s">
        <v>2</v>
      </c>
      <c r="R343">
        <v>4.4889999999999999E-3</v>
      </c>
      <c r="S343" t="s">
        <v>17</v>
      </c>
      <c r="T343">
        <v>20</v>
      </c>
      <c r="U343" t="s">
        <v>0</v>
      </c>
      <c r="V343">
        <v>200.2</v>
      </c>
      <c r="W343" t="s">
        <v>152</v>
      </c>
      <c r="X343">
        <v>12</v>
      </c>
      <c r="Y343" t="s">
        <v>153</v>
      </c>
      <c r="Z343">
        <v>128</v>
      </c>
      <c r="AA343" t="s">
        <v>151</v>
      </c>
      <c r="AB343">
        <v>102222</v>
      </c>
      <c r="AC343" t="s">
        <v>1</v>
      </c>
      <c r="AD343" t="e" cm="1">
        <f t="array" aca="1" ref="AD343" ca="1">-0.3302562073228+(0.3088661309123*COS((x0*X2)))+(1.0153353232566*pow((1+(X3*EXP(X1))),0.5))</f>
        <v>#NAME?</v>
      </c>
      <c r="AE343" t="s">
        <v>838</v>
      </c>
      <c r="AF343" t="s">
        <v>1715</v>
      </c>
      <c r="AG343" t="s">
        <v>572</v>
      </c>
      <c r="AH343" t="s">
        <v>1716</v>
      </c>
      <c r="AI343" t="s">
        <v>572</v>
      </c>
      <c r="AJ343" t="s">
        <v>1717</v>
      </c>
      <c r="AK343" t="s">
        <v>569</v>
      </c>
      <c r="AL343">
        <v>0.33025620732279998</v>
      </c>
    </row>
    <row r="344" spans="2:48" x14ac:dyDescent="0.25">
      <c r="B344" t="s">
        <v>1718</v>
      </c>
      <c r="C344" t="s">
        <v>4</v>
      </c>
      <c r="D344">
        <v>6.9479999999999997E-4</v>
      </c>
      <c r="E344" t="s">
        <v>5</v>
      </c>
      <c r="F344">
        <v>0.99997009999999997</v>
      </c>
      <c r="G344" t="s">
        <v>189</v>
      </c>
      <c r="H344">
        <v>200</v>
      </c>
      <c r="I344" t="s">
        <v>190</v>
      </c>
      <c r="J344">
        <v>1000000</v>
      </c>
      <c r="K344" t="s">
        <v>191</v>
      </c>
      <c r="L344">
        <v>12345</v>
      </c>
      <c r="M344" t="s">
        <v>192</v>
      </c>
      <c r="N344">
        <v>1E-3</v>
      </c>
      <c r="O344" t="s">
        <v>3</v>
      </c>
      <c r="P344">
        <v>0.99996859999999999</v>
      </c>
      <c r="Q344" t="s">
        <v>2</v>
      </c>
      <c r="R344">
        <v>7.1699999999999997E-4</v>
      </c>
      <c r="S344" t="s">
        <v>17</v>
      </c>
      <c r="T344">
        <v>9</v>
      </c>
      <c r="U344" t="s">
        <v>0</v>
      </c>
      <c r="V344">
        <v>200</v>
      </c>
      <c r="W344" t="s">
        <v>152</v>
      </c>
      <c r="X344">
        <v>15</v>
      </c>
      <c r="Y344" t="s">
        <v>153</v>
      </c>
      <c r="Z344">
        <v>472</v>
      </c>
      <c r="AA344" t="s">
        <v>151</v>
      </c>
      <c r="AB344">
        <v>134348</v>
      </c>
      <c r="AC344" t="s">
        <v>1</v>
      </c>
      <c r="AD344" t="s">
        <v>1719</v>
      </c>
      <c r="AE344" t="s">
        <v>838</v>
      </c>
      <c r="AF344" t="s">
        <v>1720</v>
      </c>
      <c r="AG344" t="s">
        <v>572</v>
      </c>
      <c r="AH344">
        <v>1.0313120856902001</v>
      </c>
    </row>
    <row r="345" spans="2:48" x14ac:dyDescent="0.25">
      <c r="B345" t="s">
        <v>1721</v>
      </c>
      <c r="C345" t="s">
        <v>4</v>
      </c>
      <c r="D345">
        <v>1.7139999999999999E-4</v>
      </c>
      <c r="E345" t="s">
        <v>5</v>
      </c>
      <c r="F345">
        <v>0.99993299999999996</v>
      </c>
      <c r="G345" t="s">
        <v>189</v>
      </c>
      <c r="H345">
        <v>200</v>
      </c>
      <c r="I345" t="s">
        <v>190</v>
      </c>
      <c r="J345">
        <v>1000000</v>
      </c>
      <c r="K345" t="s">
        <v>191</v>
      </c>
      <c r="L345">
        <v>12345</v>
      </c>
      <c r="M345" t="s">
        <v>192</v>
      </c>
      <c r="N345">
        <v>1E-3</v>
      </c>
      <c r="O345" t="s">
        <v>3</v>
      </c>
      <c r="P345">
        <v>0.99993290000000001</v>
      </c>
      <c r="Q345" t="s">
        <v>2</v>
      </c>
      <c r="R345">
        <v>1.719E-4</v>
      </c>
      <c r="S345" t="s">
        <v>17</v>
      </c>
      <c r="T345">
        <v>8</v>
      </c>
      <c r="U345" t="s">
        <v>0</v>
      </c>
      <c r="V345">
        <v>200.4</v>
      </c>
      <c r="W345" t="s">
        <v>152</v>
      </c>
      <c r="X345">
        <v>25</v>
      </c>
      <c r="Y345" t="s">
        <v>153</v>
      </c>
      <c r="Z345">
        <v>540</v>
      </c>
      <c r="AA345" t="s">
        <v>151</v>
      </c>
      <c r="AB345">
        <v>127973</v>
      </c>
      <c r="AC345" t="s">
        <v>1</v>
      </c>
      <c r="AD345" t="s">
        <v>1722</v>
      </c>
      <c r="AE345" t="s">
        <v>838</v>
      </c>
      <c r="AF345">
        <v>0.25787237760159998</v>
      </c>
      <c r="AG345" t="s">
        <v>569</v>
      </c>
      <c r="AH345" t="s">
        <v>1723</v>
      </c>
    </row>
    <row r="346" spans="2:48" x14ac:dyDescent="0.25">
      <c r="B346" t="s">
        <v>1724</v>
      </c>
      <c r="C346" t="s">
        <v>4</v>
      </c>
      <c r="D346">
        <v>0</v>
      </c>
      <c r="E346" t="s">
        <v>5</v>
      </c>
      <c r="F346">
        <v>1</v>
      </c>
      <c r="G346" t="s">
        <v>189</v>
      </c>
      <c r="H346">
        <v>200</v>
      </c>
      <c r="I346" t="s">
        <v>190</v>
      </c>
      <c r="J346">
        <v>1000000</v>
      </c>
      <c r="K346" t="s">
        <v>191</v>
      </c>
      <c r="L346">
        <v>12345</v>
      </c>
      <c r="M346" t="s">
        <v>192</v>
      </c>
      <c r="N346">
        <v>1E-3</v>
      </c>
      <c r="O346" t="s">
        <v>3</v>
      </c>
      <c r="P346">
        <v>1</v>
      </c>
      <c r="Q346" t="s">
        <v>2</v>
      </c>
      <c r="R346">
        <v>0</v>
      </c>
      <c r="S346" t="s">
        <v>17</v>
      </c>
      <c r="T346">
        <v>6</v>
      </c>
      <c r="U346" t="s">
        <v>0</v>
      </c>
      <c r="V346">
        <v>0.2</v>
      </c>
      <c r="W346" t="s">
        <v>152</v>
      </c>
      <c r="X346">
        <v>1</v>
      </c>
      <c r="Y346" t="s">
        <v>153</v>
      </c>
      <c r="Z346">
        <v>2</v>
      </c>
      <c r="AA346" t="s">
        <v>151</v>
      </c>
      <c r="AB346">
        <v>206</v>
      </c>
      <c r="AC346" t="s">
        <v>1</v>
      </c>
      <c r="AD346" t="e" cm="1">
        <f t="array" ref="AD346">-0.0029774407505+(0.0005347100157*x0)</f>
        <v>#NAME?</v>
      </c>
      <c r="AE346" t="s">
        <v>838</v>
      </c>
      <c r="AF346" t="s">
        <v>1725</v>
      </c>
      <c r="AG346" t="s">
        <v>569</v>
      </c>
      <c r="AH346">
        <v>2.9774407504999999E-3</v>
      </c>
    </row>
    <row r="347" spans="2:48" x14ac:dyDescent="0.25">
      <c r="B347" t="s">
        <v>1726</v>
      </c>
      <c r="C347" t="s">
        <v>4</v>
      </c>
      <c r="D347">
        <v>0.74717420000000001</v>
      </c>
      <c r="E347" t="s">
        <v>5</v>
      </c>
      <c r="F347">
        <v>-0.1108489</v>
      </c>
      <c r="G347" t="s">
        <v>189</v>
      </c>
      <c r="H347">
        <v>200</v>
      </c>
      <c r="I347" t="s">
        <v>190</v>
      </c>
      <c r="J347">
        <v>1000000</v>
      </c>
      <c r="K347" t="s">
        <v>191</v>
      </c>
      <c r="L347">
        <v>12345</v>
      </c>
      <c r="M347" t="s">
        <v>192</v>
      </c>
      <c r="N347">
        <v>1E-3</v>
      </c>
      <c r="O347" t="s">
        <v>3</v>
      </c>
      <c r="P347">
        <v>-6.9309472000000003</v>
      </c>
      <c r="Q347" t="s">
        <v>2</v>
      </c>
      <c r="R347">
        <v>1.9949745999999999</v>
      </c>
      <c r="S347" t="s">
        <v>17</v>
      </c>
      <c r="T347">
        <v>6</v>
      </c>
      <c r="U347" t="s">
        <v>0</v>
      </c>
      <c r="V347">
        <v>200.1</v>
      </c>
      <c r="W347" t="s">
        <v>152</v>
      </c>
      <c r="X347">
        <v>1105</v>
      </c>
      <c r="Y347" t="s">
        <v>153</v>
      </c>
      <c r="Z347">
        <v>95</v>
      </c>
      <c r="AA347" t="s">
        <v>151</v>
      </c>
      <c r="AB347">
        <v>16781</v>
      </c>
      <c r="AC347" t="s">
        <v>1</v>
      </c>
      <c r="AD347" t="s">
        <v>1727</v>
      </c>
      <c r="AE347" t="s">
        <v>838</v>
      </c>
      <c r="AF347" t="s">
        <v>1728</v>
      </c>
    </row>
    <row r="348" spans="2:48" x14ac:dyDescent="0.25">
      <c r="B348" t="s">
        <v>1729</v>
      </c>
      <c r="C348" t="s">
        <v>4</v>
      </c>
      <c r="D348">
        <v>1.7880000000000001E-3</v>
      </c>
      <c r="E348" t="s">
        <v>5</v>
      </c>
      <c r="F348">
        <v>0.9999363</v>
      </c>
      <c r="G348" t="s">
        <v>189</v>
      </c>
      <c r="H348">
        <v>200</v>
      </c>
      <c r="I348" t="s">
        <v>190</v>
      </c>
      <c r="J348">
        <v>1000000</v>
      </c>
      <c r="K348" t="s">
        <v>191</v>
      </c>
      <c r="L348">
        <v>12345</v>
      </c>
      <c r="M348" t="s">
        <v>192</v>
      </c>
      <c r="N348">
        <v>1E-3</v>
      </c>
      <c r="O348" t="s">
        <v>3</v>
      </c>
      <c r="P348">
        <v>0.99993549999999998</v>
      </c>
      <c r="Q348" t="s">
        <v>2</v>
      </c>
      <c r="R348">
        <v>1.7928E-3</v>
      </c>
      <c r="S348" t="s">
        <v>17</v>
      </c>
      <c r="T348">
        <v>11</v>
      </c>
      <c r="U348" t="s">
        <v>0</v>
      </c>
      <c r="V348">
        <v>200.1</v>
      </c>
      <c r="W348" t="s">
        <v>152</v>
      </c>
      <c r="X348">
        <v>8</v>
      </c>
      <c r="Y348" t="s">
        <v>153</v>
      </c>
      <c r="Z348">
        <v>358</v>
      </c>
      <c r="AA348" t="s">
        <v>151</v>
      </c>
      <c r="AB348">
        <v>132048</v>
      </c>
      <c r="AC348" t="s">
        <v>1</v>
      </c>
      <c r="AD348" t="e" cm="1">
        <f t="array" aca="1" ref="AD348" ca="1">-1.8381674096537+(-1.7959349824519*EXP((-1*pow(x0,-1))))</f>
        <v>#NAME?</v>
      </c>
      <c r="AE348" t="s">
        <v>838</v>
      </c>
      <c r="AF348">
        <v>-1.8381674096537</v>
      </c>
      <c r="AG348" t="s">
        <v>569</v>
      </c>
      <c r="AH348" t="s">
        <v>1730</v>
      </c>
    </row>
    <row r="349" spans="2:48" x14ac:dyDescent="0.25">
      <c r="B349" t="s">
        <v>1731</v>
      </c>
      <c r="C349" t="s">
        <v>4</v>
      </c>
      <c r="D349">
        <v>7.8945000000000005E-3</v>
      </c>
      <c r="E349" t="s">
        <v>5</v>
      </c>
      <c r="F349">
        <v>0.99953539999999996</v>
      </c>
      <c r="G349" t="s">
        <v>189</v>
      </c>
      <c r="H349">
        <v>200</v>
      </c>
      <c r="I349" t="s">
        <v>190</v>
      </c>
      <c r="J349">
        <v>1000000</v>
      </c>
      <c r="K349" t="s">
        <v>191</v>
      </c>
      <c r="L349">
        <v>12345</v>
      </c>
      <c r="M349" t="s">
        <v>192</v>
      </c>
      <c r="N349">
        <v>1E-3</v>
      </c>
      <c r="O349" t="s">
        <v>3</v>
      </c>
      <c r="P349">
        <v>0.99955989999999995</v>
      </c>
      <c r="Q349" t="s">
        <v>2</v>
      </c>
      <c r="R349">
        <v>7.5542999999999999E-3</v>
      </c>
      <c r="S349" t="s">
        <v>17</v>
      </c>
      <c r="T349">
        <v>18</v>
      </c>
      <c r="U349" t="s">
        <v>0</v>
      </c>
      <c r="V349">
        <v>200.2</v>
      </c>
      <c r="W349" t="s">
        <v>152</v>
      </c>
      <c r="X349">
        <v>6</v>
      </c>
      <c r="Y349" t="s">
        <v>153</v>
      </c>
      <c r="Z349">
        <v>147</v>
      </c>
      <c r="AA349" t="s">
        <v>151</v>
      </c>
      <c r="AB349">
        <v>102076</v>
      </c>
      <c r="AC349" t="s">
        <v>1</v>
      </c>
      <c r="AD349" t="s">
        <v>1732</v>
      </c>
      <c r="AE349" t="s">
        <v>838</v>
      </c>
      <c r="AF349" t="s">
        <v>1733</v>
      </c>
      <c r="AG349" t="s">
        <v>572</v>
      </c>
      <c r="AH349" t="s">
        <v>1734</v>
      </c>
      <c r="AI349" t="s">
        <v>572</v>
      </c>
      <c r="AJ349">
        <v>3.2884751788099999E-2</v>
      </c>
    </row>
    <row r="350" spans="2:48" x14ac:dyDescent="0.25">
      <c r="B350" t="s">
        <v>1735</v>
      </c>
      <c r="C350" t="s">
        <v>4</v>
      </c>
      <c r="D350" s="7">
        <v>6.1E-6</v>
      </c>
      <c r="E350" t="s">
        <v>5</v>
      </c>
      <c r="F350">
        <v>1</v>
      </c>
      <c r="G350" t="s">
        <v>189</v>
      </c>
      <c r="H350">
        <v>200</v>
      </c>
      <c r="I350" t="s">
        <v>190</v>
      </c>
      <c r="J350">
        <v>1000000</v>
      </c>
      <c r="K350" t="s">
        <v>191</v>
      </c>
      <c r="L350">
        <v>12345</v>
      </c>
      <c r="M350" t="s">
        <v>192</v>
      </c>
      <c r="N350">
        <v>1E-3</v>
      </c>
      <c r="O350" t="s">
        <v>3</v>
      </c>
      <c r="P350">
        <v>1</v>
      </c>
      <c r="Q350" t="s">
        <v>2</v>
      </c>
      <c r="R350">
        <v>1.1000000000000001E-6</v>
      </c>
      <c r="S350" t="s">
        <v>17</v>
      </c>
      <c r="T350">
        <v>15</v>
      </c>
      <c r="U350" t="s">
        <v>0</v>
      </c>
      <c r="V350">
        <v>111.7</v>
      </c>
      <c r="W350" t="s">
        <v>152</v>
      </c>
      <c r="X350">
        <v>3</v>
      </c>
      <c r="Y350" t="s">
        <v>153</v>
      </c>
      <c r="Z350">
        <v>53</v>
      </c>
      <c r="AA350" t="s">
        <v>151</v>
      </c>
      <c r="AB350">
        <v>45057</v>
      </c>
      <c r="AC350" t="s">
        <v>1</v>
      </c>
      <c r="AD350" t="s">
        <v>1736</v>
      </c>
      <c r="AE350" t="s">
        <v>838</v>
      </c>
      <c r="AF350" t="s">
        <v>1737</v>
      </c>
      <c r="AG350" t="s">
        <v>569</v>
      </c>
      <c r="AH350" t="s">
        <v>1738</v>
      </c>
    </row>
    <row r="351" spans="2:48" x14ac:dyDescent="0.25">
      <c r="B351" t="s">
        <v>1739</v>
      </c>
      <c r="C351" t="s">
        <v>4</v>
      </c>
      <c r="D351">
        <v>7.5670000000000002E-4</v>
      </c>
      <c r="E351" t="s">
        <v>5</v>
      </c>
      <c r="F351">
        <v>1</v>
      </c>
      <c r="G351" t="s">
        <v>189</v>
      </c>
      <c r="H351">
        <v>200</v>
      </c>
      <c r="I351" t="s">
        <v>190</v>
      </c>
      <c r="J351">
        <v>1000000</v>
      </c>
      <c r="K351" t="s">
        <v>191</v>
      </c>
      <c r="L351">
        <v>12345</v>
      </c>
      <c r="M351" t="s">
        <v>192</v>
      </c>
      <c r="N351">
        <v>1E-3</v>
      </c>
      <c r="O351" t="s">
        <v>3</v>
      </c>
      <c r="P351">
        <v>1</v>
      </c>
      <c r="Q351" t="s">
        <v>2</v>
      </c>
      <c r="R351">
        <v>7.5549999999999999E-4</v>
      </c>
      <c r="S351" t="s">
        <v>17</v>
      </c>
      <c r="T351">
        <v>31</v>
      </c>
      <c r="U351" t="s">
        <v>0</v>
      </c>
      <c r="V351">
        <v>200.3</v>
      </c>
      <c r="W351" t="s">
        <v>152</v>
      </c>
      <c r="X351">
        <v>5</v>
      </c>
      <c r="Y351" t="s">
        <v>153</v>
      </c>
      <c r="Z351">
        <v>111</v>
      </c>
      <c r="AA351" t="s">
        <v>151</v>
      </c>
      <c r="AB351">
        <v>86241</v>
      </c>
      <c r="AC351" t="s">
        <v>1</v>
      </c>
      <c r="AD351" t="s">
        <v>1740</v>
      </c>
      <c r="AE351" t="s">
        <v>838</v>
      </c>
      <c r="AF351" t="e" cm="1">
        <f t="array" ref="AF351">-1.9992381317934*x0*EXP(X1)</f>
        <v>#NAME?</v>
      </c>
      <c r="AG351" t="s">
        <v>569</v>
      </c>
      <c r="AH351" t="s">
        <v>1741</v>
      </c>
      <c r="AI351" t="s">
        <v>572</v>
      </c>
      <c r="AJ351" t="s">
        <v>1742</v>
      </c>
      <c r="AK351" t="s">
        <v>572</v>
      </c>
      <c r="AL351" t="s">
        <v>1743</v>
      </c>
      <c r="AM351" t="s">
        <v>572</v>
      </c>
      <c r="AN351" t="s">
        <v>1744</v>
      </c>
      <c r="AO351" t="s">
        <v>572</v>
      </c>
      <c r="AP351">
        <v>54.597348602485901</v>
      </c>
    </row>
    <row r="352" spans="2:48" x14ac:dyDescent="0.25">
      <c r="B352" t="s">
        <v>1745</v>
      </c>
      <c r="C352" t="s">
        <v>4</v>
      </c>
      <c r="D352">
        <v>1.99043E-2</v>
      </c>
      <c r="E352" t="s">
        <v>5</v>
      </c>
      <c r="F352">
        <v>0.99926550000000003</v>
      </c>
      <c r="G352" t="s">
        <v>189</v>
      </c>
      <c r="H352">
        <v>200</v>
      </c>
      <c r="I352" t="s">
        <v>190</v>
      </c>
      <c r="J352">
        <v>1000000</v>
      </c>
      <c r="K352" t="s">
        <v>191</v>
      </c>
      <c r="L352">
        <v>12345</v>
      </c>
      <c r="M352" t="s">
        <v>192</v>
      </c>
      <c r="N352">
        <v>1E-3</v>
      </c>
      <c r="O352" t="s">
        <v>3</v>
      </c>
      <c r="P352">
        <v>0.99926309999999996</v>
      </c>
      <c r="Q352" t="s">
        <v>2</v>
      </c>
      <c r="R352">
        <v>1.9471100000000002E-2</v>
      </c>
      <c r="S352" t="s">
        <v>17</v>
      </c>
      <c r="T352">
        <v>18</v>
      </c>
      <c r="U352" t="s">
        <v>0</v>
      </c>
      <c r="V352">
        <v>200.1</v>
      </c>
      <c r="W352" t="s">
        <v>152</v>
      </c>
      <c r="X352">
        <v>5</v>
      </c>
      <c r="Y352" t="s">
        <v>153</v>
      </c>
      <c r="Z352">
        <v>190</v>
      </c>
      <c r="AA352" t="s">
        <v>151</v>
      </c>
      <c r="AB352">
        <v>118847</v>
      </c>
      <c r="AC352" t="s">
        <v>1</v>
      </c>
      <c r="AD352" t="e" cm="1">
        <f t="array" aca="1" ref="AD352" ca="1">-0.4106584944135+(2.9591883232283*LOG(SIN((1.65+x0))))+((-0.8266552135127*x0)*pow(X1,2))</f>
        <v>#NAME?</v>
      </c>
      <c r="AE352" t="s">
        <v>838</v>
      </c>
      <c r="AF352" t="s">
        <v>1746</v>
      </c>
      <c r="AG352" t="s">
        <v>572</v>
      </c>
      <c r="AH352" t="s">
        <v>1747</v>
      </c>
      <c r="AI352" t="s">
        <v>572</v>
      </c>
      <c r="AJ352" t="s">
        <v>1748</v>
      </c>
      <c r="AK352" t="s">
        <v>569</v>
      </c>
      <c r="AL352">
        <v>0.4106584944135</v>
      </c>
    </row>
    <row r="353" spans="2:56" x14ac:dyDescent="0.25">
      <c r="B353" t="s">
        <v>1749</v>
      </c>
      <c r="C353" t="s">
        <v>4</v>
      </c>
      <c r="D353">
        <v>2.9458000000000002E-2</v>
      </c>
      <c r="E353" t="s">
        <v>5</v>
      </c>
      <c r="F353">
        <v>0.99909930000000002</v>
      </c>
      <c r="G353" t="s">
        <v>189</v>
      </c>
      <c r="H353">
        <v>200</v>
      </c>
      <c r="I353" t="s">
        <v>190</v>
      </c>
      <c r="J353">
        <v>1000000</v>
      </c>
      <c r="K353" t="s">
        <v>191</v>
      </c>
      <c r="L353">
        <v>12345</v>
      </c>
      <c r="M353" t="s">
        <v>192</v>
      </c>
      <c r="N353">
        <v>1E-3</v>
      </c>
      <c r="O353" t="s">
        <v>3</v>
      </c>
      <c r="P353">
        <v>0.99908249999999998</v>
      </c>
      <c r="Q353" t="s">
        <v>2</v>
      </c>
      <c r="R353">
        <v>2.9475100000000001E-2</v>
      </c>
      <c r="S353" t="s">
        <v>17</v>
      </c>
      <c r="T353">
        <v>25</v>
      </c>
      <c r="U353" t="s">
        <v>0</v>
      </c>
      <c r="V353">
        <v>200.1</v>
      </c>
      <c r="W353" t="s">
        <v>152</v>
      </c>
      <c r="X353">
        <v>8</v>
      </c>
      <c r="Y353" t="s">
        <v>153</v>
      </c>
      <c r="Z353">
        <v>195</v>
      </c>
      <c r="AA353" t="s">
        <v>151</v>
      </c>
      <c r="AB353">
        <v>102982</v>
      </c>
      <c r="AC353" t="s">
        <v>1</v>
      </c>
      <c r="AD353" t="s">
        <v>1750</v>
      </c>
      <c r="AE353" t="s">
        <v>838</v>
      </c>
      <c r="AF353" t="s">
        <v>1751</v>
      </c>
      <c r="AG353" t="s">
        <v>569</v>
      </c>
      <c r="AH353" t="s">
        <v>1752</v>
      </c>
      <c r="AI353" t="s">
        <v>572</v>
      </c>
      <c r="AJ353" t="s">
        <v>1753</v>
      </c>
      <c r="AK353" t="s">
        <v>572</v>
      </c>
      <c r="AL353" t="s">
        <v>1754</v>
      </c>
      <c r="AM353" t="s">
        <v>572</v>
      </c>
      <c r="AN353">
        <v>11.170260766253101</v>
      </c>
    </row>
    <row r="354" spans="2:56" x14ac:dyDescent="0.25">
      <c r="B354" t="s">
        <v>1755</v>
      </c>
      <c r="C354" t="s">
        <v>4</v>
      </c>
      <c r="D354">
        <v>4.6319999999999998E-4</v>
      </c>
      <c r="E354" t="s">
        <v>5</v>
      </c>
      <c r="F354">
        <v>0.99999859999999996</v>
      </c>
      <c r="G354" t="s">
        <v>189</v>
      </c>
      <c r="H354">
        <v>200</v>
      </c>
      <c r="I354" t="s">
        <v>190</v>
      </c>
      <c r="J354">
        <v>1000000</v>
      </c>
      <c r="K354" t="s">
        <v>191</v>
      </c>
      <c r="L354">
        <v>12345</v>
      </c>
      <c r="M354" t="s">
        <v>192</v>
      </c>
      <c r="N354">
        <v>1E-3</v>
      </c>
      <c r="O354" t="s">
        <v>3</v>
      </c>
      <c r="P354">
        <v>0.99999859999999996</v>
      </c>
      <c r="Q354" t="s">
        <v>2</v>
      </c>
      <c r="R354">
        <v>4.64E-4</v>
      </c>
      <c r="S354" t="s">
        <v>17</v>
      </c>
      <c r="T354">
        <v>17</v>
      </c>
      <c r="U354" t="s">
        <v>0</v>
      </c>
      <c r="V354">
        <v>200</v>
      </c>
      <c r="W354" t="s">
        <v>152</v>
      </c>
      <c r="X354">
        <v>3</v>
      </c>
      <c r="Y354" t="s">
        <v>153</v>
      </c>
      <c r="Z354">
        <v>266</v>
      </c>
      <c r="AA354" t="s">
        <v>151</v>
      </c>
      <c r="AB354">
        <v>116673</v>
      </c>
      <c r="AC354" t="s">
        <v>1</v>
      </c>
      <c r="AD354" t="e" cm="1">
        <f t="array" aca="1" ref="AD354" ca="1">-6.6979588394856+(1.0001222877851*SIN(x0))+(-0.2627261140688*pow(X1,2.0707963267949))+(-1.0000412498606*X2)</f>
        <v>#NAME?</v>
      </c>
      <c r="AE354" t="s">
        <v>838</v>
      </c>
      <c r="AF354" t="s">
        <v>1756</v>
      </c>
      <c r="AG354" t="s">
        <v>569</v>
      </c>
      <c r="AH354" t="s">
        <v>1757</v>
      </c>
      <c r="AI354" t="s">
        <v>572</v>
      </c>
      <c r="AJ354" t="s">
        <v>1758</v>
      </c>
      <c r="AK354" t="s">
        <v>569</v>
      </c>
      <c r="AL354">
        <v>6.6979588394856</v>
      </c>
    </row>
    <row r="355" spans="2:56" x14ac:dyDescent="0.25">
      <c r="B355" t="s">
        <v>1759</v>
      </c>
      <c r="C355" t="s">
        <v>4</v>
      </c>
      <c r="D355">
        <v>0</v>
      </c>
      <c r="E355" t="s">
        <v>5</v>
      </c>
      <c r="F355">
        <v>1</v>
      </c>
      <c r="G355" t="s">
        <v>189</v>
      </c>
      <c r="H355">
        <v>200</v>
      </c>
      <c r="I355" t="s">
        <v>190</v>
      </c>
      <c r="J355">
        <v>1000000</v>
      </c>
      <c r="K355" t="s">
        <v>191</v>
      </c>
      <c r="L355">
        <v>12345</v>
      </c>
      <c r="M355" t="s">
        <v>192</v>
      </c>
      <c r="N355">
        <v>1E-3</v>
      </c>
      <c r="O355" t="s">
        <v>3</v>
      </c>
      <c r="P355">
        <v>1</v>
      </c>
      <c r="Q355" t="s">
        <v>2</v>
      </c>
      <c r="R355">
        <v>0</v>
      </c>
      <c r="S355" t="s">
        <v>17</v>
      </c>
      <c r="T355">
        <v>13</v>
      </c>
      <c r="U355" t="s">
        <v>0</v>
      </c>
      <c r="V355">
        <v>8.1</v>
      </c>
      <c r="W355" t="s">
        <v>152</v>
      </c>
      <c r="X355">
        <v>1</v>
      </c>
      <c r="Y355" t="s">
        <v>153</v>
      </c>
      <c r="Z355">
        <v>9</v>
      </c>
      <c r="AA355" t="s">
        <v>151</v>
      </c>
      <c r="AB355">
        <v>4568</v>
      </c>
      <c r="AC355" t="s">
        <v>1</v>
      </c>
      <c r="AD355" t="s">
        <v>1760</v>
      </c>
      <c r="AE355" t="s">
        <v>838</v>
      </c>
      <c r="AF355" t="s">
        <v>1761</v>
      </c>
    </row>
    <row r="356" spans="2:56" x14ac:dyDescent="0.25">
      <c r="B356" t="s">
        <v>1762</v>
      </c>
      <c r="C356" t="s">
        <v>4</v>
      </c>
      <c r="D356">
        <v>0</v>
      </c>
      <c r="E356" t="s">
        <v>5</v>
      </c>
      <c r="F356">
        <v>1</v>
      </c>
      <c r="G356" t="s">
        <v>189</v>
      </c>
      <c r="H356">
        <v>200</v>
      </c>
      <c r="I356" t="s">
        <v>190</v>
      </c>
      <c r="J356">
        <v>1000000</v>
      </c>
      <c r="K356" t="s">
        <v>191</v>
      </c>
      <c r="L356">
        <v>12345</v>
      </c>
      <c r="M356" t="s">
        <v>192</v>
      </c>
      <c r="N356">
        <v>1E-3</v>
      </c>
      <c r="O356" t="s">
        <v>3</v>
      </c>
      <c r="P356">
        <v>1</v>
      </c>
      <c r="Q356" t="s">
        <v>2</v>
      </c>
      <c r="R356">
        <v>0</v>
      </c>
      <c r="S356" t="s">
        <v>17</v>
      </c>
      <c r="T356">
        <v>18</v>
      </c>
      <c r="U356" t="s">
        <v>0</v>
      </c>
      <c r="V356">
        <v>6.6</v>
      </c>
      <c r="W356" t="s">
        <v>152</v>
      </c>
      <c r="X356">
        <v>1</v>
      </c>
      <c r="Y356" t="s">
        <v>153</v>
      </c>
      <c r="Z356">
        <v>7</v>
      </c>
      <c r="AA356" t="s">
        <v>151</v>
      </c>
      <c r="AB356">
        <v>3428</v>
      </c>
      <c r="AC356" t="s">
        <v>1</v>
      </c>
      <c r="AD356" t="e" cm="1">
        <f t="array" ref="AD356">-4.6945280494653+(1*x0)+(1*EXP(X2))+(3.6945280494654*COS((2*X1)))</f>
        <v>#NAME?</v>
      </c>
      <c r="AE356" t="s">
        <v>838</v>
      </c>
      <c r="AF356" t="s">
        <v>578</v>
      </c>
      <c r="AG356" t="s">
        <v>572</v>
      </c>
      <c r="AH356" t="s">
        <v>1571</v>
      </c>
      <c r="AI356" t="s">
        <v>572</v>
      </c>
      <c r="AJ356" t="s">
        <v>1763</v>
      </c>
      <c r="AK356" t="s">
        <v>569</v>
      </c>
      <c r="AL356">
        <v>4.6945280494653003</v>
      </c>
    </row>
    <row r="357" spans="2:56" x14ac:dyDescent="0.25">
      <c r="B357" t="s">
        <v>1764</v>
      </c>
      <c r="C357" t="s">
        <v>4</v>
      </c>
      <c r="D357">
        <v>4.2477599999999997E-2</v>
      </c>
      <c r="E357" t="s">
        <v>5</v>
      </c>
      <c r="F357">
        <v>0.99488529999999997</v>
      </c>
      <c r="G357" t="s">
        <v>189</v>
      </c>
      <c r="H357">
        <v>200</v>
      </c>
      <c r="I357" t="s">
        <v>190</v>
      </c>
      <c r="J357">
        <v>1000000</v>
      </c>
      <c r="K357" t="s">
        <v>191</v>
      </c>
      <c r="L357">
        <v>12345</v>
      </c>
      <c r="M357" t="s">
        <v>192</v>
      </c>
      <c r="N357">
        <v>1E-3</v>
      </c>
      <c r="O357" t="s">
        <v>3</v>
      </c>
      <c r="P357">
        <v>0.99465230000000004</v>
      </c>
      <c r="Q357" t="s">
        <v>2</v>
      </c>
      <c r="R357">
        <v>4.23527E-2</v>
      </c>
      <c r="S357" t="s">
        <v>17</v>
      </c>
      <c r="T357">
        <v>41</v>
      </c>
      <c r="U357" t="s">
        <v>0</v>
      </c>
      <c r="V357">
        <v>200.2</v>
      </c>
      <c r="W357" t="s">
        <v>152</v>
      </c>
      <c r="X357">
        <v>8</v>
      </c>
      <c r="Y357" t="s">
        <v>153</v>
      </c>
      <c r="Z357">
        <v>66</v>
      </c>
      <c r="AA357" t="s">
        <v>151</v>
      </c>
      <c r="AB357">
        <v>72672</v>
      </c>
      <c r="AC357" t="s">
        <v>1</v>
      </c>
      <c r="AD357" t="s">
        <v>1765</v>
      </c>
      <c r="AE357" t="s">
        <v>838</v>
      </c>
      <c r="AF357" t="s">
        <v>1766</v>
      </c>
      <c r="AG357" t="s">
        <v>572</v>
      </c>
      <c r="AH357" t="s">
        <v>1767</v>
      </c>
      <c r="AI357" t="s">
        <v>569</v>
      </c>
      <c r="AJ357" t="s">
        <v>1768</v>
      </c>
      <c r="AK357" t="s">
        <v>572</v>
      </c>
      <c r="AL357" t="s">
        <v>1769</v>
      </c>
      <c r="AM357" t="s">
        <v>569</v>
      </c>
      <c r="AN357" t="s">
        <v>1770</v>
      </c>
      <c r="AO357" t="s">
        <v>572</v>
      </c>
      <c r="AP357">
        <v>1.4858042057330001</v>
      </c>
    </row>
    <row r="358" spans="2:56" x14ac:dyDescent="0.25">
      <c r="B358" t="s">
        <v>1771</v>
      </c>
      <c r="C358" t="s">
        <v>4</v>
      </c>
      <c r="D358">
        <v>0</v>
      </c>
      <c r="E358" t="s">
        <v>5</v>
      </c>
      <c r="F358">
        <v>1</v>
      </c>
      <c r="G358" t="s">
        <v>189</v>
      </c>
      <c r="H358">
        <v>200</v>
      </c>
      <c r="I358" t="s">
        <v>190</v>
      </c>
      <c r="J358">
        <v>1000000</v>
      </c>
      <c r="K358" t="s">
        <v>191</v>
      </c>
      <c r="L358">
        <v>12345</v>
      </c>
      <c r="M358" t="s">
        <v>192</v>
      </c>
      <c r="N358">
        <v>1E-3</v>
      </c>
      <c r="O358" t="s">
        <v>3</v>
      </c>
      <c r="P358">
        <v>1</v>
      </c>
      <c r="Q358" t="s">
        <v>2</v>
      </c>
      <c r="R358">
        <v>0</v>
      </c>
      <c r="S358" t="s">
        <v>17</v>
      </c>
      <c r="T358">
        <v>2</v>
      </c>
      <c r="U358" t="s">
        <v>0</v>
      </c>
      <c r="V358">
        <v>4.5</v>
      </c>
      <c r="W358" t="s">
        <v>152</v>
      </c>
      <c r="X358">
        <v>1</v>
      </c>
      <c r="Y358" t="s">
        <v>153</v>
      </c>
      <c r="Z358">
        <v>42</v>
      </c>
      <c r="AA358" t="s">
        <v>151</v>
      </c>
      <c r="AB358">
        <v>4004</v>
      </c>
      <c r="AC358" t="s">
        <v>1</v>
      </c>
      <c r="AD358">
        <v>0</v>
      </c>
      <c r="AE358" t="s">
        <v>838</v>
      </c>
      <c r="AF358">
        <v>0</v>
      </c>
    </row>
    <row r="359" spans="2:56" x14ac:dyDescent="0.25">
      <c r="B359" t="s">
        <v>1772</v>
      </c>
      <c r="C359" t="s">
        <v>4</v>
      </c>
      <c r="D359">
        <v>0.88168570000000002</v>
      </c>
      <c r="E359" t="s">
        <v>5</v>
      </c>
      <c r="F359">
        <v>0.4523201</v>
      </c>
      <c r="G359" t="s">
        <v>189</v>
      </c>
      <c r="H359">
        <v>200</v>
      </c>
      <c r="I359" t="s">
        <v>190</v>
      </c>
      <c r="J359">
        <v>1000000</v>
      </c>
      <c r="K359" t="s">
        <v>191</v>
      </c>
      <c r="L359">
        <v>12345</v>
      </c>
      <c r="M359" t="s">
        <v>192</v>
      </c>
      <c r="N359">
        <v>1E-3</v>
      </c>
      <c r="O359" t="s">
        <v>3</v>
      </c>
      <c r="P359">
        <v>0.98729009999999995</v>
      </c>
      <c r="Q359" t="s">
        <v>2</v>
      </c>
      <c r="R359">
        <v>0.13046749999999999</v>
      </c>
      <c r="S359" t="s">
        <v>17</v>
      </c>
      <c r="T359">
        <v>38</v>
      </c>
      <c r="U359" t="s">
        <v>0</v>
      </c>
      <c r="V359">
        <v>200.3</v>
      </c>
      <c r="W359" t="s">
        <v>152</v>
      </c>
      <c r="X359">
        <v>6</v>
      </c>
      <c r="Y359" t="s">
        <v>153</v>
      </c>
      <c r="Z359">
        <v>97</v>
      </c>
      <c r="AA359" t="s">
        <v>151</v>
      </c>
      <c r="AB359">
        <v>82782</v>
      </c>
      <c r="AC359" t="s">
        <v>1</v>
      </c>
      <c r="AD359" t="s">
        <v>1773</v>
      </c>
      <c r="AE359" t="s">
        <v>838</v>
      </c>
      <c r="AF359" t="e" cm="1">
        <f t="array" ref="AF359">-0.9997505123688*x0</f>
        <v>#NAME?</v>
      </c>
      <c r="AG359" t="s">
        <v>569</v>
      </c>
      <c r="AH359" t="s">
        <v>1774</v>
      </c>
      <c r="AI359" t="s">
        <v>572</v>
      </c>
      <c r="AJ359" t="s">
        <v>1775</v>
      </c>
      <c r="AK359" t="s">
        <v>569</v>
      </c>
      <c r="AL359" t="s">
        <v>1776</v>
      </c>
      <c r="AM359" t="s">
        <v>572</v>
      </c>
      <c r="AN359" t="s">
        <v>1777</v>
      </c>
      <c r="AO359" t="s">
        <v>569</v>
      </c>
      <c r="AP359" t="s">
        <v>1778</v>
      </c>
      <c r="AQ359" t="s">
        <v>572</v>
      </c>
      <c r="AR359" t="s">
        <v>1779</v>
      </c>
      <c r="AS359" t="s">
        <v>572</v>
      </c>
      <c r="AT359">
        <v>85.021117867478097</v>
      </c>
    </row>
    <row r="360" spans="2:56" x14ac:dyDescent="0.25">
      <c r="B360" t="s">
        <v>1780</v>
      </c>
      <c r="C360" t="s">
        <v>4</v>
      </c>
      <c r="D360">
        <v>10.1746532</v>
      </c>
      <c r="E360" t="s">
        <v>5</v>
      </c>
      <c r="F360">
        <v>-323.60535809999999</v>
      </c>
      <c r="G360" t="s">
        <v>189</v>
      </c>
      <c r="H360">
        <v>200</v>
      </c>
      <c r="I360" t="s">
        <v>190</v>
      </c>
      <c r="J360">
        <v>1000000</v>
      </c>
      <c r="K360" t="s">
        <v>191</v>
      </c>
      <c r="L360">
        <v>12345</v>
      </c>
      <c r="M360" t="s">
        <v>192</v>
      </c>
      <c r="N360">
        <v>1E-3</v>
      </c>
      <c r="O360" t="s">
        <v>3</v>
      </c>
      <c r="P360">
        <v>-3505.7732944999998</v>
      </c>
      <c r="Q360" t="s">
        <v>2</v>
      </c>
      <c r="R360">
        <v>33.1105065</v>
      </c>
      <c r="S360" t="s">
        <v>17</v>
      </c>
      <c r="T360">
        <v>58</v>
      </c>
      <c r="U360" t="s">
        <v>0</v>
      </c>
      <c r="V360">
        <v>200</v>
      </c>
      <c r="W360" t="s">
        <v>152</v>
      </c>
      <c r="X360">
        <v>5</v>
      </c>
      <c r="Y360" t="s">
        <v>153</v>
      </c>
      <c r="Z360">
        <v>70</v>
      </c>
      <c r="AA360" t="s">
        <v>151</v>
      </c>
      <c r="AB360">
        <v>83098</v>
      </c>
      <c r="AC360" t="s">
        <v>1</v>
      </c>
      <c r="AD360" t="s">
        <v>1781</v>
      </c>
      <c r="AE360" t="s">
        <v>838</v>
      </c>
      <c r="AF360" t="s">
        <v>1782</v>
      </c>
      <c r="AG360" t="s">
        <v>572</v>
      </c>
      <c r="AH360" t="s">
        <v>1783</v>
      </c>
      <c r="AI360" t="s">
        <v>572</v>
      </c>
      <c r="AJ360" t="s">
        <v>1784</v>
      </c>
      <c r="AK360" t="s">
        <v>569</v>
      </c>
      <c r="AL360" t="s">
        <v>1785</v>
      </c>
      <c r="AM360" t="s">
        <v>569</v>
      </c>
      <c r="AN360" t="s">
        <v>1786</v>
      </c>
      <c r="AO360" t="s">
        <v>572</v>
      </c>
      <c r="AP360" t="s">
        <v>1787</v>
      </c>
      <c r="AQ360" t="s">
        <v>569</v>
      </c>
      <c r="AR360" t="s">
        <v>577</v>
      </c>
      <c r="AS360" t="s">
        <v>572</v>
      </c>
      <c r="AT360" t="s">
        <v>1788</v>
      </c>
      <c r="AU360" t="s">
        <v>572</v>
      </c>
      <c r="AV360" t="s">
        <v>1789</v>
      </c>
      <c r="AW360" t="s">
        <v>572</v>
      </c>
      <c r="AX360" t="s">
        <v>1790</v>
      </c>
    </row>
    <row r="361" spans="2:56" x14ac:dyDescent="0.25">
      <c r="B361" t="s">
        <v>1791</v>
      </c>
      <c r="C361" t="s">
        <v>4</v>
      </c>
      <c r="D361">
        <v>251825505482887</v>
      </c>
      <c r="E361" t="s">
        <v>5</v>
      </c>
      <c r="F361">
        <v>-57389995166.861504</v>
      </c>
      <c r="G361" t="s">
        <v>189</v>
      </c>
      <c r="H361">
        <v>200</v>
      </c>
      <c r="I361" t="s">
        <v>190</v>
      </c>
      <c r="J361">
        <v>1000000</v>
      </c>
      <c r="K361" t="s">
        <v>191</v>
      </c>
      <c r="L361">
        <v>12345</v>
      </c>
      <c r="M361" t="s">
        <v>192</v>
      </c>
      <c r="N361">
        <v>1E-3</v>
      </c>
      <c r="O361" t="s">
        <v>3</v>
      </c>
      <c r="P361">
        <v>-621297086022562</v>
      </c>
      <c r="Q361" t="s">
        <v>2</v>
      </c>
      <c r="R361">
        <v>7074068325392220</v>
      </c>
      <c r="S361" t="s">
        <v>17</v>
      </c>
      <c r="T361">
        <v>101</v>
      </c>
      <c r="U361" t="s">
        <v>0</v>
      </c>
      <c r="V361">
        <v>200.6</v>
      </c>
      <c r="W361" t="s">
        <v>152</v>
      </c>
      <c r="X361">
        <v>1</v>
      </c>
      <c r="Y361" t="s">
        <v>153</v>
      </c>
      <c r="Z361">
        <v>22</v>
      </c>
      <c r="AA361" t="s">
        <v>151</v>
      </c>
      <c r="AB361">
        <v>48952</v>
      </c>
      <c r="AC361" t="s">
        <v>1</v>
      </c>
      <c r="AD361" t="s">
        <v>1792</v>
      </c>
      <c r="AE361" t="s">
        <v>838</v>
      </c>
      <c r="AF361" t="s">
        <v>1793</v>
      </c>
      <c r="AG361" t="s">
        <v>569</v>
      </c>
      <c r="AH361" t="s">
        <v>1794</v>
      </c>
      <c r="AI361" t="s">
        <v>572</v>
      </c>
      <c r="AJ361" t="s">
        <v>1795</v>
      </c>
      <c r="AK361" t="s">
        <v>569</v>
      </c>
      <c r="AL361" t="s">
        <v>1796</v>
      </c>
      <c r="AM361" t="s">
        <v>572</v>
      </c>
      <c r="AN361" t="s">
        <v>762</v>
      </c>
      <c r="AO361" t="s">
        <v>572</v>
      </c>
      <c r="AP361" t="s">
        <v>1797</v>
      </c>
      <c r="AQ361" t="s">
        <v>572</v>
      </c>
      <c r="AR361" t="s">
        <v>1798</v>
      </c>
      <c r="AS361" t="s">
        <v>572</v>
      </c>
      <c r="AT361" t="s">
        <v>1799</v>
      </c>
      <c r="AU361" t="s">
        <v>572</v>
      </c>
      <c r="AV361" t="s">
        <v>1800</v>
      </c>
      <c r="AW361" t="s">
        <v>572</v>
      </c>
      <c r="AX361" t="s">
        <v>1801</v>
      </c>
      <c r="AY361" t="s">
        <v>569</v>
      </c>
      <c r="AZ361" t="s">
        <v>1802</v>
      </c>
      <c r="BA361" t="s">
        <v>569</v>
      </c>
      <c r="BB361" t="s">
        <v>1803</v>
      </c>
      <c r="BC361" t="s">
        <v>572</v>
      </c>
      <c r="BD361">
        <v>391.458405162367</v>
      </c>
    </row>
    <row r="362" spans="2:56" x14ac:dyDescent="0.25">
      <c r="B362" t="s">
        <v>1804</v>
      </c>
      <c r="C362" t="s">
        <v>4</v>
      </c>
      <c r="D362">
        <v>0.96248889999999998</v>
      </c>
      <c r="E362" t="s">
        <v>5</v>
      </c>
      <c r="F362">
        <v>-0.87478929999999999</v>
      </c>
      <c r="G362" t="s">
        <v>189</v>
      </c>
      <c r="H362">
        <v>200</v>
      </c>
      <c r="I362" t="s">
        <v>190</v>
      </c>
      <c r="J362">
        <v>1000000</v>
      </c>
      <c r="K362" t="s">
        <v>191</v>
      </c>
      <c r="L362">
        <v>12345</v>
      </c>
      <c r="M362" t="s">
        <v>192</v>
      </c>
      <c r="N362">
        <v>1E-3</v>
      </c>
      <c r="O362" t="s">
        <v>3</v>
      </c>
      <c r="P362">
        <v>-3.1965588999999999</v>
      </c>
      <c r="Q362" t="s">
        <v>2</v>
      </c>
      <c r="R362">
        <v>1.4179588999999999</v>
      </c>
      <c r="S362" t="s">
        <v>17</v>
      </c>
      <c r="T362">
        <v>30</v>
      </c>
      <c r="U362" t="s">
        <v>0</v>
      </c>
      <c r="V362">
        <v>200.4</v>
      </c>
      <c r="W362" t="s">
        <v>152</v>
      </c>
      <c r="X362">
        <v>8</v>
      </c>
      <c r="Y362" t="s">
        <v>153</v>
      </c>
      <c r="Z362">
        <v>116</v>
      </c>
      <c r="AA362" t="s">
        <v>151</v>
      </c>
      <c r="AB362">
        <v>85268</v>
      </c>
      <c r="AC362" t="s">
        <v>1</v>
      </c>
      <c r="AD362" t="e" cm="1">
        <f t="array" aca="1" ref="AD362" ca="1">-2.4043901706507+(0.9969037254427*COS(X3))+(2.9789179041062*pow((0.5+SIN(X2)),-1))+(0.998751099999*x0)+(-1.0025154448668*X1)+(-0.4938496324297*pow(X2,-0.5))</f>
        <v>#NAME?</v>
      </c>
      <c r="AE362" t="s">
        <v>838</v>
      </c>
      <c r="AF362" t="s">
        <v>1805</v>
      </c>
      <c r="AG362" t="s">
        <v>569</v>
      </c>
      <c r="AH362" t="s">
        <v>1806</v>
      </c>
      <c r="AI362" t="s">
        <v>569</v>
      </c>
      <c r="AJ362" t="s">
        <v>1807</v>
      </c>
      <c r="AK362" t="s">
        <v>572</v>
      </c>
      <c r="AL362" t="s">
        <v>1808</v>
      </c>
      <c r="AM362" t="s">
        <v>572</v>
      </c>
      <c r="AN362" t="s">
        <v>620</v>
      </c>
      <c r="AO362" t="s">
        <v>572</v>
      </c>
      <c r="AP362" t="s">
        <v>1809</v>
      </c>
      <c r="AQ362" t="s">
        <v>569</v>
      </c>
      <c r="AR362">
        <v>2.4043901706507</v>
      </c>
    </row>
    <row r="363" spans="2:56" x14ac:dyDescent="0.25">
      <c r="B363" t="s">
        <v>1810</v>
      </c>
      <c r="C363" t="s">
        <v>4</v>
      </c>
      <c r="D363">
        <v>0.52740370000000003</v>
      </c>
      <c r="E363" t="s">
        <v>5</v>
      </c>
      <c r="F363">
        <v>0.45727259999999997</v>
      </c>
      <c r="G363" t="s">
        <v>189</v>
      </c>
      <c r="H363">
        <v>200</v>
      </c>
      <c r="I363" t="s">
        <v>190</v>
      </c>
      <c r="J363">
        <v>1000000</v>
      </c>
      <c r="K363" t="s">
        <v>191</v>
      </c>
      <c r="L363">
        <v>12345</v>
      </c>
      <c r="M363" t="s">
        <v>192</v>
      </c>
      <c r="N363">
        <v>1E-3</v>
      </c>
      <c r="O363" t="s">
        <v>3</v>
      </c>
      <c r="P363">
        <v>-0.38924829999999999</v>
      </c>
      <c r="Q363" t="s">
        <v>2</v>
      </c>
      <c r="R363">
        <v>0.84298550000000005</v>
      </c>
      <c r="S363" t="s">
        <v>17</v>
      </c>
      <c r="T363">
        <v>49</v>
      </c>
      <c r="U363" t="s">
        <v>0</v>
      </c>
      <c r="V363">
        <v>200.5</v>
      </c>
      <c r="W363" t="s">
        <v>152</v>
      </c>
      <c r="X363">
        <v>2</v>
      </c>
      <c r="Y363" t="s">
        <v>153</v>
      </c>
      <c r="Z363">
        <v>87</v>
      </c>
      <c r="AA363" t="s">
        <v>151</v>
      </c>
      <c r="AB363">
        <v>88382</v>
      </c>
      <c r="AC363" t="s">
        <v>1</v>
      </c>
      <c r="AD363" t="s">
        <v>1811</v>
      </c>
      <c r="AE363" t="s">
        <v>838</v>
      </c>
      <c r="AF363" t="s">
        <v>1812</v>
      </c>
      <c r="AG363" t="s">
        <v>569</v>
      </c>
      <c r="AH363" t="s">
        <v>1813</v>
      </c>
      <c r="AI363" t="s">
        <v>569</v>
      </c>
      <c r="AJ363" t="s">
        <v>1814</v>
      </c>
      <c r="AK363" t="s">
        <v>569</v>
      </c>
      <c r="AL363" t="s">
        <v>1815</v>
      </c>
      <c r="AM363" t="s">
        <v>572</v>
      </c>
      <c r="AN363" t="s">
        <v>1816</v>
      </c>
      <c r="AO363" t="s">
        <v>569</v>
      </c>
      <c r="AP363" t="s">
        <v>1817</v>
      </c>
      <c r="AQ363" t="s">
        <v>572</v>
      </c>
      <c r="AR363" t="s">
        <v>1818</v>
      </c>
      <c r="AS363" t="s">
        <v>572</v>
      </c>
      <c r="AT363" t="s">
        <v>1819</v>
      </c>
      <c r="AU363" t="s">
        <v>572</v>
      </c>
      <c r="AV363">
        <v>2.290993634646</v>
      </c>
    </row>
    <row r="364" spans="2:56" x14ac:dyDescent="0.25">
      <c r="B364" t="s">
        <v>1820</v>
      </c>
      <c r="C364" t="s">
        <v>4</v>
      </c>
      <c r="D364">
        <v>8.7323499999999998E-2</v>
      </c>
      <c r="E364" t="s">
        <v>5</v>
      </c>
      <c r="F364">
        <v>0.91506010000000004</v>
      </c>
      <c r="G364" t="s">
        <v>189</v>
      </c>
      <c r="H364">
        <v>200</v>
      </c>
      <c r="I364" t="s">
        <v>190</v>
      </c>
      <c r="J364">
        <v>1000000</v>
      </c>
      <c r="K364" t="s">
        <v>191</v>
      </c>
      <c r="L364">
        <v>12345</v>
      </c>
      <c r="M364" t="s">
        <v>192</v>
      </c>
      <c r="N364">
        <v>1E-3</v>
      </c>
      <c r="O364" t="s">
        <v>3</v>
      </c>
      <c r="P364">
        <v>0.90574759999999999</v>
      </c>
      <c r="Q364" t="s">
        <v>2</v>
      </c>
      <c r="R364">
        <v>9.14576E-2</v>
      </c>
      <c r="S364" t="s">
        <v>17</v>
      </c>
      <c r="T364">
        <v>45</v>
      </c>
      <c r="U364" t="s">
        <v>0</v>
      </c>
      <c r="V364">
        <v>200.5</v>
      </c>
      <c r="W364" t="s">
        <v>152</v>
      </c>
      <c r="X364">
        <v>6</v>
      </c>
      <c r="Y364" t="s">
        <v>153</v>
      </c>
      <c r="Z364">
        <v>54</v>
      </c>
      <c r="AA364" t="s">
        <v>151</v>
      </c>
      <c r="AB364">
        <v>84198</v>
      </c>
      <c r="AC364" t="s">
        <v>1</v>
      </c>
      <c r="AD364" t="s">
        <v>1821</v>
      </c>
      <c r="AE364" t="s">
        <v>838</v>
      </c>
      <c r="AF364" t="s">
        <v>1822</v>
      </c>
      <c r="AG364" t="s">
        <v>569</v>
      </c>
      <c r="AH364" t="s">
        <v>1823</v>
      </c>
      <c r="AI364" t="s">
        <v>572</v>
      </c>
      <c r="AJ364" t="s">
        <v>1824</v>
      </c>
      <c r="AK364" t="s">
        <v>572</v>
      </c>
      <c r="AL364" t="s">
        <v>1825</v>
      </c>
      <c r="AM364" t="s">
        <v>572</v>
      </c>
      <c r="AN364" t="s">
        <v>1826</v>
      </c>
      <c r="AO364" t="s">
        <v>572</v>
      </c>
      <c r="AP364">
        <v>0.53841040400460005</v>
      </c>
    </row>
    <row r="365" spans="2:56" x14ac:dyDescent="0.25">
      <c r="B365" t="s">
        <v>1827</v>
      </c>
      <c r="C365" t="s">
        <v>4</v>
      </c>
      <c r="D365">
        <v>0</v>
      </c>
      <c r="E365" t="s">
        <v>5</v>
      </c>
      <c r="F365">
        <v>1</v>
      </c>
      <c r="G365" t="s">
        <v>189</v>
      </c>
      <c r="H365">
        <v>200</v>
      </c>
      <c r="I365" t="s">
        <v>190</v>
      </c>
      <c r="J365">
        <v>1000000</v>
      </c>
      <c r="K365" t="s">
        <v>191</v>
      </c>
      <c r="L365">
        <v>12345</v>
      </c>
      <c r="M365" t="s">
        <v>192</v>
      </c>
      <c r="N365">
        <v>1E-3</v>
      </c>
      <c r="O365" t="s">
        <v>3</v>
      </c>
      <c r="P365">
        <v>1</v>
      </c>
      <c r="Q365" t="s">
        <v>2</v>
      </c>
      <c r="R365">
        <v>0</v>
      </c>
      <c r="S365" t="s">
        <v>17</v>
      </c>
      <c r="T365">
        <v>23</v>
      </c>
      <c r="U365" t="s">
        <v>0</v>
      </c>
      <c r="V365">
        <v>15</v>
      </c>
      <c r="W365" t="s">
        <v>152</v>
      </c>
      <c r="X365">
        <v>3</v>
      </c>
      <c r="Y365" t="s">
        <v>153</v>
      </c>
      <c r="Z365">
        <v>11</v>
      </c>
      <c r="AA365" t="s">
        <v>151</v>
      </c>
      <c r="AB365">
        <v>7205</v>
      </c>
      <c r="AC365" t="s">
        <v>1</v>
      </c>
      <c r="AD365" t="s">
        <v>1828</v>
      </c>
      <c r="AE365" t="s">
        <v>838</v>
      </c>
      <c r="AF365" t="s">
        <v>577</v>
      </c>
      <c r="AG365" t="s">
        <v>572</v>
      </c>
      <c r="AH365" t="s">
        <v>1829</v>
      </c>
      <c r="AI365" t="s">
        <v>572</v>
      </c>
      <c r="AJ365" t="s">
        <v>1162</v>
      </c>
      <c r="AK365" t="s">
        <v>569</v>
      </c>
      <c r="AL365" t="s">
        <v>570</v>
      </c>
      <c r="AM365" t="s">
        <v>572</v>
      </c>
      <c r="AN365" t="s">
        <v>1830</v>
      </c>
    </row>
    <row r="366" spans="2:56" x14ac:dyDescent="0.25">
      <c r="B366" t="s">
        <v>1831</v>
      </c>
      <c r="C366" t="s">
        <v>4</v>
      </c>
      <c r="D366">
        <v>29.420669100000001</v>
      </c>
      <c r="E366" t="s">
        <v>5</v>
      </c>
      <c r="F366">
        <v>-7797.8252573999998</v>
      </c>
      <c r="G366" t="s">
        <v>189</v>
      </c>
      <c r="H366">
        <v>200</v>
      </c>
      <c r="I366" t="s">
        <v>190</v>
      </c>
      <c r="J366">
        <v>1000000</v>
      </c>
      <c r="K366" t="s">
        <v>191</v>
      </c>
      <c r="L366">
        <v>12345</v>
      </c>
      <c r="M366" t="s">
        <v>192</v>
      </c>
      <c r="N366">
        <v>1E-3</v>
      </c>
      <c r="O366" t="s">
        <v>3</v>
      </c>
      <c r="P366">
        <v>-10.854623</v>
      </c>
      <c r="Q366" t="s">
        <v>2</v>
      </c>
      <c r="R366">
        <v>1.1546755</v>
      </c>
      <c r="S366" t="s">
        <v>17</v>
      </c>
      <c r="T366">
        <v>40</v>
      </c>
      <c r="U366" t="s">
        <v>0</v>
      </c>
      <c r="V366">
        <v>200.4</v>
      </c>
      <c r="W366" t="s">
        <v>152</v>
      </c>
      <c r="X366">
        <v>5</v>
      </c>
      <c r="Y366" t="s">
        <v>153</v>
      </c>
      <c r="Z366">
        <v>40</v>
      </c>
      <c r="AA366" t="s">
        <v>151</v>
      </c>
      <c r="AB366">
        <v>68508</v>
      </c>
      <c r="AC366" t="s">
        <v>1</v>
      </c>
      <c r="AD366" t="e" cm="1">
        <f t="array" aca="1" ref="AD366" ca="1">-0.3634666925828+(0.4803910619736*pow(X3,0.5))+(-0.2202502894151*X2)+(((0.4023965713025*X1)*EXP((2*x0)))*EXP((-1*X1)))+((((0.0241817088579*X1)*pow(X2,-1))*EXP(X2))*EXP(X4))</f>
        <v>#NAME?</v>
      </c>
      <c r="AE366" t="s">
        <v>838</v>
      </c>
      <c r="AF366" t="s">
        <v>1832</v>
      </c>
      <c r="AG366" t="s">
        <v>572</v>
      </c>
      <c r="AH366" t="s">
        <v>1833</v>
      </c>
      <c r="AI366" t="s">
        <v>572</v>
      </c>
      <c r="AJ366" t="s">
        <v>1834</v>
      </c>
      <c r="AK366" t="s">
        <v>569</v>
      </c>
      <c r="AL366" t="s">
        <v>591</v>
      </c>
      <c r="AM366" t="s">
        <v>569</v>
      </c>
      <c r="AN366" t="s">
        <v>1835</v>
      </c>
      <c r="AO366" t="s">
        <v>572</v>
      </c>
      <c r="AP366" t="s">
        <v>1836</v>
      </c>
      <c r="AQ366" t="s">
        <v>569</v>
      </c>
      <c r="AR366">
        <v>0.36346669258280001</v>
      </c>
    </row>
    <row r="367" spans="2:56" x14ac:dyDescent="0.25">
      <c r="B367" t="s">
        <v>1837</v>
      </c>
      <c r="C367" t="s">
        <v>4</v>
      </c>
      <c r="D367">
        <v>3.1538E-3</v>
      </c>
      <c r="E367" t="s">
        <v>5</v>
      </c>
      <c r="F367">
        <v>0.9997258</v>
      </c>
      <c r="G367" t="s">
        <v>189</v>
      </c>
      <c r="H367">
        <v>200</v>
      </c>
      <c r="I367" t="s">
        <v>190</v>
      </c>
      <c r="J367">
        <v>1000000</v>
      </c>
      <c r="K367" t="s">
        <v>191</v>
      </c>
      <c r="L367">
        <v>12345</v>
      </c>
      <c r="M367" t="s">
        <v>192</v>
      </c>
      <c r="N367">
        <v>1E-3</v>
      </c>
      <c r="O367" t="s">
        <v>3</v>
      </c>
      <c r="P367">
        <v>0.99968869999999999</v>
      </c>
      <c r="Q367" t="s">
        <v>2</v>
      </c>
      <c r="R367">
        <v>3.6096000000000001E-3</v>
      </c>
      <c r="S367" t="s">
        <v>17</v>
      </c>
      <c r="T367">
        <v>30</v>
      </c>
      <c r="U367" t="s">
        <v>0</v>
      </c>
      <c r="V367">
        <v>200.5</v>
      </c>
      <c r="W367" t="s">
        <v>152</v>
      </c>
      <c r="X367">
        <v>8</v>
      </c>
      <c r="Y367" t="s">
        <v>153</v>
      </c>
      <c r="Z367">
        <v>66</v>
      </c>
      <c r="AA367" t="s">
        <v>151</v>
      </c>
      <c r="AB367">
        <v>95769</v>
      </c>
      <c r="AC367" t="s">
        <v>1</v>
      </c>
      <c r="AD367" t="s">
        <v>1838</v>
      </c>
      <c r="AE367" t="s">
        <v>838</v>
      </c>
      <c r="AF367" t="s">
        <v>1839</v>
      </c>
      <c r="AG367" t="s">
        <v>572</v>
      </c>
      <c r="AH367" t="s">
        <v>1840</v>
      </c>
    </row>
    <row r="368" spans="2:56" x14ac:dyDescent="0.25">
      <c r="B368" t="s">
        <v>1841</v>
      </c>
      <c r="C368" t="s">
        <v>4</v>
      </c>
      <c r="D368">
        <v>10794709.6694999</v>
      </c>
      <c r="E368" t="s">
        <v>5</v>
      </c>
      <c r="F368">
        <v>5.5905099999999999E-2</v>
      </c>
      <c r="G368" t="s">
        <v>189</v>
      </c>
      <c r="H368">
        <v>200</v>
      </c>
      <c r="I368" t="s">
        <v>190</v>
      </c>
      <c r="J368">
        <v>1000000</v>
      </c>
      <c r="K368" t="s">
        <v>191</v>
      </c>
      <c r="L368">
        <v>12345</v>
      </c>
      <c r="M368" t="s">
        <v>192</v>
      </c>
      <c r="N368">
        <v>1E-3</v>
      </c>
      <c r="O368" t="s">
        <v>3</v>
      </c>
      <c r="P368">
        <v>-1.3339999999999999E-4</v>
      </c>
      <c r="Q368" t="s">
        <v>2</v>
      </c>
      <c r="R368">
        <v>8.6010125123822192E+69</v>
      </c>
      <c r="S368" t="s">
        <v>17</v>
      </c>
      <c r="T368">
        <v>112</v>
      </c>
      <c r="U368" t="s">
        <v>0</v>
      </c>
      <c r="V368">
        <v>200.2</v>
      </c>
      <c r="W368" t="s">
        <v>152</v>
      </c>
      <c r="X368">
        <v>1</v>
      </c>
      <c r="Y368" t="s">
        <v>153</v>
      </c>
      <c r="Z368">
        <v>24</v>
      </c>
      <c r="AA368" t="s">
        <v>151</v>
      </c>
      <c r="AB368">
        <v>50690</v>
      </c>
      <c r="AC368" t="s">
        <v>1</v>
      </c>
      <c r="AD368" t="s">
        <v>1842</v>
      </c>
      <c r="AE368" t="s">
        <v>838</v>
      </c>
      <c r="AF368" t="s">
        <v>1843</v>
      </c>
      <c r="AG368" t="s">
        <v>572</v>
      </c>
      <c r="AH368" t="s">
        <v>1844</v>
      </c>
      <c r="AI368" t="s">
        <v>572</v>
      </c>
      <c r="AJ368" t="s">
        <v>1845</v>
      </c>
      <c r="AK368" t="s">
        <v>569</v>
      </c>
      <c r="AL368" t="s">
        <v>1846</v>
      </c>
      <c r="AM368" t="s">
        <v>572</v>
      </c>
      <c r="AN368" t="s">
        <v>1847</v>
      </c>
      <c r="AO368" t="s">
        <v>572</v>
      </c>
      <c r="AP368" t="s">
        <v>1848</v>
      </c>
      <c r="AQ368" t="s">
        <v>572</v>
      </c>
      <c r="AR368" t="s">
        <v>1849</v>
      </c>
      <c r="AS368" t="s">
        <v>569</v>
      </c>
      <c r="AT368" t="s">
        <v>1850</v>
      </c>
      <c r="AU368" t="s">
        <v>569</v>
      </c>
      <c r="AV368" t="s">
        <v>1851</v>
      </c>
      <c r="AW368" t="s">
        <v>572</v>
      </c>
      <c r="AX368" t="s">
        <v>1852</v>
      </c>
      <c r="AY368" t="s">
        <v>569</v>
      </c>
      <c r="AZ368" t="s">
        <v>1853</v>
      </c>
      <c r="BA368" t="s">
        <v>572</v>
      </c>
      <c r="BB368" t="s">
        <v>1854</v>
      </c>
    </row>
    <row r="369" spans="2:50" x14ac:dyDescent="0.25">
      <c r="B369" t="s">
        <v>1855</v>
      </c>
      <c r="C369" t="s">
        <v>4</v>
      </c>
      <c r="D369">
        <v>3.6900000000000002E-4</v>
      </c>
      <c r="E369" t="s">
        <v>5</v>
      </c>
      <c r="F369">
        <v>0.99954120000000002</v>
      </c>
      <c r="G369" t="s">
        <v>189</v>
      </c>
      <c r="H369">
        <v>200</v>
      </c>
      <c r="I369" t="s">
        <v>190</v>
      </c>
      <c r="J369">
        <v>1000000</v>
      </c>
      <c r="K369" t="s">
        <v>191</v>
      </c>
      <c r="L369">
        <v>12345</v>
      </c>
      <c r="M369" t="s">
        <v>192</v>
      </c>
      <c r="N369">
        <v>1E-3</v>
      </c>
      <c r="O369" t="s">
        <v>3</v>
      </c>
      <c r="P369">
        <v>0.99954200000000004</v>
      </c>
      <c r="Q369" t="s">
        <v>2</v>
      </c>
      <c r="R369">
        <v>3.5760000000000002E-4</v>
      </c>
      <c r="S369" t="s">
        <v>17</v>
      </c>
      <c r="T369">
        <v>9</v>
      </c>
      <c r="U369" t="s">
        <v>0</v>
      </c>
      <c r="V369">
        <v>200</v>
      </c>
      <c r="W369" t="s">
        <v>152</v>
      </c>
      <c r="X369">
        <v>20</v>
      </c>
      <c r="Y369" t="s">
        <v>153</v>
      </c>
      <c r="Z369">
        <v>589</v>
      </c>
      <c r="AA369" t="s">
        <v>151</v>
      </c>
      <c r="AB369">
        <v>145288</v>
      </c>
      <c r="AC369" t="s">
        <v>1</v>
      </c>
      <c r="AD369" t="e" cm="1">
        <f t="array" aca="1" ref="AD369" ca="1">-1.0002728870782+(0.1568633445436*COS(pow(x0,0.25)))</f>
        <v>#NAME?</v>
      </c>
      <c r="AE369" t="s">
        <v>838</v>
      </c>
      <c r="AF369" t="s">
        <v>1856</v>
      </c>
      <c r="AG369" t="s">
        <v>569</v>
      </c>
      <c r="AH369">
        <v>1.0002728870782001</v>
      </c>
    </row>
    <row r="370" spans="2:50" x14ac:dyDescent="0.25">
      <c r="B370" t="s">
        <v>1857</v>
      </c>
      <c r="C370" t="s">
        <v>4</v>
      </c>
      <c r="D370">
        <v>0.11884749999999999</v>
      </c>
      <c r="E370" t="s">
        <v>5</v>
      </c>
      <c r="F370">
        <v>0.94671360000000004</v>
      </c>
      <c r="G370" t="s">
        <v>189</v>
      </c>
      <c r="H370">
        <v>200</v>
      </c>
      <c r="I370" t="s">
        <v>190</v>
      </c>
      <c r="J370">
        <v>1000000</v>
      </c>
      <c r="K370" t="s">
        <v>191</v>
      </c>
      <c r="L370">
        <v>12345</v>
      </c>
      <c r="M370" t="s">
        <v>192</v>
      </c>
      <c r="N370">
        <v>1E-3</v>
      </c>
      <c r="O370" t="s">
        <v>3</v>
      </c>
      <c r="P370">
        <v>0.12820239999999999</v>
      </c>
      <c r="Q370" t="s">
        <v>2</v>
      </c>
      <c r="R370">
        <v>0.46689370000000002</v>
      </c>
      <c r="S370" t="s">
        <v>17</v>
      </c>
      <c r="T370">
        <v>18</v>
      </c>
      <c r="U370" t="s">
        <v>0</v>
      </c>
      <c r="V370">
        <v>200.1</v>
      </c>
      <c r="W370" t="s">
        <v>152</v>
      </c>
      <c r="X370">
        <v>3</v>
      </c>
      <c r="Y370" t="s">
        <v>153</v>
      </c>
      <c r="Z370">
        <v>210</v>
      </c>
      <c r="AA370" t="s">
        <v>151</v>
      </c>
      <c r="AB370">
        <v>104791</v>
      </c>
      <c r="AC370" t="s">
        <v>1</v>
      </c>
      <c r="AD370" t="s">
        <v>1858</v>
      </c>
      <c r="AE370" t="s">
        <v>838</v>
      </c>
      <c r="AF370" t="s">
        <v>1859</v>
      </c>
      <c r="AG370" t="s">
        <v>572</v>
      </c>
      <c r="AH370">
        <v>0.60496072661110001</v>
      </c>
      <c r="AI370" t="s">
        <v>569</v>
      </c>
      <c r="AJ370" t="s">
        <v>1860</v>
      </c>
    </row>
    <row r="371" spans="2:50" x14ac:dyDescent="0.25">
      <c r="B371" t="s">
        <v>1861</v>
      </c>
      <c r="C371" t="s">
        <v>4</v>
      </c>
      <c r="D371">
        <v>7.6413999999999996E-3</v>
      </c>
      <c r="E371" t="s">
        <v>5</v>
      </c>
      <c r="F371">
        <v>0.99968889999999999</v>
      </c>
      <c r="G371" t="s">
        <v>189</v>
      </c>
      <c r="H371">
        <v>200</v>
      </c>
      <c r="I371" t="s">
        <v>190</v>
      </c>
      <c r="J371">
        <v>1000000</v>
      </c>
      <c r="K371" t="s">
        <v>191</v>
      </c>
      <c r="L371">
        <v>12345</v>
      </c>
      <c r="M371" t="s">
        <v>192</v>
      </c>
      <c r="N371">
        <v>1E-3</v>
      </c>
      <c r="O371" t="s">
        <v>3</v>
      </c>
      <c r="P371">
        <v>0.99968520000000005</v>
      </c>
      <c r="Q371" t="s">
        <v>2</v>
      </c>
      <c r="R371">
        <v>7.7126E-3</v>
      </c>
      <c r="S371" t="s">
        <v>17</v>
      </c>
      <c r="T371">
        <v>11</v>
      </c>
      <c r="U371" t="s">
        <v>0</v>
      </c>
      <c r="V371">
        <v>200.1</v>
      </c>
      <c r="W371" t="s">
        <v>152</v>
      </c>
      <c r="X371">
        <v>11</v>
      </c>
      <c r="Y371" t="s">
        <v>153</v>
      </c>
      <c r="Z371">
        <v>562</v>
      </c>
      <c r="AA371" t="s">
        <v>151</v>
      </c>
      <c r="AB371">
        <v>134496</v>
      </c>
      <c r="AC371" t="s">
        <v>1</v>
      </c>
      <c r="AD371" t="e" cm="1">
        <f t="array" ref="AD371">-3.2413076986585+(3.8647774799039*COS(x0))+(0.3590206297778*x0)</f>
        <v>#NAME?</v>
      </c>
      <c r="AE371" t="s">
        <v>838</v>
      </c>
      <c r="AF371" t="s">
        <v>1862</v>
      </c>
      <c r="AG371" t="s">
        <v>572</v>
      </c>
      <c r="AH371" t="s">
        <v>1863</v>
      </c>
      <c r="AI371" t="s">
        <v>569</v>
      </c>
      <c r="AJ371">
        <v>3.2413076986584999</v>
      </c>
    </row>
    <row r="372" spans="2:50" x14ac:dyDescent="0.25">
      <c r="B372" t="s">
        <v>1864</v>
      </c>
      <c r="C372" t="s">
        <v>4</v>
      </c>
      <c r="D372">
        <v>3.7510000000000001E-4</v>
      </c>
      <c r="E372" t="s">
        <v>5</v>
      </c>
      <c r="F372">
        <v>0.99998450000000005</v>
      </c>
      <c r="G372" t="s">
        <v>189</v>
      </c>
      <c r="H372">
        <v>200</v>
      </c>
      <c r="I372" t="s">
        <v>190</v>
      </c>
      <c r="J372">
        <v>1000000</v>
      </c>
      <c r="K372" t="s">
        <v>191</v>
      </c>
      <c r="L372">
        <v>12345</v>
      </c>
      <c r="M372" t="s">
        <v>192</v>
      </c>
      <c r="N372">
        <v>1E-3</v>
      </c>
      <c r="O372" t="s">
        <v>3</v>
      </c>
      <c r="P372">
        <v>0.99998410000000004</v>
      </c>
      <c r="Q372" t="s">
        <v>2</v>
      </c>
      <c r="R372">
        <v>3.7100000000000002E-4</v>
      </c>
      <c r="S372" t="s">
        <v>17</v>
      </c>
      <c r="T372">
        <v>12</v>
      </c>
      <c r="U372" t="s">
        <v>0</v>
      </c>
      <c r="V372">
        <v>200.1</v>
      </c>
      <c r="W372" t="s">
        <v>152</v>
      </c>
      <c r="X372">
        <v>7</v>
      </c>
      <c r="Y372" t="s">
        <v>153</v>
      </c>
      <c r="Z372">
        <v>548</v>
      </c>
      <c r="AA372" t="s">
        <v>151</v>
      </c>
      <c r="AB372">
        <v>134745</v>
      </c>
      <c r="AC372" t="s">
        <v>1</v>
      </c>
      <c r="AD372" t="e" cm="1">
        <f t="array" aca="1" ref="AD372" ca="1">-0.0029534107543+(0.2886803906594*pow(x0,0.5))+(0.0887880907836*x0)</f>
        <v>#NAME?</v>
      </c>
      <c r="AE372" t="s">
        <v>838</v>
      </c>
      <c r="AF372" t="s">
        <v>1865</v>
      </c>
      <c r="AG372" t="s">
        <v>572</v>
      </c>
      <c r="AH372" t="s">
        <v>1866</v>
      </c>
      <c r="AI372" t="s">
        <v>569</v>
      </c>
      <c r="AJ372">
        <v>2.9534107543000001E-3</v>
      </c>
    </row>
    <row r="373" spans="2:50" x14ac:dyDescent="0.25">
      <c r="B373" t="s">
        <v>1867</v>
      </c>
      <c r="C373" t="s">
        <v>4</v>
      </c>
      <c r="D373">
        <v>0</v>
      </c>
      <c r="E373" t="s">
        <v>5</v>
      </c>
      <c r="F373">
        <v>1</v>
      </c>
      <c r="G373" t="s">
        <v>189</v>
      </c>
      <c r="H373">
        <v>200</v>
      </c>
      <c r="I373" t="s">
        <v>190</v>
      </c>
      <c r="J373">
        <v>1000000</v>
      </c>
      <c r="K373" t="s">
        <v>191</v>
      </c>
      <c r="L373">
        <v>12345</v>
      </c>
      <c r="M373" t="s">
        <v>192</v>
      </c>
      <c r="N373">
        <v>1E-3</v>
      </c>
      <c r="O373" t="s">
        <v>3</v>
      </c>
      <c r="P373">
        <v>1</v>
      </c>
      <c r="Q373" t="s">
        <v>2</v>
      </c>
      <c r="R373">
        <v>0</v>
      </c>
      <c r="S373" t="s">
        <v>17</v>
      </c>
      <c r="T373">
        <v>22</v>
      </c>
      <c r="U373" t="s">
        <v>0</v>
      </c>
      <c r="V373">
        <v>96.3</v>
      </c>
      <c r="W373" t="s">
        <v>152</v>
      </c>
      <c r="X373">
        <v>3</v>
      </c>
      <c r="Y373" t="s">
        <v>153</v>
      </c>
      <c r="Z373">
        <v>58</v>
      </c>
      <c r="AA373" t="s">
        <v>151</v>
      </c>
      <c r="AB373">
        <v>45265</v>
      </c>
      <c r="AC373" t="s">
        <v>1</v>
      </c>
      <c r="AD373" t="s">
        <v>1868</v>
      </c>
      <c r="AE373" t="s">
        <v>838</v>
      </c>
      <c r="AF373" t="s">
        <v>1869</v>
      </c>
      <c r="AG373" t="s">
        <v>572</v>
      </c>
      <c r="AH373" t="s">
        <v>1870</v>
      </c>
      <c r="AI373" t="s">
        <v>572</v>
      </c>
      <c r="AJ373" t="s">
        <v>1871</v>
      </c>
      <c r="AK373" t="s">
        <v>572</v>
      </c>
      <c r="AL373">
        <v>139.048906402721</v>
      </c>
    </row>
    <row r="374" spans="2:50" x14ac:dyDescent="0.25">
      <c r="B374" t="s">
        <v>1872</v>
      </c>
      <c r="C374" t="s">
        <v>4</v>
      </c>
      <c r="D374">
        <v>1.06614E-2</v>
      </c>
      <c r="E374" t="s">
        <v>5</v>
      </c>
      <c r="F374">
        <v>0.99979910000000005</v>
      </c>
      <c r="G374" t="s">
        <v>189</v>
      </c>
      <c r="H374">
        <v>200</v>
      </c>
      <c r="I374" t="s">
        <v>190</v>
      </c>
      <c r="J374">
        <v>1000000</v>
      </c>
      <c r="K374" t="s">
        <v>191</v>
      </c>
      <c r="L374">
        <v>12345</v>
      </c>
      <c r="M374" t="s">
        <v>192</v>
      </c>
      <c r="N374">
        <v>1E-3</v>
      </c>
      <c r="O374" t="s">
        <v>3</v>
      </c>
      <c r="P374">
        <v>0.99978590000000001</v>
      </c>
      <c r="Q374" t="s">
        <v>2</v>
      </c>
      <c r="R374">
        <v>1.0968E-2</v>
      </c>
      <c r="S374" t="s">
        <v>17</v>
      </c>
      <c r="T374">
        <v>25</v>
      </c>
      <c r="U374" t="s">
        <v>0</v>
      </c>
      <c r="V374">
        <v>200.1</v>
      </c>
      <c r="W374" t="s">
        <v>152</v>
      </c>
      <c r="X374">
        <v>8</v>
      </c>
      <c r="Y374" t="s">
        <v>153</v>
      </c>
      <c r="Z374">
        <v>176</v>
      </c>
      <c r="AA374" t="s">
        <v>151</v>
      </c>
      <c r="AB374">
        <v>101480</v>
      </c>
      <c r="AC374" t="s">
        <v>1</v>
      </c>
      <c r="AD374" t="e" cm="1">
        <f t="array" aca="1" ref="AD374" ca="1">-2.8264215718853+(3.3551773294973*EXP(X1))+(1.7053960529911*SIN((x0*pow(COS(X1),2))))+(-0.6066353420974*x0)+(-2.6673293312569*X1)</f>
        <v>#NAME?</v>
      </c>
      <c r="AE374" t="s">
        <v>838</v>
      </c>
      <c r="AF374" t="e" cm="1">
        <f t="array" ref="AF374">-0.6066353420974*x0</f>
        <v>#NAME?</v>
      </c>
      <c r="AG374" t="s">
        <v>569</v>
      </c>
      <c r="AH374" t="s">
        <v>1873</v>
      </c>
      <c r="AI374" t="s">
        <v>572</v>
      </c>
      <c r="AJ374" t="s">
        <v>1874</v>
      </c>
      <c r="AK374" t="s">
        <v>572</v>
      </c>
      <c r="AL374" t="s">
        <v>1875</v>
      </c>
      <c r="AM374" t="s">
        <v>569</v>
      </c>
      <c r="AN374">
        <v>2.8264215718852999</v>
      </c>
    </row>
    <row r="375" spans="2:50" x14ac:dyDescent="0.25">
      <c r="B375" t="s">
        <v>1876</v>
      </c>
      <c r="C375" t="s">
        <v>4</v>
      </c>
      <c r="D375">
        <v>0.13598350000000001</v>
      </c>
      <c r="E375" t="s">
        <v>5</v>
      </c>
      <c r="F375">
        <v>0.87131599999999998</v>
      </c>
      <c r="G375" t="s">
        <v>189</v>
      </c>
      <c r="H375">
        <v>200</v>
      </c>
      <c r="I375" t="s">
        <v>190</v>
      </c>
      <c r="J375">
        <v>1000000</v>
      </c>
      <c r="K375" t="s">
        <v>191</v>
      </c>
      <c r="L375">
        <v>12345</v>
      </c>
      <c r="M375" t="s">
        <v>192</v>
      </c>
      <c r="N375">
        <v>1E-3</v>
      </c>
      <c r="O375" t="s">
        <v>3</v>
      </c>
      <c r="P375">
        <v>0.88307369999999996</v>
      </c>
      <c r="Q375" t="s">
        <v>2</v>
      </c>
      <c r="R375">
        <v>0.13157089999999999</v>
      </c>
      <c r="S375" t="s">
        <v>17</v>
      </c>
      <c r="T375">
        <v>28</v>
      </c>
      <c r="U375" t="s">
        <v>0</v>
      </c>
      <c r="V375">
        <v>200.2</v>
      </c>
      <c r="W375" t="s">
        <v>152</v>
      </c>
      <c r="X375">
        <v>5</v>
      </c>
      <c r="Y375" t="s">
        <v>153</v>
      </c>
      <c r="Z375">
        <v>144</v>
      </c>
      <c r="AA375" t="s">
        <v>151</v>
      </c>
      <c r="AB375">
        <v>93120</v>
      </c>
      <c r="AC375" t="s">
        <v>1</v>
      </c>
      <c r="AD375" t="s">
        <v>1877</v>
      </c>
      <c r="AE375" t="s">
        <v>838</v>
      </c>
      <c r="AF375" t="s">
        <v>1878</v>
      </c>
      <c r="AG375" t="s">
        <v>569</v>
      </c>
      <c r="AH375" t="s">
        <v>1879</v>
      </c>
      <c r="AI375" t="s">
        <v>572</v>
      </c>
      <c r="AJ375" t="s">
        <v>1880</v>
      </c>
      <c r="AK375" t="s">
        <v>569</v>
      </c>
      <c r="AL375" t="s">
        <v>1881</v>
      </c>
      <c r="AM375" t="s">
        <v>572</v>
      </c>
      <c r="AN375">
        <v>4.1256843065125004</v>
      </c>
    </row>
    <row r="376" spans="2:50" x14ac:dyDescent="0.25">
      <c r="B376" t="s">
        <v>1882</v>
      </c>
      <c r="C376" t="s">
        <v>4</v>
      </c>
      <c r="D376">
        <v>2.4685000000000002E-3</v>
      </c>
      <c r="E376" t="s">
        <v>5</v>
      </c>
      <c r="F376">
        <v>0.99868999999999997</v>
      </c>
      <c r="G376" t="s">
        <v>189</v>
      </c>
      <c r="H376">
        <v>200</v>
      </c>
      <c r="I376" t="s">
        <v>190</v>
      </c>
      <c r="J376">
        <v>1000000</v>
      </c>
      <c r="K376" t="s">
        <v>191</v>
      </c>
      <c r="L376">
        <v>12345</v>
      </c>
      <c r="M376" t="s">
        <v>192</v>
      </c>
      <c r="N376">
        <v>1E-3</v>
      </c>
      <c r="O376" t="s">
        <v>3</v>
      </c>
      <c r="P376">
        <v>0.99863769999999996</v>
      </c>
      <c r="Q376" t="s">
        <v>2</v>
      </c>
      <c r="R376">
        <v>2.4650000000000002E-3</v>
      </c>
      <c r="S376" t="s">
        <v>17</v>
      </c>
      <c r="T376">
        <v>11</v>
      </c>
      <c r="U376" t="s">
        <v>0</v>
      </c>
      <c r="V376">
        <v>200.1</v>
      </c>
      <c r="W376" t="s">
        <v>152</v>
      </c>
      <c r="X376">
        <v>6</v>
      </c>
      <c r="Y376" t="s">
        <v>153</v>
      </c>
      <c r="Z376">
        <v>420</v>
      </c>
      <c r="AA376" t="s">
        <v>151</v>
      </c>
      <c r="AB376">
        <v>134008</v>
      </c>
      <c r="AC376" t="s">
        <v>1</v>
      </c>
      <c r="AD376" t="s">
        <v>1883</v>
      </c>
      <c r="AE376" t="s">
        <v>838</v>
      </c>
      <c r="AF376" t="e" cm="1">
        <f t="array" ref="AF376">-0.22481932262*x0</f>
        <v>#NAME?</v>
      </c>
      <c r="AG376" t="s">
        <v>572</v>
      </c>
      <c r="AH376" t="s">
        <v>1884</v>
      </c>
      <c r="AI376" t="s">
        <v>572</v>
      </c>
      <c r="AJ376">
        <v>0.89197843092289997</v>
      </c>
    </row>
    <row r="377" spans="2:50" x14ac:dyDescent="0.25">
      <c r="B377" t="s">
        <v>1885</v>
      </c>
      <c r="C377" t="s">
        <v>4</v>
      </c>
      <c r="D377" s="7">
        <v>5.5000000000000002E-5</v>
      </c>
      <c r="E377" t="s">
        <v>5</v>
      </c>
      <c r="F377">
        <v>1</v>
      </c>
      <c r="G377" t="s">
        <v>189</v>
      </c>
      <c r="H377">
        <v>200</v>
      </c>
      <c r="I377" t="s">
        <v>190</v>
      </c>
      <c r="J377">
        <v>1000000</v>
      </c>
      <c r="K377" t="s">
        <v>191</v>
      </c>
      <c r="L377">
        <v>12345</v>
      </c>
      <c r="M377" t="s">
        <v>192</v>
      </c>
      <c r="N377">
        <v>1E-3</v>
      </c>
      <c r="O377" t="s">
        <v>3</v>
      </c>
      <c r="P377">
        <v>1</v>
      </c>
      <c r="Q377" t="s">
        <v>2</v>
      </c>
      <c r="R377">
        <v>473.15236520000002</v>
      </c>
      <c r="S377" t="s">
        <v>17</v>
      </c>
      <c r="T377">
        <v>28</v>
      </c>
      <c r="U377" t="s">
        <v>0</v>
      </c>
      <c r="V377">
        <v>10.8</v>
      </c>
      <c r="W377" t="s">
        <v>152</v>
      </c>
      <c r="X377">
        <v>2</v>
      </c>
      <c r="Y377" t="s">
        <v>153</v>
      </c>
      <c r="Z377">
        <v>18</v>
      </c>
      <c r="AA377" t="s">
        <v>151</v>
      </c>
      <c r="AB377">
        <v>6054</v>
      </c>
      <c r="AC377" t="s">
        <v>1</v>
      </c>
      <c r="AD377" t="s">
        <v>1886</v>
      </c>
      <c r="AE377" t="s">
        <v>838</v>
      </c>
      <c r="AF377" t="s">
        <v>1887</v>
      </c>
      <c r="AG377" t="s">
        <v>572</v>
      </c>
      <c r="AH377" t="s">
        <v>1888</v>
      </c>
      <c r="AI377" t="s">
        <v>569</v>
      </c>
      <c r="AJ377" t="s">
        <v>1889</v>
      </c>
      <c r="AK377" t="s">
        <v>569</v>
      </c>
      <c r="AL377" t="s">
        <v>1890</v>
      </c>
      <c r="AM377" t="s">
        <v>572</v>
      </c>
      <c r="AN377">
        <v>3.1415926525368998</v>
      </c>
    </row>
    <row r="378" spans="2:50" x14ac:dyDescent="0.25">
      <c r="B378" t="s">
        <v>1891</v>
      </c>
      <c r="C378" t="s">
        <v>4</v>
      </c>
      <c r="D378">
        <v>6.6714000000000001E-3</v>
      </c>
      <c r="E378" t="s">
        <v>5</v>
      </c>
      <c r="F378">
        <v>0.99616179999999999</v>
      </c>
      <c r="G378" t="s">
        <v>189</v>
      </c>
      <c r="H378">
        <v>200</v>
      </c>
      <c r="I378" t="s">
        <v>190</v>
      </c>
      <c r="J378">
        <v>1000000</v>
      </c>
      <c r="K378" t="s">
        <v>191</v>
      </c>
      <c r="L378">
        <v>12345</v>
      </c>
      <c r="M378" t="s">
        <v>192</v>
      </c>
      <c r="N378">
        <v>1E-3</v>
      </c>
      <c r="O378" t="s">
        <v>3</v>
      </c>
      <c r="P378">
        <v>0.99612829999999997</v>
      </c>
      <c r="Q378" t="s">
        <v>2</v>
      </c>
      <c r="R378">
        <v>6.5485999999999999E-3</v>
      </c>
      <c r="S378" t="s">
        <v>17</v>
      </c>
      <c r="T378">
        <v>29</v>
      </c>
      <c r="U378" t="s">
        <v>0</v>
      </c>
      <c r="V378">
        <v>200.1</v>
      </c>
      <c r="W378" t="s">
        <v>152</v>
      </c>
      <c r="X378">
        <v>7</v>
      </c>
      <c r="Y378" t="s">
        <v>153</v>
      </c>
      <c r="Z378">
        <v>247</v>
      </c>
      <c r="AA378" t="s">
        <v>151</v>
      </c>
      <c r="AB378">
        <v>113977</v>
      </c>
      <c r="AC378" t="s">
        <v>1</v>
      </c>
      <c r="AD378" t="e" cm="1">
        <f t="array" aca="1" ref="AD378" ca="1">-18.3561750036447+(9.004307553305*pow(X1,2))+(19.261764389745*COS(X1))+(-0.3377244836841*X1)+(-0.0485114454052*x0)+((-0.1576360064057*x0)*LOG(COS(X1)))</f>
        <v>#NAME?</v>
      </c>
      <c r="AE378" t="s">
        <v>838</v>
      </c>
      <c r="AF378" t="e" cm="1">
        <f t="array" ref="AF378">-0.1576360064057*x0*LOG(COS(X1))</f>
        <v>#NAME?</v>
      </c>
      <c r="AG378" t="s">
        <v>569</v>
      </c>
      <c r="AH378" t="s">
        <v>1892</v>
      </c>
      <c r="AI378" t="s">
        <v>569</v>
      </c>
      <c r="AJ378" t="s">
        <v>1893</v>
      </c>
      <c r="AK378" t="s">
        <v>572</v>
      </c>
      <c r="AL378" t="s">
        <v>1894</v>
      </c>
      <c r="AM378" t="s">
        <v>572</v>
      </c>
      <c r="AN378" t="s">
        <v>1895</v>
      </c>
      <c r="AO378" t="s">
        <v>569</v>
      </c>
      <c r="AP378">
        <v>18.356175003644701</v>
      </c>
    </row>
    <row r="379" spans="2:50" x14ac:dyDescent="0.25">
      <c r="B379" t="s">
        <v>1896</v>
      </c>
      <c r="C379" t="s">
        <v>4</v>
      </c>
      <c r="D379">
        <v>7.5621000000000004E-3</v>
      </c>
      <c r="E379" t="s">
        <v>5</v>
      </c>
      <c r="F379">
        <v>0.99997150000000001</v>
      </c>
      <c r="G379" t="s">
        <v>189</v>
      </c>
      <c r="H379">
        <v>200</v>
      </c>
      <c r="I379" t="s">
        <v>190</v>
      </c>
      <c r="J379">
        <v>1000000</v>
      </c>
      <c r="K379" t="s">
        <v>191</v>
      </c>
      <c r="L379">
        <v>12345</v>
      </c>
      <c r="M379" t="s">
        <v>192</v>
      </c>
      <c r="N379">
        <v>1E-3</v>
      </c>
      <c r="O379" t="s">
        <v>3</v>
      </c>
      <c r="P379">
        <v>0.99997029999999998</v>
      </c>
      <c r="Q379" t="s">
        <v>2</v>
      </c>
      <c r="R379">
        <v>7.9073000000000008E-3</v>
      </c>
      <c r="S379" t="s">
        <v>17</v>
      </c>
      <c r="T379">
        <v>29</v>
      </c>
      <c r="U379" t="s">
        <v>0</v>
      </c>
      <c r="V379">
        <v>200.2</v>
      </c>
      <c r="W379" t="s">
        <v>152</v>
      </c>
      <c r="X379">
        <v>7</v>
      </c>
      <c r="Y379" t="s">
        <v>153</v>
      </c>
      <c r="Z379">
        <v>128</v>
      </c>
      <c r="AA379" t="s">
        <v>151</v>
      </c>
      <c r="AB379">
        <v>88975</v>
      </c>
      <c r="AC379" t="s">
        <v>1</v>
      </c>
      <c r="AD379" t="s">
        <v>1897</v>
      </c>
      <c r="AE379" t="s">
        <v>838</v>
      </c>
      <c r="AF379" t="s">
        <v>1898</v>
      </c>
      <c r="AG379" t="s">
        <v>572</v>
      </c>
      <c r="AH379" t="s">
        <v>1899</v>
      </c>
      <c r="AI379" t="s">
        <v>569</v>
      </c>
      <c r="AJ379" t="s">
        <v>1900</v>
      </c>
      <c r="AK379" t="s">
        <v>572</v>
      </c>
      <c r="AL379" t="s">
        <v>1901</v>
      </c>
      <c r="AM379" t="s">
        <v>569</v>
      </c>
      <c r="AN379" t="s">
        <v>1902</v>
      </c>
      <c r="AO379" t="s">
        <v>572</v>
      </c>
      <c r="AP379">
        <v>1.0110033843544</v>
      </c>
    </row>
    <row r="380" spans="2:50" x14ac:dyDescent="0.25">
      <c r="B380" t="s">
        <v>1903</v>
      </c>
      <c r="C380" t="s">
        <v>4</v>
      </c>
      <c r="D380">
        <v>10608.0136752</v>
      </c>
      <c r="E380" t="s">
        <v>5</v>
      </c>
      <c r="F380">
        <v>-274689218087.45099</v>
      </c>
      <c r="G380" t="s">
        <v>189</v>
      </c>
      <c r="H380">
        <v>200</v>
      </c>
      <c r="I380" t="s">
        <v>190</v>
      </c>
      <c r="J380">
        <v>1000000</v>
      </c>
      <c r="K380" t="s">
        <v>191</v>
      </c>
      <c r="L380">
        <v>12345</v>
      </c>
      <c r="M380" t="s">
        <v>192</v>
      </c>
      <c r="N380">
        <v>1E-3</v>
      </c>
      <c r="O380" t="s">
        <v>3</v>
      </c>
      <c r="P380">
        <v>-715902950834.26294</v>
      </c>
      <c r="Q380" t="s">
        <v>2</v>
      </c>
      <c r="R380">
        <v>10603.884060599999</v>
      </c>
      <c r="S380" t="s">
        <v>17</v>
      </c>
      <c r="T380">
        <v>12</v>
      </c>
      <c r="U380" t="s">
        <v>0</v>
      </c>
      <c r="V380">
        <v>200.1</v>
      </c>
      <c r="W380" t="s">
        <v>152</v>
      </c>
      <c r="X380">
        <v>6</v>
      </c>
      <c r="Y380" t="s">
        <v>153</v>
      </c>
      <c r="Z380">
        <v>339</v>
      </c>
      <c r="AA380" t="s">
        <v>151</v>
      </c>
      <c r="AB380">
        <v>124321</v>
      </c>
      <c r="AC380" t="s">
        <v>1</v>
      </c>
      <c r="AD380" t="s">
        <v>1904</v>
      </c>
      <c r="AE380" t="s">
        <v>838</v>
      </c>
      <c r="AF380" t="s">
        <v>1905</v>
      </c>
      <c r="AG380" t="s">
        <v>572</v>
      </c>
      <c r="AH380" t="s">
        <v>1906</v>
      </c>
    </row>
    <row r="381" spans="2:50" x14ac:dyDescent="0.25">
      <c r="B381" t="s">
        <v>1907</v>
      </c>
      <c r="C381" t="s">
        <v>4</v>
      </c>
      <c r="D381">
        <v>13.7463339</v>
      </c>
      <c r="E381" t="s">
        <v>5</v>
      </c>
      <c r="F381">
        <v>-5.1151616000000004</v>
      </c>
      <c r="G381" t="s">
        <v>189</v>
      </c>
      <c r="H381">
        <v>200</v>
      </c>
      <c r="I381" t="s">
        <v>190</v>
      </c>
      <c r="J381">
        <v>1000000</v>
      </c>
      <c r="K381" t="s">
        <v>191</v>
      </c>
      <c r="L381">
        <v>12345</v>
      </c>
      <c r="M381" t="s">
        <v>192</v>
      </c>
      <c r="N381">
        <v>1E-3</v>
      </c>
      <c r="O381" t="s">
        <v>3</v>
      </c>
      <c r="P381">
        <v>-8.5128239000000008</v>
      </c>
      <c r="Q381" t="s">
        <v>2</v>
      </c>
      <c r="R381">
        <v>17.875449199999998</v>
      </c>
      <c r="S381" t="s">
        <v>17</v>
      </c>
      <c r="T381">
        <v>51</v>
      </c>
      <c r="U381" t="s">
        <v>0</v>
      </c>
      <c r="V381">
        <v>200.6</v>
      </c>
      <c r="W381" t="s">
        <v>152</v>
      </c>
      <c r="X381">
        <v>2</v>
      </c>
      <c r="Y381" t="s">
        <v>153</v>
      </c>
      <c r="Z381">
        <v>65</v>
      </c>
      <c r="AA381" t="s">
        <v>151</v>
      </c>
      <c r="AB381">
        <v>66356</v>
      </c>
      <c r="AC381" t="s">
        <v>1</v>
      </c>
      <c r="AD381" t="e" cm="1">
        <f t="array" aca="1" ref="AD381" ca="1">-4.6455201732414+(0.7580588127012*pow((x0+X1),-1))+(0.7208087554738*LOG(pow(X2,-1)))+(1.8622815681106*x0)+(-5.7204967969727*LOG(x0))+(-2.8328599696449*X2)+((0.6877627824643*X1)*LOG(x0))+((1.7761294020282*X1)*X2)+((-0.0170957577166*x0)*pow(X1,-1))</f>
        <v>#NAME?</v>
      </c>
      <c r="AE381" t="s">
        <v>838</v>
      </c>
      <c r="AF381" t="s">
        <v>1908</v>
      </c>
      <c r="AG381" t="s">
        <v>572</v>
      </c>
      <c r="AH381" t="s">
        <v>1909</v>
      </c>
      <c r="AI381" t="s">
        <v>572</v>
      </c>
      <c r="AJ381" t="s">
        <v>1910</v>
      </c>
      <c r="AK381" t="s">
        <v>572</v>
      </c>
      <c r="AL381" t="s">
        <v>1911</v>
      </c>
      <c r="AM381" t="s">
        <v>569</v>
      </c>
      <c r="AN381" t="s">
        <v>1912</v>
      </c>
      <c r="AO381" t="s">
        <v>572</v>
      </c>
      <c r="AP381" t="s">
        <v>1913</v>
      </c>
      <c r="AQ381" t="s">
        <v>572</v>
      </c>
      <c r="AR381" t="s">
        <v>614</v>
      </c>
      <c r="AS381" t="s">
        <v>569</v>
      </c>
      <c r="AT381" t="s">
        <v>1914</v>
      </c>
      <c r="AU381" t="s">
        <v>572</v>
      </c>
      <c r="AV381" t="s">
        <v>1915</v>
      </c>
      <c r="AW381" t="s">
        <v>569</v>
      </c>
      <c r="AX381">
        <v>4.6455201732414002</v>
      </c>
    </row>
    <row r="382" spans="2:50" x14ac:dyDescent="0.25">
      <c r="B382" t="s">
        <v>1916</v>
      </c>
      <c r="C382" t="s">
        <v>4</v>
      </c>
      <c r="D382">
        <v>9.5125999999999995E-3</v>
      </c>
      <c r="E382" t="s">
        <v>5</v>
      </c>
      <c r="F382">
        <v>0.99968480000000004</v>
      </c>
      <c r="G382" t="s">
        <v>189</v>
      </c>
      <c r="H382">
        <v>200</v>
      </c>
      <c r="I382" t="s">
        <v>190</v>
      </c>
      <c r="J382">
        <v>1000000</v>
      </c>
      <c r="K382" t="s">
        <v>191</v>
      </c>
      <c r="L382">
        <v>12345</v>
      </c>
      <c r="M382" t="s">
        <v>192</v>
      </c>
      <c r="N382">
        <v>1E-3</v>
      </c>
      <c r="O382" t="s">
        <v>3</v>
      </c>
      <c r="P382">
        <v>0.99969830000000004</v>
      </c>
      <c r="Q382" t="s">
        <v>2</v>
      </c>
      <c r="R382">
        <v>9.3784000000000003E-3</v>
      </c>
      <c r="S382" t="s">
        <v>17</v>
      </c>
      <c r="T382">
        <v>22</v>
      </c>
      <c r="U382" t="s">
        <v>0</v>
      </c>
      <c r="V382">
        <v>200.1</v>
      </c>
      <c r="W382" t="s">
        <v>152</v>
      </c>
      <c r="X382">
        <v>5</v>
      </c>
      <c r="Y382" t="s">
        <v>153</v>
      </c>
      <c r="Z382">
        <v>210</v>
      </c>
      <c r="AA382" t="s">
        <v>151</v>
      </c>
      <c r="AB382">
        <v>106035</v>
      </c>
      <c r="AC382" t="s">
        <v>1</v>
      </c>
      <c r="AD382" t="e" cm="1">
        <f t="array" ref="AD382">-1.3075846439329+(1.0014751551752*COS(x0))+(1.6993098468356*X2)+(-0.5464623283174*COS(X1))+((0.1373552497337*X1)*X2)</f>
        <v>#NAME?</v>
      </c>
      <c r="AE382" t="s">
        <v>838</v>
      </c>
      <c r="AF382" t="s">
        <v>1917</v>
      </c>
      <c r="AG382" t="s">
        <v>572</v>
      </c>
      <c r="AH382" t="s">
        <v>1918</v>
      </c>
      <c r="AI382" t="s">
        <v>572</v>
      </c>
      <c r="AJ382" t="s">
        <v>1919</v>
      </c>
      <c r="AK382" t="s">
        <v>569</v>
      </c>
      <c r="AL382" t="s">
        <v>1920</v>
      </c>
      <c r="AM382" t="s">
        <v>569</v>
      </c>
      <c r="AN382">
        <v>1.3075846439329</v>
      </c>
    </row>
    <row r="383" spans="2:50" x14ac:dyDescent="0.25">
      <c r="B383" t="s">
        <v>1921</v>
      </c>
      <c r="C383" t="s">
        <v>4</v>
      </c>
      <c r="D383">
        <v>0.3382539</v>
      </c>
      <c r="E383" t="s">
        <v>5</v>
      </c>
      <c r="F383">
        <v>0.74388520000000002</v>
      </c>
      <c r="G383" t="s">
        <v>189</v>
      </c>
      <c r="H383">
        <v>200</v>
      </c>
      <c r="I383" t="s">
        <v>190</v>
      </c>
      <c r="J383">
        <v>1000000</v>
      </c>
      <c r="K383" t="s">
        <v>191</v>
      </c>
      <c r="L383">
        <v>12345</v>
      </c>
      <c r="M383" t="s">
        <v>192</v>
      </c>
      <c r="N383">
        <v>1E-3</v>
      </c>
      <c r="O383" t="s">
        <v>3</v>
      </c>
      <c r="P383">
        <v>0.76383009999999996</v>
      </c>
      <c r="Q383" t="s">
        <v>2</v>
      </c>
      <c r="R383">
        <v>0.31958130000000001</v>
      </c>
      <c r="S383" t="s">
        <v>17</v>
      </c>
      <c r="T383">
        <v>52</v>
      </c>
      <c r="U383" t="s">
        <v>0</v>
      </c>
      <c r="V383">
        <v>200.6</v>
      </c>
      <c r="W383" t="s">
        <v>152</v>
      </c>
      <c r="X383">
        <v>5</v>
      </c>
      <c r="Y383" t="s">
        <v>153</v>
      </c>
      <c r="Z383">
        <v>96</v>
      </c>
      <c r="AA383" t="s">
        <v>151</v>
      </c>
      <c r="AB383">
        <v>88720</v>
      </c>
      <c r="AC383" t="s">
        <v>1</v>
      </c>
      <c r="AD383" t="e" cm="1">
        <f t="array" aca="1" ref="AD383" ca="1">-0.2012227848163+(0.1732937584124*LOG(X2))+(0.6958601950816*COS(((x0+(x0*X2))+(X2*pow(X1,-0.5)))))+((1.3825596249015*pow(X1,(-1*LOG(X1))))*pow((X1*pow(x0,-1)),(((-1*x0)*pow(X1,-1))*LOG((X1*pow(x0,-1))))))</f>
        <v>#NAME?</v>
      </c>
      <c r="AE383" t="s">
        <v>838</v>
      </c>
      <c r="AF383" t="s">
        <v>1922</v>
      </c>
      <c r="AG383" t="s">
        <v>572</v>
      </c>
      <c r="AH383" t="s">
        <v>1923</v>
      </c>
      <c r="AI383" t="s">
        <v>572</v>
      </c>
      <c r="AJ383" t="s">
        <v>1499</v>
      </c>
      <c r="AK383" t="s">
        <v>572</v>
      </c>
      <c r="AL383" t="s">
        <v>1924</v>
      </c>
      <c r="AM383" t="s">
        <v>569</v>
      </c>
      <c r="AN383">
        <v>0.20122278481629999</v>
      </c>
      <c r="AO383" t="s">
        <v>572</v>
      </c>
      <c r="AP383" t="s">
        <v>1925</v>
      </c>
    </row>
    <row r="384" spans="2:50" x14ac:dyDescent="0.25">
      <c r="B384" t="s">
        <v>1926</v>
      </c>
      <c r="C384" t="s">
        <v>4</v>
      </c>
      <c r="D384">
        <v>3132.9104686000001</v>
      </c>
      <c r="E384" t="s">
        <v>5</v>
      </c>
      <c r="F384">
        <v>0.99723720000000005</v>
      </c>
      <c r="G384" t="s">
        <v>189</v>
      </c>
      <c r="H384">
        <v>200</v>
      </c>
      <c r="I384" t="s">
        <v>190</v>
      </c>
      <c r="J384">
        <v>1000000</v>
      </c>
      <c r="K384" t="s">
        <v>191</v>
      </c>
      <c r="L384">
        <v>12345</v>
      </c>
      <c r="M384" t="s">
        <v>192</v>
      </c>
      <c r="N384">
        <v>1E-3</v>
      </c>
      <c r="O384" t="s">
        <v>3</v>
      </c>
      <c r="P384">
        <v>0.98636140000000005</v>
      </c>
      <c r="Q384" t="s">
        <v>2</v>
      </c>
      <c r="R384">
        <v>101.43416759999999</v>
      </c>
      <c r="S384" t="s">
        <v>17</v>
      </c>
      <c r="T384">
        <v>112</v>
      </c>
      <c r="U384" t="s">
        <v>0</v>
      </c>
      <c r="V384">
        <v>200.2</v>
      </c>
      <c r="W384" t="s">
        <v>152</v>
      </c>
      <c r="X384">
        <v>1</v>
      </c>
      <c r="Y384" t="s">
        <v>153</v>
      </c>
      <c r="Z384">
        <v>18</v>
      </c>
      <c r="AA384" t="s">
        <v>151</v>
      </c>
      <c r="AB384">
        <v>46569</v>
      </c>
      <c r="AC384" t="s">
        <v>1</v>
      </c>
      <c r="AD384" t="s">
        <v>1927</v>
      </c>
      <c r="AE384" t="s">
        <v>838</v>
      </c>
      <c r="AF384" t="e" cm="1">
        <f t="array" ref="AF384">-14.5784679607529*x0*X2*EXP(x0)</f>
        <v>#NAME?</v>
      </c>
      <c r="AG384" t="s">
        <v>572</v>
      </c>
      <c r="AH384" t="s">
        <v>1928</v>
      </c>
      <c r="AI384" t="s">
        <v>572</v>
      </c>
      <c r="AJ384" t="s">
        <v>1929</v>
      </c>
      <c r="AK384" t="s">
        <v>569</v>
      </c>
      <c r="AL384" t="s">
        <v>1930</v>
      </c>
      <c r="AM384" t="s">
        <v>569</v>
      </c>
      <c r="AN384" t="s">
        <v>1931</v>
      </c>
      <c r="AO384" t="s">
        <v>569</v>
      </c>
      <c r="AP384" t="s">
        <v>1932</v>
      </c>
      <c r="AQ384" t="s">
        <v>572</v>
      </c>
      <c r="AR384" t="s">
        <v>1933</v>
      </c>
      <c r="AS384" t="s">
        <v>569</v>
      </c>
      <c r="AT384" t="s">
        <v>1934</v>
      </c>
      <c r="AU384" t="s">
        <v>572</v>
      </c>
      <c r="AV384" t="s">
        <v>1935</v>
      </c>
      <c r="AW384" t="s">
        <v>569</v>
      </c>
      <c r="AX384" t="s">
        <v>1936</v>
      </c>
    </row>
    <row r="385" spans="2:52" x14ac:dyDescent="0.25">
      <c r="B385" t="s">
        <v>1937</v>
      </c>
      <c r="C385" t="s">
        <v>4</v>
      </c>
      <c r="D385">
        <v>1.8673834</v>
      </c>
      <c r="E385" t="s">
        <v>5</v>
      </c>
      <c r="F385">
        <v>0.96861569999999997</v>
      </c>
      <c r="G385" t="s">
        <v>189</v>
      </c>
      <c r="H385">
        <v>200</v>
      </c>
      <c r="I385" t="s">
        <v>190</v>
      </c>
      <c r="J385">
        <v>1000000</v>
      </c>
      <c r="K385" t="s">
        <v>191</v>
      </c>
      <c r="L385">
        <v>12345</v>
      </c>
      <c r="M385" t="s">
        <v>192</v>
      </c>
      <c r="N385">
        <v>1E-3</v>
      </c>
      <c r="O385" t="s">
        <v>3</v>
      </c>
      <c r="P385">
        <v>0.96997719999999998</v>
      </c>
      <c r="Q385" t="s">
        <v>2</v>
      </c>
      <c r="R385">
        <v>1.9001473</v>
      </c>
      <c r="S385" t="s">
        <v>17</v>
      </c>
      <c r="T385">
        <v>60</v>
      </c>
      <c r="U385" t="s">
        <v>0</v>
      </c>
      <c r="V385">
        <v>201.2</v>
      </c>
      <c r="W385" t="s">
        <v>152</v>
      </c>
      <c r="X385">
        <v>5</v>
      </c>
      <c r="Y385" t="s">
        <v>153</v>
      </c>
      <c r="Z385">
        <v>39</v>
      </c>
      <c r="AA385" t="s">
        <v>151</v>
      </c>
      <c r="AB385">
        <v>62106</v>
      </c>
      <c r="AC385" t="s">
        <v>1</v>
      </c>
      <c r="AD385" t="s">
        <v>1938</v>
      </c>
      <c r="AE385" t="s">
        <v>838</v>
      </c>
      <c r="AF385" t="s">
        <v>1939</v>
      </c>
      <c r="AG385" t="s">
        <v>572</v>
      </c>
      <c r="AH385" t="s">
        <v>1324</v>
      </c>
      <c r="AI385" t="s">
        <v>569</v>
      </c>
      <c r="AJ385" t="s">
        <v>1940</v>
      </c>
      <c r="AK385" t="s">
        <v>569</v>
      </c>
      <c r="AL385" t="s">
        <v>1941</v>
      </c>
      <c r="AM385" t="s">
        <v>572</v>
      </c>
      <c r="AN385" t="s">
        <v>1942</v>
      </c>
      <c r="AO385" t="s">
        <v>572</v>
      </c>
      <c r="AP385" t="s">
        <v>1943</v>
      </c>
      <c r="AQ385" t="s">
        <v>572</v>
      </c>
      <c r="AR385" t="s">
        <v>1944</v>
      </c>
      <c r="AS385" t="s">
        <v>569</v>
      </c>
      <c r="AT385" t="s">
        <v>1945</v>
      </c>
      <c r="AU385" t="s">
        <v>572</v>
      </c>
      <c r="AV385" t="s">
        <v>1946</v>
      </c>
      <c r="AW385" t="s">
        <v>572</v>
      </c>
      <c r="AX385">
        <v>6.2752608284014997</v>
      </c>
    </row>
    <row r="386" spans="2:52" x14ac:dyDescent="0.25">
      <c r="B386" t="s">
        <v>1947</v>
      </c>
      <c r="C386" t="s">
        <v>4</v>
      </c>
      <c r="D386">
        <v>0</v>
      </c>
      <c r="E386" t="s">
        <v>5</v>
      </c>
      <c r="F386">
        <v>1</v>
      </c>
      <c r="G386" t="s">
        <v>189</v>
      </c>
      <c r="H386">
        <v>200</v>
      </c>
      <c r="I386" t="s">
        <v>190</v>
      </c>
      <c r="J386">
        <v>1000000</v>
      </c>
      <c r="K386" t="s">
        <v>191</v>
      </c>
      <c r="L386">
        <v>12345</v>
      </c>
      <c r="M386" t="s">
        <v>192</v>
      </c>
      <c r="N386">
        <v>1E-3</v>
      </c>
      <c r="O386" t="s">
        <v>3</v>
      </c>
      <c r="P386">
        <v>1</v>
      </c>
      <c r="Q386" t="s">
        <v>2</v>
      </c>
      <c r="R386">
        <v>0</v>
      </c>
      <c r="S386" t="s">
        <v>17</v>
      </c>
      <c r="T386">
        <v>17</v>
      </c>
      <c r="U386" t="s">
        <v>0</v>
      </c>
      <c r="V386">
        <v>47.7</v>
      </c>
      <c r="W386" t="s">
        <v>152</v>
      </c>
      <c r="X386">
        <v>3</v>
      </c>
      <c r="Y386" t="s">
        <v>153</v>
      </c>
      <c r="Z386">
        <v>40</v>
      </c>
      <c r="AA386" t="s">
        <v>151</v>
      </c>
      <c r="AB386">
        <v>25167</v>
      </c>
      <c r="AC386" t="s">
        <v>1</v>
      </c>
      <c r="AD386" t="s">
        <v>1948</v>
      </c>
      <c r="AE386" t="s">
        <v>838</v>
      </c>
      <c r="AF386">
        <f>-1*X2*X3</f>
        <v>-487200</v>
      </c>
      <c r="AG386" t="s">
        <v>569</v>
      </c>
      <c r="AH386" t="s">
        <v>1949</v>
      </c>
      <c r="AI386" t="s">
        <v>572</v>
      </c>
      <c r="AJ386" t="s">
        <v>1950</v>
      </c>
    </row>
    <row r="387" spans="2:52" x14ac:dyDescent="0.25">
      <c r="B387" t="s">
        <v>1951</v>
      </c>
      <c r="C387" t="s">
        <v>4</v>
      </c>
      <c r="D387">
        <v>0</v>
      </c>
      <c r="E387" t="s">
        <v>5</v>
      </c>
      <c r="F387">
        <v>1</v>
      </c>
      <c r="G387" t="s">
        <v>189</v>
      </c>
      <c r="H387">
        <v>200</v>
      </c>
      <c r="I387" t="s">
        <v>190</v>
      </c>
      <c r="J387">
        <v>1000000</v>
      </c>
      <c r="K387" t="s">
        <v>191</v>
      </c>
      <c r="L387">
        <v>12345</v>
      </c>
      <c r="M387" t="s">
        <v>192</v>
      </c>
      <c r="N387">
        <v>1E-3</v>
      </c>
      <c r="O387" t="s">
        <v>3</v>
      </c>
      <c r="P387">
        <v>1</v>
      </c>
      <c r="Q387" t="s">
        <v>2</v>
      </c>
      <c r="R387">
        <v>0</v>
      </c>
      <c r="S387" t="s">
        <v>17</v>
      </c>
      <c r="T387">
        <v>19</v>
      </c>
      <c r="U387" t="s">
        <v>0</v>
      </c>
      <c r="V387">
        <v>15</v>
      </c>
      <c r="W387" t="s">
        <v>152</v>
      </c>
      <c r="X387">
        <v>3</v>
      </c>
      <c r="Y387" t="s">
        <v>153</v>
      </c>
      <c r="Z387">
        <v>20</v>
      </c>
      <c r="AA387" t="s">
        <v>151</v>
      </c>
      <c r="AB387">
        <v>9353</v>
      </c>
      <c r="AC387" t="s">
        <v>1</v>
      </c>
      <c r="AD387" t="s">
        <v>1952</v>
      </c>
      <c r="AE387" t="s">
        <v>838</v>
      </c>
      <c r="AF387" t="e" cm="1">
        <f t="array" ref="AF387">-1*x0*X2</f>
        <v>#NAME?</v>
      </c>
      <c r="AG387" t="s">
        <v>572</v>
      </c>
      <c r="AH387" t="s">
        <v>1953</v>
      </c>
      <c r="AI387" t="s">
        <v>569</v>
      </c>
      <c r="AJ387" t="s">
        <v>1954</v>
      </c>
    </row>
    <row r="388" spans="2:52" x14ac:dyDescent="0.25">
      <c r="B388" t="s">
        <v>1955</v>
      </c>
      <c r="C388" t="s">
        <v>4</v>
      </c>
      <c r="D388">
        <v>0</v>
      </c>
      <c r="E388" t="s">
        <v>5</v>
      </c>
      <c r="F388">
        <v>1</v>
      </c>
      <c r="G388" t="s">
        <v>189</v>
      </c>
      <c r="H388">
        <v>200</v>
      </c>
      <c r="I388" t="s">
        <v>190</v>
      </c>
      <c r="J388">
        <v>1000000</v>
      </c>
      <c r="K388" t="s">
        <v>191</v>
      </c>
      <c r="L388">
        <v>12345</v>
      </c>
      <c r="M388" t="s">
        <v>192</v>
      </c>
      <c r="N388">
        <v>1E-3</v>
      </c>
      <c r="O388" t="s">
        <v>3</v>
      </c>
      <c r="P388">
        <v>1</v>
      </c>
      <c r="Q388" t="s">
        <v>2</v>
      </c>
      <c r="R388">
        <v>0</v>
      </c>
      <c r="S388" t="s">
        <v>17</v>
      </c>
      <c r="T388">
        <v>20</v>
      </c>
      <c r="U388" t="s">
        <v>0</v>
      </c>
      <c r="V388">
        <v>15.5</v>
      </c>
      <c r="W388" t="s">
        <v>152</v>
      </c>
      <c r="X388">
        <v>1</v>
      </c>
      <c r="Y388" t="s">
        <v>153</v>
      </c>
      <c r="Z388">
        <v>11</v>
      </c>
      <c r="AA388" t="s">
        <v>151</v>
      </c>
      <c r="AB388">
        <v>6787</v>
      </c>
      <c r="AC388" t="s">
        <v>1</v>
      </c>
      <c r="AD388" t="s">
        <v>1956</v>
      </c>
      <c r="AE388" t="s">
        <v>838</v>
      </c>
      <c r="AF388" t="s">
        <v>1957</v>
      </c>
      <c r="AG388" t="s">
        <v>572</v>
      </c>
      <c r="AH388" t="s">
        <v>1958</v>
      </c>
      <c r="AI388" t="s">
        <v>572</v>
      </c>
      <c r="AJ388" t="s">
        <v>1959</v>
      </c>
      <c r="AK388" t="s">
        <v>572</v>
      </c>
      <c r="AL388" t="s">
        <v>1960</v>
      </c>
    </row>
    <row r="389" spans="2:52" x14ac:dyDescent="0.25">
      <c r="B389" t="s">
        <v>1961</v>
      </c>
      <c r="C389" t="s">
        <v>4</v>
      </c>
      <c r="D389">
        <v>3.8676599999999998E-2</v>
      </c>
      <c r="E389" t="s">
        <v>5</v>
      </c>
      <c r="F389">
        <v>0.95189570000000001</v>
      </c>
      <c r="G389" t="s">
        <v>189</v>
      </c>
      <c r="H389">
        <v>200</v>
      </c>
      <c r="I389" t="s">
        <v>190</v>
      </c>
      <c r="J389">
        <v>1000000</v>
      </c>
      <c r="K389" t="s">
        <v>191</v>
      </c>
      <c r="L389">
        <v>12345</v>
      </c>
      <c r="M389" t="s">
        <v>192</v>
      </c>
      <c r="N389">
        <v>1E-3</v>
      </c>
      <c r="O389" t="s">
        <v>3</v>
      </c>
      <c r="P389">
        <v>0.960893</v>
      </c>
      <c r="Q389" t="s">
        <v>2</v>
      </c>
      <c r="R389">
        <v>3.5470700000000001E-2</v>
      </c>
      <c r="S389" t="s">
        <v>17</v>
      </c>
      <c r="T389">
        <v>59</v>
      </c>
      <c r="U389" t="s">
        <v>0</v>
      </c>
      <c r="V389">
        <v>201.1</v>
      </c>
      <c r="W389" t="s">
        <v>152</v>
      </c>
      <c r="X389">
        <v>5</v>
      </c>
      <c r="Y389" t="s">
        <v>153</v>
      </c>
      <c r="Z389">
        <v>26</v>
      </c>
      <c r="AA389" t="s">
        <v>151</v>
      </c>
      <c r="AB389">
        <v>69244</v>
      </c>
      <c r="AC389" t="s">
        <v>1</v>
      </c>
      <c r="AD389" t="s">
        <v>1962</v>
      </c>
      <c r="AE389" t="s">
        <v>838</v>
      </c>
      <c r="AF389" t="s">
        <v>1963</v>
      </c>
      <c r="AG389" t="s">
        <v>572</v>
      </c>
      <c r="AH389" t="s">
        <v>762</v>
      </c>
      <c r="AI389" t="s">
        <v>572</v>
      </c>
      <c r="AJ389" t="s">
        <v>692</v>
      </c>
      <c r="AK389" t="s">
        <v>572</v>
      </c>
      <c r="AL389" t="s">
        <v>1964</v>
      </c>
      <c r="AM389" t="s">
        <v>572</v>
      </c>
      <c r="AN389" t="s">
        <v>762</v>
      </c>
      <c r="AO389" t="s">
        <v>572</v>
      </c>
      <c r="AP389" t="s">
        <v>692</v>
      </c>
      <c r="AQ389" t="s">
        <v>572</v>
      </c>
      <c r="AR389" t="s">
        <v>1965</v>
      </c>
      <c r="AS389" t="s">
        <v>572</v>
      </c>
      <c r="AT389" t="s">
        <v>1966</v>
      </c>
    </row>
    <row r="390" spans="2:52" x14ac:dyDescent="0.25">
      <c r="B390" t="s">
        <v>1967</v>
      </c>
      <c r="C390" t="s">
        <v>4</v>
      </c>
      <c r="D390">
        <v>5.3597600000000002E-2</v>
      </c>
      <c r="E390" t="s">
        <v>5</v>
      </c>
      <c r="F390">
        <v>0.98656189999999999</v>
      </c>
      <c r="G390" t="s">
        <v>189</v>
      </c>
      <c r="H390">
        <v>200</v>
      </c>
      <c r="I390" t="s">
        <v>190</v>
      </c>
      <c r="J390">
        <v>1000000</v>
      </c>
      <c r="K390" t="s">
        <v>191</v>
      </c>
      <c r="L390">
        <v>12345</v>
      </c>
      <c r="M390" t="s">
        <v>192</v>
      </c>
      <c r="N390">
        <v>1E-3</v>
      </c>
      <c r="O390" t="s">
        <v>3</v>
      </c>
      <c r="P390">
        <v>0.98713139999999999</v>
      </c>
      <c r="Q390" t="s">
        <v>2</v>
      </c>
      <c r="R390">
        <v>5.3365799999999998E-2</v>
      </c>
      <c r="S390" t="s">
        <v>17</v>
      </c>
      <c r="T390">
        <v>42</v>
      </c>
      <c r="U390" t="s">
        <v>0</v>
      </c>
      <c r="V390">
        <v>200.6</v>
      </c>
      <c r="W390" t="s">
        <v>152</v>
      </c>
      <c r="X390">
        <v>4</v>
      </c>
      <c r="Y390" t="s">
        <v>153</v>
      </c>
      <c r="Z390">
        <v>80</v>
      </c>
      <c r="AA390" t="s">
        <v>151</v>
      </c>
      <c r="AB390">
        <v>83472</v>
      </c>
      <c r="AC390" t="s">
        <v>1</v>
      </c>
      <c r="AD390" t="s">
        <v>1968</v>
      </c>
      <c r="AE390" t="s">
        <v>838</v>
      </c>
      <c r="AF390" t="s">
        <v>1969</v>
      </c>
      <c r="AG390" t="s">
        <v>572</v>
      </c>
      <c r="AH390" t="s">
        <v>1970</v>
      </c>
      <c r="AI390" t="s">
        <v>572</v>
      </c>
      <c r="AJ390" t="s">
        <v>1971</v>
      </c>
      <c r="AK390" t="s">
        <v>569</v>
      </c>
      <c r="AL390" t="s">
        <v>1972</v>
      </c>
      <c r="AM390" t="s">
        <v>569</v>
      </c>
      <c r="AN390" t="s">
        <v>1973</v>
      </c>
      <c r="AO390" t="s">
        <v>569</v>
      </c>
      <c r="AP390" t="s">
        <v>1974</v>
      </c>
      <c r="AQ390" t="s">
        <v>572</v>
      </c>
      <c r="AR390">
        <v>3.8391251052604001</v>
      </c>
    </row>
    <row r="391" spans="2:52" x14ac:dyDescent="0.25">
      <c r="B391" t="s">
        <v>1975</v>
      </c>
      <c r="C391" t="s">
        <v>4</v>
      </c>
      <c r="D391">
        <v>0.47984539999999998</v>
      </c>
      <c r="E391" t="s">
        <v>5</v>
      </c>
      <c r="F391">
        <v>0.90489609999999998</v>
      </c>
      <c r="G391" t="s">
        <v>189</v>
      </c>
      <c r="H391">
        <v>200</v>
      </c>
      <c r="I391" t="s">
        <v>190</v>
      </c>
      <c r="J391">
        <v>1000000</v>
      </c>
      <c r="K391" t="s">
        <v>191</v>
      </c>
      <c r="L391">
        <v>12345</v>
      </c>
      <c r="M391" t="s">
        <v>192</v>
      </c>
      <c r="N391">
        <v>1E-3</v>
      </c>
      <c r="O391" t="s">
        <v>3</v>
      </c>
      <c r="P391">
        <v>0.8920479</v>
      </c>
      <c r="Q391" t="s">
        <v>2</v>
      </c>
      <c r="R391">
        <v>0.51662920000000001</v>
      </c>
      <c r="S391" t="s">
        <v>17</v>
      </c>
      <c r="T391">
        <v>57</v>
      </c>
      <c r="U391" t="s">
        <v>0</v>
      </c>
      <c r="V391">
        <v>200.7</v>
      </c>
      <c r="W391" t="s">
        <v>152</v>
      </c>
      <c r="X391">
        <v>4</v>
      </c>
      <c r="Y391" t="s">
        <v>153</v>
      </c>
      <c r="Z391">
        <v>44</v>
      </c>
      <c r="AA391" t="s">
        <v>151</v>
      </c>
      <c r="AB391">
        <v>67491</v>
      </c>
      <c r="AC391" t="s">
        <v>1</v>
      </c>
      <c r="AD391" t="e" cm="1">
        <f t="array" aca="1" ref="AD391" ca="1">-0.7213158766483+(6.6908028200993*X2)+(4.1936100736709*X3)+(0.3214400101846*pow((X3+(X4*pow(x0,-1))),-1))+(-4.8341422288186*X4)+(-9.1979515107266*SIN((X2+(-1*pow(X4,0.5)))))+(-1.7491462914931*x0)+(((2.3538756098595*X2)*X3)*X4)+(((-5.6376983982461*X1)*X2)*X3)</f>
        <v>#NAME?</v>
      </c>
      <c r="AE391" t="s">
        <v>838</v>
      </c>
      <c r="AF391" t="e" cm="1">
        <f t="array" ref="AF391">-1.7491462914931*x0</f>
        <v>#NAME?</v>
      </c>
      <c r="AG391" t="s">
        <v>569</v>
      </c>
      <c r="AH391" t="s">
        <v>1976</v>
      </c>
      <c r="AI391" t="s">
        <v>572</v>
      </c>
      <c r="AJ391" t="s">
        <v>1977</v>
      </c>
      <c r="AK391" t="s">
        <v>572</v>
      </c>
      <c r="AL391" t="s">
        <v>1978</v>
      </c>
      <c r="AM391" t="s">
        <v>572</v>
      </c>
      <c r="AN391" t="s">
        <v>1979</v>
      </c>
      <c r="AO391" t="s">
        <v>569</v>
      </c>
      <c r="AP391" t="s">
        <v>1980</v>
      </c>
      <c r="AQ391" t="s">
        <v>572</v>
      </c>
      <c r="AR391" t="s">
        <v>1981</v>
      </c>
      <c r="AS391" t="s">
        <v>572</v>
      </c>
      <c r="AT391" t="s">
        <v>626</v>
      </c>
      <c r="AU391" t="s">
        <v>569</v>
      </c>
      <c r="AV391" t="s">
        <v>1982</v>
      </c>
      <c r="AW391" t="s">
        <v>569</v>
      </c>
      <c r="AX391" t="s">
        <v>1983</v>
      </c>
      <c r="AY391" t="s">
        <v>569</v>
      </c>
      <c r="AZ391">
        <v>0.72131587664829999</v>
      </c>
    </row>
    <row r="392" spans="2:52" x14ac:dyDescent="0.25">
      <c r="B392" t="s">
        <v>1984</v>
      </c>
      <c r="C392" t="s">
        <v>4</v>
      </c>
      <c r="D392">
        <v>8.4314299999999995E-2</v>
      </c>
      <c r="E392" t="s">
        <v>5</v>
      </c>
      <c r="F392">
        <v>0.94692140000000002</v>
      </c>
      <c r="G392" t="s">
        <v>189</v>
      </c>
      <c r="H392">
        <v>200</v>
      </c>
      <c r="I392" t="s">
        <v>190</v>
      </c>
      <c r="J392">
        <v>1000000</v>
      </c>
      <c r="K392" t="s">
        <v>191</v>
      </c>
      <c r="L392">
        <v>12345</v>
      </c>
      <c r="M392" t="s">
        <v>192</v>
      </c>
      <c r="N392">
        <v>1E-3</v>
      </c>
      <c r="O392" t="s">
        <v>3</v>
      </c>
      <c r="P392">
        <v>0.94140140000000005</v>
      </c>
      <c r="Q392" t="s">
        <v>2</v>
      </c>
      <c r="R392">
        <v>8.8636900000000005E-2</v>
      </c>
      <c r="S392" t="s">
        <v>17</v>
      </c>
      <c r="T392">
        <v>29</v>
      </c>
      <c r="U392" t="s">
        <v>0</v>
      </c>
      <c r="V392">
        <v>200.5</v>
      </c>
      <c r="W392" t="s">
        <v>152</v>
      </c>
      <c r="X392">
        <v>3</v>
      </c>
      <c r="Y392" t="s">
        <v>153</v>
      </c>
      <c r="Z392">
        <v>83</v>
      </c>
      <c r="AA392" t="s">
        <v>151</v>
      </c>
      <c r="AB392">
        <v>96457</v>
      </c>
      <c r="AC392" t="s">
        <v>1</v>
      </c>
      <c r="AD392" t="s">
        <v>1985</v>
      </c>
      <c r="AE392" t="s">
        <v>838</v>
      </c>
      <c r="AF392" t="e" cm="1">
        <f t="array" ref="AF392">-0.0687568654906*x0</f>
        <v>#NAME?</v>
      </c>
      <c r="AG392" t="s">
        <v>572</v>
      </c>
      <c r="AH392" t="s">
        <v>1986</v>
      </c>
      <c r="AI392" t="s">
        <v>572</v>
      </c>
      <c r="AJ392" t="s">
        <v>1987</v>
      </c>
      <c r="AK392" t="s">
        <v>572</v>
      </c>
      <c r="AL392" t="s">
        <v>1988</v>
      </c>
      <c r="AM392" t="s">
        <v>569</v>
      </c>
      <c r="AN392" t="s">
        <v>1247</v>
      </c>
      <c r="AO392" t="s">
        <v>572</v>
      </c>
      <c r="AP392">
        <v>0.53798408739170001</v>
      </c>
    </row>
    <row r="393" spans="2:52" x14ac:dyDescent="0.25">
      <c r="B393" t="s">
        <v>1989</v>
      </c>
      <c r="C393" t="s">
        <v>4</v>
      </c>
      <c r="D393">
        <v>0.12790260000000001</v>
      </c>
      <c r="E393" t="s">
        <v>5</v>
      </c>
      <c r="F393">
        <v>0.99999990000000005</v>
      </c>
      <c r="G393" t="s">
        <v>189</v>
      </c>
      <c r="H393">
        <v>200</v>
      </c>
      <c r="I393" t="s">
        <v>190</v>
      </c>
      <c r="J393">
        <v>1000000</v>
      </c>
      <c r="K393" t="s">
        <v>191</v>
      </c>
      <c r="L393">
        <v>12345</v>
      </c>
      <c r="M393" t="s">
        <v>192</v>
      </c>
      <c r="N393">
        <v>1E-3</v>
      </c>
      <c r="O393" t="s">
        <v>3</v>
      </c>
      <c r="P393">
        <v>0.99999990000000005</v>
      </c>
      <c r="Q393" t="s">
        <v>2</v>
      </c>
      <c r="R393">
        <v>4.8948000000000004E-3</v>
      </c>
      <c r="S393" t="s">
        <v>17</v>
      </c>
      <c r="T393">
        <v>27</v>
      </c>
      <c r="U393" t="s">
        <v>0</v>
      </c>
      <c r="V393">
        <v>200.2</v>
      </c>
      <c r="W393" t="s">
        <v>152</v>
      </c>
      <c r="X393">
        <v>7</v>
      </c>
      <c r="Y393" t="s">
        <v>153</v>
      </c>
      <c r="Z393">
        <v>107</v>
      </c>
      <c r="AA393" t="s">
        <v>151</v>
      </c>
      <c r="AB393">
        <v>96503</v>
      </c>
      <c r="AC393" t="s">
        <v>1</v>
      </c>
      <c r="AD393" t="s">
        <v>1990</v>
      </c>
      <c r="AE393" t="s">
        <v>838</v>
      </c>
      <c r="AF393" t="s">
        <v>1991</v>
      </c>
      <c r="AG393" t="s">
        <v>572</v>
      </c>
      <c r="AH393" t="s">
        <v>1992</v>
      </c>
      <c r="AI393" t="s">
        <v>569</v>
      </c>
      <c r="AJ393" t="s">
        <v>1993</v>
      </c>
      <c r="AK393" t="s">
        <v>572</v>
      </c>
      <c r="AL393" t="s">
        <v>1994</v>
      </c>
      <c r="AM393" t="s">
        <v>572</v>
      </c>
      <c r="AN393">
        <v>0.86714173534259997</v>
      </c>
    </row>
    <row r="394" spans="2:52" x14ac:dyDescent="0.25">
      <c r="B394" t="s">
        <v>1995</v>
      </c>
      <c r="C394" t="s">
        <v>4</v>
      </c>
      <c r="D394">
        <v>1.2166E-3</v>
      </c>
      <c r="E394" t="s">
        <v>5</v>
      </c>
      <c r="F394">
        <v>0.99999130000000003</v>
      </c>
      <c r="G394" t="s">
        <v>189</v>
      </c>
      <c r="H394">
        <v>200</v>
      </c>
      <c r="I394" t="s">
        <v>190</v>
      </c>
      <c r="J394">
        <v>1000000</v>
      </c>
      <c r="K394" t="s">
        <v>191</v>
      </c>
      <c r="L394">
        <v>12345</v>
      </c>
      <c r="M394" t="s">
        <v>192</v>
      </c>
      <c r="N394">
        <v>1E-3</v>
      </c>
      <c r="O394" t="s">
        <v>3</v>
      </c>
      <c r="P394">
        <v>0.99999150000000003</v>
      </c>
      <c r="Q394" t="s">
        <v>2</v>
      </c>
      <c r="R394">
        <v>1.1969000000000001E-3</v>
      </c>
      <c r="S394" t="s">
        <v>17</v>
      </c>
      <c r="T394">
        <v>12</v>
      </c>
      <c r="U394" t="s">
        <v>0</v>
      </c>
      <c r="V394">
        <v>200.1</v>
      </c>
      <c r="W394" t="s">
        <v>152</v>
      </c>
      <c r="X394">
        <v>6</v>
      </c>
      <c r="Y394" t="s">
        <v>153</v>
      </c>
      <c r="Z394">
        <v>342</v>
      </c>
      <c r="AA394" t="s">
        <v>151</v>
      </c>
      <c r="AB394">
        <v>123067</v>
      </c>
      <c r="AC394" t="s">
        <v>1</v>
      </c>
      <c r="AD394" t="s">
        <v>1996</v>
      </c>
      <c r="AE394" t="s">
        <v>838</v>
      </c>
      <c r="AF394" t="s">
        <v>1997</v>
      </c>
      <c r="AG394" t="s">
        <v>572</v>
      </c>
      <c r="AH394" t="s">
        <v>1998</v>
      </c>
      <c r="AI394" t="s">
        <v>572</v>
      </c>
      <c r="AJ394">
        <v>3.2116092241400003E-2</v>
      </c>
    </row>
    <row r="395" spans="2:52" x14ac:dyDescent="0.25">
      <c r="B395" t="s">
        <v>1999</v>
      </c>
      <c r="C395" t="s">
        <v>4</v>
      </c>
      <c r="D395">
        <v>4.5392000000000002E-3</v>
      </c>
      <c r="E395" t="s">
        <v>5</v>
      </c>
      <c r="F395">
        <v>0.99999859999999996</v>
      </c>
      <c r="G395" t="s">
        <v>189</v>
      </c>
      <c r="H395">
        <v>200</v>
      </c>
      <c r="I395" t="s">
        <v>190</v>
      </c>
      <c r="J395">
        <v>1000000</v>
      </c>
      <c r="K395" t="s">
        <v>191</v>
      </c>
      <c r="L395">
        <v>12345</v>
      </c>
      <c r="M395" t="s">
        <v>192</v>
      </c>
      <c r="N395">
        <v>1E-3</v>
      </c>
      <c r="O395" t="s">
        <v>3</v>
      </c>
      <c r="P395">
        <v>0.99998849999999995</v>
      </c>
      <c r="Q395" t="s">
        <v>2</v>
      </c>
      <c r="R395">
        <v>1.35841E-2</v>
      </c>
      <c r="S395" t="s">
        <v>17</v>
      </c>
      <c r="T395">
        <v>23</v>
      </c>
      <c r="U395" t="s">
        <v>0</v>
      </c>
      <c r="V395">
        <v>200</v>
      </c>
      <c r="W395" t="s">
        <v>152</v>
      </c>
      <c r="X395">
        <v>8</v>
      </c>
      <c r="Y395" t="s">
        <v>153</v>
      </c>
      <c r="Z395">
        <v>165</v>
      </c>
      <c r="AA395" t="s">
        <v>151</v>
      </c>
      <c r="AB395">
        <v>101174</v>
      </c>
      <c r="AC395" t="s">
        <v>1</v>
      </c>
      <c r="AD395" t="s">
        <v>2000</v>
      </c>
      <c r="AE395" t="s">
        <v>838</v>
      </c>
      <c r="AF395" t="e" cm="1">
        <f t="array" ref="AF395">-2.8639711517327*x0</f>
        <v>#NAME?</v>
      </c>
      <c r="AG395" t="s">
        <v>572</v>
      </c>
      <c r="AH395" t="s">
        <v>2001</v>
      </c>
      <c r="AI395" t="s">
        <v>572</v>
      </c>
      <c r="AJ395" t="s">
        <v>1960</v>
      </c>
      <c r="AK395" t="s">
        <v>569</v>
      </c>
      <c r="AL395" t="s">
        <v>2002</v>
      </c>
      <c r="AM395" t="s">
        <v>572</v>
      </c>
      <c r="AN395">
        <v>3.9725759394570002</v>
      </c>
    </row>
    <row r="396" spans="2:52" x14ac:dyDescent="0.25">
      <c r="B396" t="s">
        <v>2003</v>
      </c>
      <c r="C396" t="s">
        <v>4</v>
      </c>
      <c r="D396">
        <v>0</v>
      </c>
      <c r="E396" t="s">
        <v>5</v>
      </c>
      <c r="F396">
        <v>1</v>
      </c>
      <c r="G396" t="s">
        <v>189</v>
      </c>
      <c r="H396">
        <v>200</v>
      </c>
      <c r="I396" t="s">
        <v>190</v>
      </c>
      <c r="J396">
        <v>1000000</v>
      </c>
      <c r="K396" t="s">
        <v>191</v>
      </c>
      <c r="L396">
        <v>12345</v>
      </c>
      <c r="M396" t="s">
        <v>192</v>
      </c>
      <c r="N396">
        <v>1E-3</v>
      </c>
      <c r="O396" t="s">
        <v>3</v>
      </c>
      <c r="P396">
        <v>1</v>
      </c>
      <c r="Q396" t="s">
        <v>2</v>
      </c>
      <c r="R396">
        <v>0</v>
      </c>
      <c r="S396" t="s">
        <v>17</v>
      </c>
      <c r="T396">
        <v>2</v>
      </c>
      <c r="U396" t="s">
        <v>0</v>
      </c>
      <c r="V396">
        <v>0.2</v>
      </c>
      <c r="W396" t="s">
        <v>152</v>
      </c>
      <c r="X396">
        <v>1</v>
      </c>
      <c r="Y396" t="s">
        <v>153</v>
      </c>
      <c r="Z396">
        <v>2</v>
      </c>
      <c r="AA396" t="s">
        <v>151</v>
      </c>
      <c r="AB396">
        <v>145</v>
      </c>
      <c r="AC396" t="s">
        <v>1</v>
      </c>
      <c r="AD396">
        <v>2.4190695420644999</v>
      </c>
      <c r="AE396" t="s">
        <v>838</v>
      </c>
      <c r="AF396">
        <v>2.4190695420644999</v>
      </c>
    </row>
    <row r="397" spans="2:52" x14ac:dyDescent="0.25">
      <c r="B397" t="s">
        <v>2004</v>
      </c>
      <c r="C397" t="s">
        <v>4</v>
      </c>
      <c r="D397">
        <v>0</v>
      </c>
      <c r="E397" t="s">
        <v>5</v>
      </c>
      <c r="F397">
        <v>1</v>
      </c>
      <c r="G397" t="s">
        <v>189</v>
      </c>
      <c r="H397">
        <v>200</v>
      </c>
      <c r="I397" t="s">
        <v>190</v>
      </c>
      <c r="J397">
        <v>1000000</v>
      </c>
      <c r="K397" t="s">
        <v>191</v>
      </c>
      <c r="L397">
        <v>12345</v>
      </c>
      <c r="M397" t="s">
        <v>192</v>
      </c>
      <c r="N397">
        <v>1E-3</v>
      </c>
      <c r="O397" t="s">
        <v>3</v>
      </c>
      <c r="P397">
        <v>1</v>
      </c>
      <c r="Q397" t="s">
        <v>2</v>
      </c>
      <c r="R397">
        <v>0</v>
      </c>
      <c r="S397" t="s">
        <v>17</v>
      </c>
      <c r="T397">
        <v>11</v>
      </c>
      <c r="U397" t="s">
        <v>0</v>
      </c>
      <c r="V397">
        <v>142.5</v>
      </c>
      <c r="W397" t="s">
        <v>152</v>
      </c>
      <c r="X397">
        <v>4</v>
      </c>
      <c r="Y397" t="s">
        <v>153</v>
      </c>
      <c r="Z397">
        <v>198</v>
      </c>
      <c r="AA397" t="s">
        <v>151</v>
      </c>
      <c r="AB397">
        <v>85593</v>
      </c>
      <c r="AC397" t="s">
        <v>1</v>
      </c>
      <c r="AD397" t="s">
        <v>2005</v>
      </c>
      <c r="AE397" t="s">
        <v>838</v>
      </c>
      <c r="AF397" t="s">
        <v>2006</v>
      </c>
    </row>
    <row r="398" spans="2:52" x14ac:dyDescent="0.25">
      <c r="B398" t="s">
        <v>2007</v>
      </c>
      <c r="C398" t="s">
        <v>4</v>
      </c>
      <c r="D398">
        <v>1.2558000000000001E-3</v>
      </c>
      <c r="E398" t="s">
        <v>5</v>
      </c>
      <c r="F398">
        <v>0.9998899</v>
      </c>
      <c r="G398" t="s">
        <v>189</v>
      </c>
      <c r="H398">
        <v>200</v>
      </c>
      <c r="I398" t="s">
        <v>190</v>
      </c>
      <c r="J398">
        <v>1000000</v>
      </c>
      <c r="K398" t="s">
        <v>191</v>
      </c>
      <c r="L398">
        <v>12345</v>
      </c>
      <c r="M398" t="s">
        <v>192</v>
      </c>
      <c r="N398">
        <v>1E-3</v>
      </c>
      <c r="O398" t="s">
        <v>3</v>
      </c>
      <c r="P398">
        <v>0.99989340000000004</v>
      </c>
      <c r="Q398" t="s">
        <v>2</v>
      </c>
      <c r="R398">
        <v>1.2397E-3</v>
      </c>
      <c r="S398" t="s">
        <v>17</v>
      </c>
      <c r="T398">
        <v>9</v>
      </c>
      <c r="U398" t="s">
        <v>0</v>
      </c>
      <c r="V398">
        <v>200.2</v>
      </c>
      <c r="W398" t="s">
        <v>152</v>
      </c>
      <c r="X398">
        <v>16</v>
      </c>
      <c r="Y398" t="s">
        <v>153</v>
      </c>
      <c r="Z398">
        <v>461</v>
      </c>
      <c r="AA398" t="s">
        <v>151</v>
      </c>
      <c r="AB398">
        <v>134787</v>
      </c>
      <c r="AC398" t="s">
        <v>1</v>
      </c>
      <c r="AD398" t="s">
        <v>2008</v>
      </c>
      <c r="AE398" t="s">
        <v>838</v>
      </c>
      <c r="AF398" t="s">
        <v>2009</v>
      </c>
      <c r="AG398" t="s">
        <v>572</v>
      </c>
      <c r="AH398">
        <v>7.3724757353400006E-2</v>
      </c>
    </row>
    <row r="399" spans="2:52" x14ac:dyDescent="0.25">
      <c r="B399" t="s">
        <v>2010</v>
      </c>
      <c r="C399" t="s">
        <v>4</v>
      </c>
      <c r="D399">
        <v>0</v>
      </c>
      <c r="E399" t="s">
        <v>5</v>
      </c>
      <c r="F399">
        <v>1</v>
      </c>
      <c r="G399" t="s">
        <v>189</v>
      </c>
      <c r="H399">
        <v>200</v>
      </c>
      <c r="I399" t="s">
        <v>190</v>
      </c>
      <c r="J399">
        <v>1000000</v>
      </c>
      <c r="K399" t="s">
        <v>191</v>
      </c>
      <c r="L399">
        <v>12345</v>
      </c>
      <c r="M399" t="s">
        <v>192</v>
      </c>
      <c r="N399">
        <v>1E-3</v>
      </c>
      <c r="O399" t="s">
        <v>3</v>
      </c>
      <c r="P399">
        <v>1</v>
      </c>
      <c r="Q399" t="s">
        <v>2</v>
      </c>
      <c r="R399">
        <v>0</v>
      </c>
      <c r="S399" t="s">
        <v>17</v>
      </c>
      <c r="T399">
        <v>13</v>
      </c>
      <c r="U399" t="s">
        <v>0</v>
      </c>
      <c r="V399">
        <v>20.5</v>
      </c>
      <c r="W399" t="s">
        <v>152</v>
      </c>
      <c r="X399">
        <v>3</v>
      </c>
      <c r="Y399" t="s">
        <v>153</v>
      </c>
      <c r="Z399">
        <v>16</v>
      </c>
      <c r="AA399" t="s">
        <v>151</v>
      </c>
      <c r="AB399">
        <v>11453</v>
      </c>
      <c r="AC399" t="s">
        <v>1</v>
      </c>
      <c r="AD399" t="s">
        <v>2011</v>
      </c>
      <c r="AE399" t="s">
        <v>838</v>
      </c>
      <c r="AF399">
        <v>0.95780738973559998</v>
      </c>
      <c r="AG399" t="s">
        <v>569</v>
      </c>
      <c r="AH399" t="s">
        <v>2012</v>
      </c>
      <c r="AI399" t="s">
        <v>569</v>
      </c>
      <c r="AJ399" t="s">
        <v>2013</v>
      </c>
    </row>
    <row r="400" spans="2:52" x14ac:dyDescent="0.25">
      <c r="B400" t="s">
        <v>2014</v>
      </c>
      <c r="C400" t="s">
        <v>4</v>
      </c>
      <c r="D400">
        <v>0.54690099999999997</v>
      </c>
      <c r="E400" t="s">
        <v>5</v>
      </c>
      <c r="F400">
        <v>0.24453459999999999</v>
      </c>
      <c r="G400" t="s">
        <v>189</v>
      </c>
      <c r="H400">
        <v>200</v>
      </c>
      <c r="I400" t="s">
        <v>190</v>
      </c>
      <c r="J400">
        <v>1000000</v>
      </c>
      <c r="K400" t="s">
        <v>191</v>
      </c>
      <c r="L400">
        <v>12345</v>
      </c>
      <c r="M400" t="s">
        <v>192</v>
      </c>
      <c r="N400">
        <v>1E-3</v>
      </c>
      <c r="O400" t="s">
        <v>3</v>
      </c>
      <c r="P400">
        <v>0.42739820000000001</v>
      </c>
      <c r="Q400" t="s">
        <v>2</v>
      </c>
      <c r="R400">
        <v>0.48230390000000001</v>
      </c>
      <c r="S400" t="s">
        <v>17</v>
      </c>
      <c r="T400">
        <v>62</v>
      </c>
      <c r="U400" t="s">
        <v>0</v>
      </c>
      <c r="V400">
        <v>200.6</v>
      </c>
      <c r="W400" t="s">
        <v>152</v>
      </c>
      <c r="X400">
        <v>4</v>
      </c>
      <c r="Y400" t="s">
        <v>153</v>
      </c>
      <c r="Z400">
        <v>89</v>
      </c>
      <c r="AA400" t="s">
        <v>151</v>
      </c>
      <c r="AB400">
        <v>82208</v>
      </c>
      <c r="AC400" t="s">
        <v>1</v>
      </c>
      <c r="AD400" t="e" cm="1">
        <f t="array" aca="1" ref="AD400" ca="1">-1.2376996780769+(0.8424559921279*SIN((((x0+pow(x0,-1))+(-2.1415926535898*X1))+(x0*EXP(X1)))))+(1.830147383505*x0)+(1.1699665620446*pow(X1,0.5))+(-1.2988451140022*pow((pow(x0,-1)*pow(X1,-0.5)),-0.5))+(((0.10422749975*pow(x0,-1))*pow(X1,-0.5))*pow((pow(x0,-1)*pow(X1,-0.5)),-0.5))</f>
        <v>#NAME?</v>
      </c>
      <c r="AE400" t="s">
        <v>838</v>
      </c>
      <c r="AF400" t="s">
        <v>2015</v>
      </c>
      <c r="AG400" t="s">
        <v>572</v>
      </c>
      <c r="AH400" t="s">
        <v>2016</v>
      </c>
      <c r="AI400" t="s">
        <v>572</v>
      </c>
      <c r="AJ400" t="s">
        <v>2017</v>
      </c>
      <c r="AK400" t="s">
        <v>569</v>
      </c>
      <c r="AL400" t="s">
        <v>2018</v>
      </c>
      <c r="AM400" t="s">
        <v>572</v>
      </c>
      <c r="AN400" t="s">
        <v>2019</v>
      </c>
      <c r="AO400" t="s">
        <v>572</v>
      </c>
      <c r="AP400" t="s">
        <v>2020</v>
      </c>
      <c r="AQ400" t="s">
        <v>572</v>
      </c>
      <c r="AR400" t="s">
        <v>1499</v>
      </c>
      <c r="AS400" t="s">
        <v>569</v>
      </c>
      <c r="AT400" t="s">
        <v>2021</v>
      </c>
      <c r="AU400" t="s">
        <v>569</v>
      </c>
      <c r="AV400">
        <v>1.2376996780769001</v>
      </c>
    </row>
    <row r="401" spans="2:52" x14ac:dyDescent="0.25">
      <c r="B401" t="s">
        <v>2022</v>
      </c>
      <c r="C401" t="s">
        <v>4</v>
      </c>
      <c r="D401">
        <v>2.07951E-2</v>
      </c>
      <c r="E401" t="s">
        <v>5</v>
      </c>
      <c r="F401">
        <v>0.99953000000000003</v>
      </c>
      <c r="G401" t="s">
        <v>189</v>
      </c>
      <c r="H401">
        <v>200</v>
      </c>
      <c r="I401" t="s">
        <v>190</v>
      </c>
      <c r="J401">
        <v>1000000</v>
      </c>
      <c r="K401" t="s">
        <v>191</v>
      </c>
      <c r="L401">
        <v>12345</v>
      </c>
      <c r="M401" t="s">
        <v>192</v>
      </c>
      <c r="N401">
        <v>1E-3</v>
      </c>
      <c r="O401" t="s">
        <v>3</v>
      </c>
      <c r="P401">
        <v>0.99954430000000005</v>
      </c>
      <c r="Q401" t="s">
        <v>2</v>
      </c>
      <c r="R401">
        <v>2.0621500000000001E-2</v>
      </c>
      <c r="S401" t="s">
        <v>17</v>
      </c>
      <c r="T401">
        <v>31</v>
      </c>
      <c r="U401" t="s">
        <v>0</v>
      </c>
      <c r="V401">
        <v>200.1</v>
      </c>
      <c r="W401" t="s">
        <v>152</v>
      </c>
      <c r="X401">
        <v>6</v>
      </c>
      <c r="Y401" t="s">
        <v>153</v>
      </c>
      <c r="Z401">
        <v>97</v>
      </c>
      <c r="AA401" t="s">
        <v>151</v>
      </c>
      <c r="AB401">
        <v>84435</v>
      </c>
      <c r="AC401" t="s">
        <v>1</v>
      </c>
      <c r="AD401" t="s">
        <v>2023</v>
      </c>
      <c r="AE401" t="s">
        <v>838</v>
      </c>
      <c r="AF401" t="s">
        <v>2024</v>
      </c>
      <c r="AG401" t="s">
        <v>572</v>
      </c>
      <c r="AH401" t="s">
        <v>2025</v>
      </c>
      <c r="AI401" t="s">
        <v>569</v>
      </c>
      <c r="AJ401" t="s">
        <v>2026</v>
      </c>
      <c r="AK401" t="s">
        <v>572</v>
      </c>
      <c r="AL401" t="s">
        <v>2027</v>
      </c>
      <c r="AM401" t="s">
        <v>572</v>
      </c>
      <c r="AN401" t="s">
        <v>2028</v>
      </c>
      <c r="AO401" t="s">
        <v>572</v>
      </c>
      <c r="AP401">
        <v>1.8523715129511</v>
      </c>
    </row>
    <row r="402" spans="2:52" x14ac:dyDescent="0.25">
      <c r="B402" t="s">
        <v>2029</v>
      </c>
      <c r="C402" t="s">
        <v>4</v>
      </c>
      <c r="D402">
        <v>2.4242000000000001E-3</v>
      </c>
      <c r="E402" t="s">
        <v>5</v>
      </c>
      <c r="F402">
        <v>0.99999660000000001</v>
      </c>
      <c r="G402" t="s">
        <v>189</v>
      </c>
      <c r="H402">
        <v>200</v>
      </c>
      <c r="I402" t="s">
        <v>190</v>
      </c>
      <c r="J402">
        <v>1000000</v>
      </c>
      <c r="K402" t="s">
        <v>191</v>
      </c>
      <c r="L402">
        <v>12345</v>
      </c>
      <c r="M402" t="s">
        <v>192</v>
      </c>
      <c r="N402">
        <v>1E-3</v>
      </c>
      <c r="O402" t="s">
        <v>3</v>
      </c>
      <c r="P402">
        <v>0.99999689999999997</v>
      </c>
      <c r="Q402" t="s">
        <v>2</v>
      </c>
      <c r="R402">
        <v>2.3130999999999998E-3</v>
      </c>
      <c r="S402" t="s">
        <v>17</v>
      </c>
      <c r="T402">
        <v>25</v>
      </c>
      <c r="U402" t="s">
        <v>0</v>
      </c>
      <c r="V402">
        <v>200.2</v>
      </c>
      <c r="W402" t="s">
        <v>152</v>
      </c>
      <c r="X402">
        <v>6</v>
      </c>
      <c r="Y402" t="s">
        <v>153</v>
      </c>
      <c r="Z402">
        <v>180</v>
      </c>
      <c r="AA402" t="s">
        <v>151</v>
      </c>
      <c r="AB402">
        <v>105525</v>
      </c>
      <c r="AC402" t="s">
        <v>1</v>
      </c>
      <c r="AD402" t="s">
        <v>2030</v>
      </c>
      <c r="AE402" t="s">
        <v>838</v>
      </c>
      <c r="AF402" t="s">
        <v>2031</v>
      </c>
      <c r="AG402" t="s">
        <v>572</v>
      </c>
      <c r="AH402" t="s">
        <v>2032</v>
      </c>
      <c r="AI402" t="s">
        <v>572</v>
      </c>
      <c r="AJ402" t="s">
        <v>2033</v>
      </c>
      <c r="AK402" t="s">
        <v>572</v>
      </c>
      <c r="AL402">
        <v>4.0288865778745997</v>
      </c>
    </row>
    <row r="403" spans="2:52" x14ac:dyDescent="0.25">
      <c r="B403" t="s">
        <v>2034</v>
      </c>
      <c r="C403" t="s">
        <v>4</v>
      </c>
      <c r="D403">
        <v>0</v>
      </c>
      <c r="E403" t="s">
        <v>5</v>
      </c>
      <c r="F403">
        <v>1</v>
      </c>
      <c r="G403" t="s">
        <v>189</v>
      </c>
      <c r="H403">
        <v>200</v>
      </c>
      <c r="I403" t="s">
        <v>190</v>
      </c>
      <c r="J403">
        <v>1000000</v>
      </c>
      <c r="K403" t="s">
        <v>191</v>
      </c>
      <c r="L403">
        <v>12345</v>
      </c>
      <c r="M403" t="s">
        <v>192</v>
      </c>
      <c r="N403">
        <v>1E-3</v>
      </c>
      <c r="O403" t="s">
        <v>3</v>
      </c>
      <c r="P403">
        <v>1</v>
      </c>
      <c r="Q403" t="s">
        <v>2</v>
      </c>
      <c r="R403">
        <v>0</v>
      </c>
      <c r="S403" t="s">
        <v>17</v>
      </c>
      <c r="T403">
        <v>10</v>
      </c>
      <c r="U403" t="s">
        <v>0</v>
      </c>
      <c r="V403">
        <v>1</v>
      </c>
      <c r="W403" t="s">
        <v>152</v>
      </c>
      <c r="X403">
        <v>1</v>
      </c>
      <c r="Y403" t="s">
        <v>153</v>
      </c>
      <c r="Z403">
        <v>3</v>
      </c>
      <c r="AA403" t="s">
        <v>151</v>
      </c>
      <c r="AB403">
        <v>634</v>
      </c>
      <c r="AC403" t="s">
        <v>1</v>
      </c>
      <c r="AD403" t="s">
        <v>2035</v>
      </c>
      <c r="AE403" t="s">
        <v>838</v>
      </c>
      <c r="AF403" t="s">
        <v>2036</v>
      </c>
      <c r="AG403" t="s">
        <v>569</v>
      </c>
      <c r="AH403" t="s">
        <v>2037</v>
      </c>
    </row>
    <row r="404" spans="2:52" x14ac:dyDescent="0.25">
      <c r="B404" t="s">
        <v>2038</v>
      </c>
      <c r="C404" t="s">
        <v>4</v>
      </c>
      <c r="D404">
        <v>2690.6736420000002</v>
      </c>
      <c r="E404" t="s">
        <v>5</v>
      </c>
      <c r="F404">
        <v>0.9998319</v>
      </c>
      <c r="G404" t="s">
        <v>189</v>
      </c>
      <c r="H404">
        <v>200</v>
      </c>
      <c r="I404" t="s">
        <v>190</v>
      </c>
      <c r="J404">
        <v>1000000</v>
      </c>
      <c r="K404" t="s">
        <v>191</v>
      </c>
      <c r="L404">
        <v>12345</v>
      </c>
      <c r="M404" t="s">
        <v>192</v>
      </c>
      <c r="N404">
        <v>1E-3</v>
      </c>
      <c r="O404" t="s">
        <v>3</v>
      </c>
      <c r="P404">
        <v>0.9999749</v>
      </c>
      <c r="Q404" t="s">
        <v>2</v>
      </c>
      <c r="R404">
        <v>1128.7735253999999</v>
      </c>
      <c r="S404" t="s">
        <v>17</v>
      </c>
      <c r="T404">
        <v>68</v>
      </c>
      <c r="U404" t="s">
        <v>0</v>
      </c>
      <c r="V404">
        <v>200.2</v>
      </c>
      <c r="W404" t="s">
        <v>152</v>
      </c>
      <c r="X404">
        <v>6</v>
      </c>
      <c r="Y404" t="s">
        <v>153</v>
      </c>
      <c r="Z404">
        <v>37</v>
      </c>
      <c r="AA404" t="s">
        <v>151</v>
      </c>
      <c r="AB404">
        <v>62337</v>
      </c>
      <c r="AC404" t="s">
        <v>1</v>
      </c>
      <c r="AD404" t="s">
        <v>2039</v>
      </c>
      <c r="AE404" t="s">
        <v>838</v>
      </c>
      <c r="AF404" t="s">
        <v>2040</v>
      </c>
      <c r="AG404" t="s">
        <v>572</v>
      </c>
      <c r="AH404" t="s">
        <v>2041</v>
      </c>
      <c r="AI404" t="s">
        <v>572</v>
      </c>
      <c r="AJ404" t="s">
        <v>2042</v>
      </c>
      <c r="AK404" t="s">
        <v>572</v>
      </c>
      <c r="AL404" t="s">
        <v>1324</v>
      </c>
      <c r="AM404" t="s">
        <v>569</v>
      </c>
      <c r="AN404" t="s">
        <v>2043</v>
      </c>
      <c r="AO404" t="s">
        <v>569</v>
      </c>
      <c r="AP404" t="s">
        <v>2044</v>
      </c>
      <c r="AQ404" t="s">
        <v>572</v>
      </c>
      <c r="AR404" t="s">
        <v>2045</v>
      </c>
      <c r="AS404" t="s">
        <v>569</v>
      </c>
      <c r="AT404" t="s">
        <v>2046</v>
      </c>
      <c r="AU404" t="s">
        <v>572</v>
      </c>
      <c r="AV404" t="s">
        <v>2047</v>
      </c>
      <c r="AW404" t="s">
        <v>572</v>
      </c>
      <c r="AX404" t="s">
        <v>2048</v>
      </c>
    </row>
    <row r="405" spans="2:52" x14ac:dyDescent="0.25">
      <c r="B405" t="s">
        <v>2049</v>
      </c>
      <c r="C405" t="s">
        <v>4</v>
      </c>
      <c r="D405">
        <v>0.18895429999999999</v>
      </c>
      <c r="E405" t="s">
        <v>5</v>
      </c>
      <c r="F405">
        <v>0.87747129999999995</v>
      </c>
      <c r="G405" t="s">
        <v>189</v>
      </c>
      <c r="H405">
        <v>200</v>
      </c>
      <c r="I405" t="s">
        <v>190</v>
      </c>
      <c r="J405">
        <v>1000000</v>
      </c>
      <c r="K405" t="s">
        <v>191</v>
      </c>
      <c r="L405">
        <v>12345</v>
      </c>
      <c r="M405" t="s">
        <v>192</v>
      </c>
      <c r="N405">
        <v>1E-3</v>
      </c>
      <c r="O405" t="s">
        <v>3</v>
      </c>
      <c r="P405">
        <v>0.87529440000000003</v>
      </c>
      <c r="Q405" t="s">
        <v>2</v>
      </c>
      <c r="R405">
        <v>0.18695419999999999</v>
      </c>
      <c r="S405" t="s">
        <v>17</v>
      </c>
      <c r="T405">
        <v>46</v>
      </c>
      <c r="U405" t="s">
        <v>0</v>
      </c>
      <c r="V405">
        <v>200.4</v>
      </c>
      <c r="W405" t="s">
        <v>152</v>
      </c>
      <c r="X405">
        <v>6</v>
      </c>
      <c r="Y405" t="s">
        <v>153</v>
      </c>
      <c r="Z405">
        <v>53</v>
      </c>
      <c r="AA405" t="s">
        <v>151</v>
      </c>
      <c r="AB405">
        <v>72671</v>
      </c>
      <c r="AC405" t="s">
        <v>1</v>
      </c>
      <c r="AD405" t="e" cm="1">
        <f t="array" aca="1" ref="AD405" ca="1">-2.6525144006402+(1.2695733048929*pow(X1,2))+(3.4653391134055*SIN((0.5+((2*pow(x0,3))*pow(COS((pow(X2,0.5)+(X1*pow(x0,-1)))),2)))))+(0.4886464837421*pow(x0,1.5))+((-1.3542672820925*X1)*pow(x0,0.5))</f>
        <v>#NAME?</v>
      </c>
      <c r="AE405" t="s">
        <v>838</v>
      </c>
      <c r="AF405" t="s">
        <v>2050</v>
      </c>
      <c r="AG405" t="s">
        <v>572</v>
      </c>
      <c r="AH405" t="s">
        <v>2051</v>
      </c>
      <c r="AI405" t="s">
        <v>572</v>
      </c>
      <c r="AJ405" t="s">
        <v>2052</v>
      </c>
      <c r="AK405" t="s">
        <v>572</v>
      </c>
      <c r="AL405" t="s">
        <v>2053</v>
      </c>
      <c r="AM405" t="s">
        <v>572</v>
      </c>
      <c r="AN405" t="s">
        <v>2054</v>
      </c>
      <c r="AO405" t="s">
        <v>572</v>
      </c>
      <c r="AP405" t="s">
        <v>669</v>
      </c>
      <c r="AQ405" t="s">
        <v>569</v>
      </c>
      <c r="AR405">
        <v>2.6525144006402002</v>
      </c>
    </row>
    <row r="406" spans="2:52" x14ac:dyDescent="0.25">
      <c r="B406" t="s">
        <v>2055</v>
      </c>
      <c r="C406" t="s">
        <v>4</v>
      </c>
      <c r="D406">
        <v>1.8228399999999999E-2</v>
      </c>
      <c r="E406" t="s">
        <v>5</v>
      </c>
      <c r="F406">
        <v>0.99807869999999999</v>
      </c>
      <c r="G406" t="s">
        <v>189</v>
      </c>
      <c r="H406">
        <v>200</v>
      </c>
      <c r="I406" t="s">
        <v>190</v>
      </c>
      <c r="J406">
        <v>1000000</v>
      </c>
      <c r="K406" t="s">
        <v>191</v>
      </c>
      <c r="L406">
        <v>12345</v>
      </c>
      <c r="M406" t="s">
        <v>192</v>
      </c>
      <c r="N406">
        <v>1E-3</v>
      </c>
      <c r="O406" t="s">
        <v>3</v>
      </c>
      <c r="P406">
        <v>0.99815089999999995</v>
      </c>
      <c r="Q406" t="s">
        <v>2</v>
      </c>
      <c r="R406">
        <v>1.8497E-2</v>
      </c>
      <c r="S406" t="s">
        <v>17</v>
      </c>
      <c r="T406">
        <v>33</v>
      </c>
      <c r="U406" t="s">
        <v>0</v>
      </c>
      <c r="V406">
        <v>200.3</v>
      </c>
      <c r="W406" t="s">
        <v>152</v>
      </c>
      <c r="X406">
        <v>10</v>
      </c>
      <c r="Y406" t="s">
        <v>153</v>
      </c>
      <c r="Z406">
        <v>103</v>
      </c>
      <c r="AA406" t="s">
        <v>151</v>
      </c>
      <c r="AB406">
        <v>87346</v>
      </c>
      <c r="AC406" t="s">
        <v>1</v>
      </c>
      <c r="AD406" t="s">
        <v>2056</v>
      </c>
      <c r="AE406" t="s">
        <v>838</v>
      </c>
      <c r="AF406" t="s">
        <v>2057</v>
      </c>
      <c r="AG406" t="s">
        <v>569</v>
      </c>
      <c r="AH406" t="s">
        <v>2058</v>
      </c>
      <c r="AI406" t="s">
        <v>572</v>
      </c>
      <c r="AJ406" t="s">
        <v>2059</v>
      </c>
      <c r="AK406" t="s">
        <v>569</v>
      </c>
      <c r="AL406" t="s">
        <v>2060</v>
      </c>
      <c r="AM406" t="s">
        <v>569</v>
      </c>
      <c r="AN406" t="s">
        <v>2061</v>
      </c>
      <c r="AO406" t="s">
        <v>572</v>
      </c>
      <c r="AP406">
        <v>2.7154756418170001</v>
      </c>
    </row>
    <row r="407" spans="2:52" x14ac:dyDescent="0.25">
      <c r="B407" t="s">
        <v>2062</v>
      </c>
      <c r="C407" t="s">
        <v>4</v>
      </c>
      <c r="D407">
        <v>11447.931855700001</v>
      </c>
      <c r="E407" t="s">
        <v>5</v>
      </c>
      <c r="F407">
        <v>-48632.095413700001</v>
      </c>
      <c r="G407" t="s">
        <v>189</v>
      </c>
      <c r="H407">
        <v>200</v>
      </c>
      <c r="I407" t="s">
        <v>190</v>
      </c>
      <c r="J407">
        <v>1000000</v>
      </c>
      <c r="K407" t="s">
        <v>191</v>
      </c>
      <c r="L407">
        <v>12345</v>
      </c>
      <c r="M407" t="s">
        <v>192</v>
      </c>
      <c r="N407">
        <v>1E-3</v>
      </c>
      <c r="O407" t="s">
        <v>3</v>
      </c>
      <c r="P407">
        <v>-2412.8281247999998</v>
      </c>
      <c r="Q407" t="s">
        <v>2</v>
      </c>
      <c r="R407">
        <v>16409.230767100002</v>
      </c>
      <c r="S407" t="s">
        <v>17</v>
      </c>
      <c r="T407">
        <v>76</v>
      </c>
      <c r="U407" t="s">
        <v>0</v>
      </c>
      <c r="V407">
        <v>200.6</v>
      </c>
      <c r="W407" t="s">
        <v>152</v>
      </c>
      <c r="X407">
        <v>2</v>
      </c>
      <c r="Y407" t="s">
        <v>153</v>
      </c>
      <c r="Z407">
        <v>48</v>
      </c>
      <c r="AA407" t="s">
        <v>151</v>
      </c>
      <c r="AB407">
        <v>67589</v>
      </c>
      <c r="AC407" t="s">
        <v>1</v>
      </c>
      <c r="AD407" t="s">
        <v>2063</v>
      </c>
      <c r="AE407" t="s">
        <v>838</v>
      </c>
      <c r="AF407" t="s">
        <v>2064</v>
      </c>
      <c r="AG407" t="s">
        <v>569</v>
      </c>
      <c r="AH407" t="s">
        <v>2065</v>
      </c>
      <c r="AI407" t="s">
        <v>569</v>
      </c>
      <c r="AJ407" t="s">
        <v>2066</v>
      </c>
      <c r="AK407" t="s">
        <v>569</v>
      </c>
      <c r="AL407" t="s">
        <v>2067</v>
      </c>
      <c r="AM407" t="s">
        <v>572</v>
      </c>
      <c r="AN407" t="s">
        <v>2068</v>
      </c>
      <c r="AO407" t="s">
        <v>569</v>
      </c>
      <c r="AP407" t="s">
        <v>2069</v>
      </c>
      <c r="AQ407" t="s">
        <v>572</v>
      </c>
      <c r="AR407" t="s">
        <v>2070</v>
      </c>
      <c r="AS407" t="s">
        <v>572</v>
      </c>
      <c r="AT407" t="s">
        <v>2071</v>
      </c>
      <c r="AU407" t="s">
        <v>572</v>
      </c>
      <c r="AV407" t="s">
        <v>2072</v>
      </c>
      <c r="AW407" t="s">
        <v>569</v>
      </c>
      <c r="AX407" t="s">
        <v>2073</v>
      </c>
      <c r="AY407" t="s">
        <v>572</v>
      </c>
      <c r="AZ407">
        <v>1.5701493019657</v>
      </c>
    </row>
    <row r="408" spans="2:52" x14ac:dyDescent="0.25">
      <c r="B408" t="s">
        <v>2074</v>
      </c>
      <c r="C408" t="s">
        <v>4</v>
      </c>
      <c r="D408">
        <v>4.8579999999999999E-4</v>
      </c>
      <c r="E408" t="s">
        <v>5</v>
      </c>
      <c r="F408">
        <v>1</v>
      </c>
      <c r="G408" t="s">
        <v>189</v>
      </c>
      <c r="H408">
        <v>200</v>
      </c>
      <c r="I408" t="s">
        <v>190</v>
      </c>
      <c r="J408">
        <v>1000000</v>
      </c>
      <c r="K408" t="s">
        <v>191</v>
      </c>
      <c r="L408">
        <v>12345</v>
      </c>
      <c r="M408" t="s">
        <v>192</v>
      </c>
      <c r="N408">
        <v>1E-3</v>
      </c>
      <c r="O408" t="s">
        <v>3</v>
      </c>
      <c r="P408">
        <v>1</v>
      </c>
      <c r="Q408" t="s">
        <v>2</v>
      </c>
      <c r="R408">
        <v>4.9660000000000004E-4</v>
      </c>
      <c r="S408" t="s">
        <v>17</v>
      </c>
      <c r="T408">
        <v>15</v>
      </c>
      <c r="U408" t="s">
        <v>0</v>
      </c>
      <c r="V408">
        <v>200</v>
      </c>
      <c r="W408" t="s">
        <v>152</v>
      </c>
      <c r="X408">
        <v>3</v>
      </c>
      <c r="Y408" t="s">
        <v>153</v>
      </c>
      <c r="Z408">
        <v>279</v>
      </c>
      <c r="AA408" t="s">
        <v>151</v>
      </c>
      <c r="AB408">
        <v>121192</v>
      </c>
      <c r="AC408" t="s">
        <v>1</v>
      </c>
      <c r="AD408" t="s">
        <v>2075</v>
      </c>
      <c r="AE408" t="s">
        <v>838</v>
      </c>
      <c r="AF408" t="s">
        <v>2076</v>
      </c>
      <c r="AG408" t="s">
        <v>569</v>
      </c>
      <c r="AH408" t="s">
        <v>2077</v>
      </c>
      <c r="AI408" t="s">
        <v>572</v>
      </c>
      <c r="AJ408">
        <v>103.75319526758101</v>
      </c>
    </row>
    <row r="409" spans="2:52" x14ac:dyDescent="0.25">
      <c r="B409" t="s">
        <v>2078</v>
      </c>
      <c r="C409" t="s">
        <v>4</v>
      </c>
      <c r="D409">
        <v>5.4974599999999998E-2</v>
      </c>
      <c r="E409" t="s">
        <v>5</v>
      </c>
      <c r="F409">
        <v>0.97095149999999997</v>
      </c>
      <c r="G409" t="s">
        <v>189</v>
      </c>
      <c r="H409">
        <v>200</v>
      </c>
      <c r="I409" t="s">
        <v>190</v>
      </c>
      <c r="J409">
        <v>1000000</v>
      </c>
      <c r="K409" t="s">
        <v>191</v>
      </c>
      <c r="L409">
        <v>12345</v>
      </c>
      <c r="M409" t="s">
        <v>192</v>
      </c>
      <c r="N409">
        <v>1E-3</v>
      </c>
      <c r="O409" t="s">
        <v>3</v>
      </c>
      <c r="P409">
        <v>0.97079230000000005</v>
      </c>
      <c r="Q409" t="s">
        <v>2</v>
      </c>
      <c r="R409">
        <v>5.3586799999999997E-2</v>
      </c>
      <c r="S409" t="s">
        <v>17</v>
      </c>
      <c r="T409">
        <v>19</v>
      </c>
      <c r="U409" t="s">
        <v>0</v>
      </c>
      <c r="V409">
        <v>200.3</v>
      </c>
      <c r="W409" t="s">
        <v>152</v>
      </c>
      <c r="X409">
        <v>6</v>
      </c>
      <c r="Y409" t="s">
        <v>153</v>
      </c>
      <c r="Z409">
        <v>107</v>
      </c>
      <c r="AA409" t="s">
        <v>151</v>
      </c>
      <c r="AB409">
        <v>100490</v>
      </c>
      <c r="AC409" t="s">
        <v>1</v>
      </c>
      <c r="AD409" t="s">
        <v>2079</v>
      </c>
      <c r="AE409" t="s">
        <v>838</v>
      </c>
      <c r="AF409">
        <f>-0.2302366919756*X1</f>
        <v>-37.298344100047203</v>
      </c>
      <c r="AG409" t="s">
        <v>572</v>
      </c>
      <c r="AH409" t="s">
        <v>2080</v>
      </c>
      <c r="AI409" t="s">
        <v>572</v>
      </c>
      <c r="AJ409" t="s">
        <v>2081</v>
      </c>
      <c r="AK409" t="s">
        <v>572</v>
      </c>
      <c r="AL409" t="s">
        <v>2082</v>
      </c>
      <c r="AM409" t="s">
        <v>572</v>
      </c>
      <c r="AN409">
        <v>1.6018954575301001</v>
      </c>
    </row>
    <row r="410" spans="2:52" x14ac:dyDescent="0.25">
      <c r="B410" t="s">
        <v>2083</v>
      </c>
      <c r="C410" t="s">
        <v>4</v>
      </c>
      <c r="D410">
        <v>9.2641410999999998</v>
      </c>
      <c r="E410" t="s">
        <v>5</v>
      </c>
      <c r="F410">
        <v>-0.49340790000000001</v>
      </c>
      <c r="G410" t="s">
        <v>189</v>
      </c>
      <c r="H410">
        <v>200</v>
      </c>
      <c r="I410" t="s">
        <v>190</v>
      </c>
      <c r="J410">
        <v>1000000</v>
      </c>
      <c r="K410" t="s">
        <v>191</v>
      </c>
      <c r="L410">
        <v>12345</v>
      </c>
      <c r="M410" t="s">
        <v>192</v>
      </c>
      <c r="N410">
        <v>1E-3</v>
      </c>
      <c r="O410" t="s">
        <v>3</v>
      </c>
      <c r="P410">
        <v>-21724.523128699999</v>
      </c>
      <c r="Q410" t="s">
        <v>2</v>
      </c>
      <c r="R410">
        <v>86.320395500000004</v>
      </c>
      <c r="S410" t="s">
        <v>17</v>
      </c>
      <c r="T410">
        <v>19</v>
      </c>
      <c r="U410" t="s">
        <v>0</v>
      </c>
      <c r="V410">
        <v>200.2</v>
      </c>
      <c r="W410" t="s">
        <v>152</v>
      </c>
      <c r="X410">
        <v>5</v>
      </c>
      <c r="Y410" t="s">
        <v>153</v>
      </c>
      <c r="Z410">
        <v>68</v>
      </c>
      <c r="AA410" t="s">
        <v>151</v>
      </c>
      <c r="AB410">
        <v>82418</v>
      </c>
      <c r="AC410" t="s">
        <v>1</v>
      </c>
      <c r="AD410" t="s">
        <v>2084</v>
      </c>
      <c r="AE410" t="s">
        <v>838</v>
      </c>
      <c r="AF410" t="s">
        <v>2085</v>
      </c>
      <c r="AG410" t="s">
        <v>569</v>
      </c>
      <c r="AH410" t="s">
        <v>2086</v>
      </c>
    </row>
    <row r="411" spans="2:52" x14ac:dyDescent="0.25">
      <c r="B411" t="s">
        <v>2087</v>
      </c>
      <c r="C411" t="s">
        <v>4</v>
      </c>
      <c r="D411" s="7">
        <v>1.9599999999999999E-5</v>
      </c>
      <c r="E411" t="s">
        <v>5</v>
      </c>
      <c r="F411">
        <v>1</v>
      </c>
      <c r="G411" t="s">
        <v>189</v>
      </c>
      <c r="H411">
        <v>200</v>
      </c>
      <c r="I411" t="s">
        <v>190</v>
      </c>
      <c r="J411">
        <v>1000000</v>
      </c>
      <c r="K411" t="s">
        <v>191</v>
      </c>
      <c r="L411">
        <v>12345</v>
      </c>
      <c r="M411" t="s">
        <v>192</v>
      </c>
      <c r="N411">
        <v>1E-3</v>
      </c>
      <c r="O411" t="s">
        <v>3</v>
      </c>
      <c r="P411">
        <v>1</v>
      </c>
      <c r="Q411" t="s">
        <v>2</v>
      </c>
      <c r="R411">
        <v>1.9300000000000002E-5</v>
      </c>
      <c r="S411" t="s">
        <v>17</v>
      </c>
      <c r="T411">
        <v>11</v>
      </c>
      <c r="U411" t="s">
        <v>0</v>
      </c>
      <c r="V411">
        <v>200.1</v>
      </c>
      <c r="W411" t="s">
        <v>152</v>
      </c>
      <c r="X411">
        <v>3</v>
      </c>
      <c r="Y411" t="s">
        <v>153</v>
      </c>
      <c r="Z411">
        <v>288</v>
      </c>
      <c r="AA411" t="s">
        <v>151</v>
      </c>
      <c r="AB411">
        <v>155573</v>
      </c>
      <c r="AC411" t="s">
        <v>1</v>
      </c>
      <c r="AD411" t="s">
        <v>2088</v>
      </c>
      <c r="AE411" t="s">
        <v>838</v>
      </c>
      <c r="AF411" t="s">
        <v>2089</v>
      </c>
      <c r="AG411" t="s">
        <v>572</v>
      </c>
      <c r="AH411">
        <v>30.000049073298499</v>
      </c>
    </row>
    <row r="412" spans="2:52" x14ac:dyDescent="0.25">
      <c r="B412" t="s">
        <v>2090</v>
      </c>
      <c r="C412" t="s">
        <v>4</v>
      </c>
      <c r="D412">
        <v>0.11990480000000001</v>
      </c>
      <c r="E412" t="s">
        <v>5</v>
      </c>
      <c r="F412">
        <v>0.98682539999999996</v>
      </c>
      <c r="G412" t="s">
        <v>189</v>
      </c>
      <c r="H412">
        <v>200</v>
      </c>
      <c r="I412" t="s">
        <v>190</v>
      </c>
      <c r="J412">
        <v>1000000</v>
      </c>
      <c r="K412" t="s">
        <v>191</v>
      </c>
      <c r="L412">
        <v>12345</v>
      </c>
      <c r="M412" t="s">
        <v>192</v>
      </c>
      <c r="N412">
        <v>1E-3</v>
      </c>
      <c r="O412" t="s">
        <v>3</v>
      </c>
      <c r="P412">
        <v>0.98835620000000002</v>
      </c>
      <c r="Q412" t="s">
        <v>2</v>
      </c>
      <c r="R412">
        <v>0.1131597</v>
      </c>
      <c r="S412" t="s">
        <v>17</v>
      </c>
      <c r="T412">
        <v>50</v>
      </c>
      <c r="U412" t="s">
        <v>0</v>
      </c>
      <c r="V412">
        <v>200.2</v>
      </c>
      <c r="W412" t="s">
        <v>152</v>
      </c>
      <c r="X412">
        <v>6</v>
      </c>
      <c r="Y412" t="s">
        <v>153</v>
      </c>
      <c r="Z412">
        <v>55</v>
      </c>
      <c r="AA412" t="s">
        <v>151</v>
      </c>
      <c r="AB412">
        <v>97047</v>
      </c>
      <c r="AC412" t="s">
        <v>1</v>
      </c>
      <c r="AD412" t="s">
        <v>2091</v>
      </c>
      <c r="AE412" t="s">
        <v>838</v>
      </c>
      <c r="AF412" t="s">
        <v>2092</v>
      </c>
      <c r="AG412" t="s">
        <v>572</v>
      </c>
      <c r="AH412" t="s">
        <v>2093</v>
      </c>
      <c r="AI412" t="s">
        <v>572</v>
      </c>
      <c r="AJ412" t="s">
        <v>2094</v>
      </c>
      <c r="AK412" t="s">
        <v>572</v>
      </c>
      <c r="AL412" t="s">
        <v>1706</v>
      </c>
      <c r="AM412" t="s">
        <v>569</v>
      </c>
      <c r="AN412" t="s">
        <v>2095</v>
      </c>
      <c r="AO412" t="s">
        <v>572</v>
      </c>
      <c r="AP412" t="s">
        <v>1797</v>
      </c>
      <c r="AQ412" t="s">
        <v>572</v>
      </c>
      <c r="AR412">
        <v>9.1739181679617996</v>
      </c>
    </row>
    <row r="413" spans="2:52" x14ac:dyDescent="0.25">
      <c r="B413" t="s">
        <v>2096</v>
      </c>
      <c r="C413" t="s">
        <v>4</v>
      </c>
      <c r="D413">
        <v>87.756197200000003</v>
      </c>
      <c r="E413" t="s">
        <v>5</v>
      </c>
      <c r="F413">
        <v>0.99261219999999994</v>
      </c>
      <c r="G413" t="s">
        <v>189</v>
      </c>
      <c r="H413">
        <v>200</v>
      </c>
      <c r="I413" t="s">
        <v>190</v>
      </c>
      <c r="J413">
        <v>1000000</v>
      </c>
      <c r="K413" t="s">
        <v>191</v>
      </c>
      <c r="L413">
        <v>12345</v>
      </c>
      <c r="M413" t="s">
        <v>192</v>
      </c>
      <c r="N413">
        <v>1E-3</v>
      </c>
      <c r="O413" t="s">
        <v>3</v>
      </c>
      <c r="P413">
        <v>0.999946</v>
      </c>
      <c r="Q413" t="s">
        <v>2</v>
      </c>
      <c r="R413">
        <v>1.1683958999999999</v>
      </c>
      <c r="S413" t="s">
        <v>17</v>
      </c>
      <c r="T413">
        <v>48</v>
      </c>
      <c r="U413" t="s">
        <v>0</v>
      </c>
      <c r="V413">
        <v>200.7</v>
      </c>
      <c r="W413" t="s">
        <v>152</v>
      </c>
      <c r="X413">
        <v>3</v>
      </c>
      <c r="Y413" t="s">
        <v>153</v>
      </c>
      <c r="Z413">
        <v>58</v>
      </c>
      <c r="AA413" t="s">
        <v>151</v>
      </c>
      <c r="AB413">
        <v>107697</v>
      </c>
      <c r="AC413" t="s">
        <v>1</v>
      </c>
      <c r="AD413" t="e" cm="1">
        <f t="array" aca="1" ref="AD413" ca="1">-4.5527247628665+(5.0718058582782*X1)+(2.0221369793553*pow(((-1*pow(SIN((1+X1)),10))+(pow(X1,-1)*pow(SIN((1+X1)),10))),0.5))+(-0.0348578365335*pow(X1,-1))+(((0.5000022439258*X3)*pow(x0,-1))*pow(X2,-1))</f>
        <v>#NAME?</v>
      </c>
      <c r="AE413" t="s">
        <v>838</v>
      </c>
      <c r="AF413" t="s">
        <v>2097</v>
      </c>
      <c r="AG413" t="s">
        <v>569</v>
      </c>
      <c r="AH413" t="s">
        <v>2098</v>
      </c>
      <c r="AI413" t="s">
        <v>572</v>
      </c>
      <c r="AJ413" t="s">
        <v>2099</v>
      </c>
      <c r="AK413" t="s">
        <v>572</v>
      </c>
      <c r="AL413" t="s">
        <v>2100</v>
      </c>
      <c r="AM413" t="s">
        <v>572</v>
      </c>
      <c r="AN413" t="s">
        <v>2101</v>
      </c>
      <c r="AO413" t="s">
        <v>569</v>
      </c>
      <c r="AP413" t="s">
        <v>2102</v>
      </c>
      <c r="AQ413" t="s">
        <v>572</v>
      </c>
      <c r="AR413" t="s">
        <v>2103</v>
      </c>
      <c r="AS413" t="s">
        <v>569</v>
      </c>
      <c r="AT413">
        <v>4.5527247628665002</v>
      </c>
    </row>
    <row r="414" spans="2:52" x14ac:dyDescent="0.25">
      <c r="B414" t="s">
        <v>2104</v>
      </c>
      <c r="C414" t="s">
        <v>4</v>
      </c>
      <c r="D414">
        <v>0.28258470000000002</v>
      </c>
      <c r="E414" t="s">
        <v>5</v>
      </c>
      <c r="F414">
        <v>0.82742059999999995</v>
      </c>
      <c r="G414" t="s">
        <v>189</v>
      </c>
      <c r="H414">
        <v>200</v>
      </c>
      <c r="I414" t="s">
        <v>190</v>
      </c>
      <c r="J414">
        <v>1000000</v>
      </c>
      <c r="K414" t="s">
        <v>191</v>
      </c>
      <c r="L414">
        <v>12345</v>
      </c>
      <c r="M414" t="s">
        <v>192</v>
      </c>
      <c r="N414">
        <v>1E-3</v>
      </c>
      <c r="O414" t="s">
        <v>3</v>
      </c>
      <c r="P414">
        <v>0.82555239999999996</v>
      </c>
      <c r="Q414" t="s">
        <v>2</v>
      </c>
      <c r="R414">
        <v>0.28260390000000002</v>
      </c>
      <c r="S414" t="s">
        <v>17</v>
      </c>
      <c r="T414">
        <v>36</v>
      </c>
      <c r="U414" t="s">
        <v>0</v>
      </c>
      <c r="V414">
        <v>200.2</v>
      </c>
      <c r="W414" t="s">
        <v>152</v>
      </c>
      <c r="X414">
        <v>4</v>
      </c>
      <c r="Y414" t="s">
        <v>153</v>
      </c>
      <c r="Z414">
        <v>76</v>
      </c>
      <c r="AA414" t="s">
        <v>151</v>
      </c>
      <c r="AB414">
        <v>115464</v>
      </c>
      <c r="AC414" t="s">
        <v>1</v>
      </c>
      <c r="AD414" t="e" cm="1">
        <f t="array" aca="1" ref="AD414" ca="1">-0.0927442169756+(1.4574197622125*pow(COS((2*X3)),40))+(-1.0106524363283*SIN(((((X3+(4*pow((0.5+X3),2)))+(-1*X1))+(x0*X4))+(X1*X2))))</f>
        <v>#NAME?</v>
      </c>
      <c r="AE414" t="s">
        <v>838</v>
      </c>
      <c r="AF414" t="s">
        <v>2105</v>
      </c>
      <c r="AG414" t="s">
        <v>572</v>
      </c>
      <c r="AH414" t="s">
        <v>1659</v>
      </c>
      <c r="AI414" t="s">
        <v>569</v>
      </c>
      <c r="AJ414" t="s">
        <v>610</v>
      </c>
      <c r="AK414" t="s">
        <v>572</v>
      </c>
      <c r="AL414" t="s">
        <v>2106</v>
      </c>
      <c r="AM414" t="s">
        <v>572</v>
      </c>
      <c r="AN414" t="s">
        <v>2107</v>
      </c>
      <c r="AO414" t="s">
        <v>572</v>
      </c>
      <c r="AP414" t="s">
        <v>704</v>
      </c>
      <c r="AQ414" t="s">
        <v>572</v>
      </c>
      <c r="AR414" t="s">
        <v>2108</v>
      </c>
      <c r="AS414" t="s">
        <v>569</v>
      </c>
      <c r="AT414">
        <v>9.2744216975599994E-2</v>
      </c>
    </row>
    <row r="415" spans="2:52" x14ac:dyDescent="0.25">
      <c r="B415" t="s">
        <v>2109</v>
      </c>
      <c r="C415" t="s">
        <v>4</v>
      </c>
      <c r="D415">
        <v>4.3373999999999999E-3</v>
      </c>
      <c r="E415" t="s">
        <v>5</v>
      </c>
      <c r="F415">
        <v>0.99995489999999998</v>
      </c>
      <c r="G415" t="s">
        <v>189</v>
      </c>
      <c r="H415">
        <v>200</v>
      </c>
      <c r="I415" t="s">
        <v>190</v>
      </c>
      <c r="J415">
        <v>1000000</v>
      </c>
      <c r="K415" t="s">
        <v>191</v>
      </c>
      <c r="L415">
        <v>12345</v>
      </c>
      <c r="M415" t="s">
        <v>192</v>
      </c>
      <c r="N415">
        <v>1E-3</v>
      </c>
      <c r="O415" t="s">
        <v>3</v>
      </c>
      <c r="P415">
        <v>0.99995509999999999</v>
      </c>
      <c r="Q415" t="s">
        <v>2</v>
      </c>
      <c r="R415">
        <v>4.3099000000000002E-3</v>
      </c>
      <c r="S415" t="s">
        <v>17</v>
      </c>
      <c r="T415">
        <v>26</v>
      </c>
      <c r="U415" t="s">
        <v>0</v>
      </c>
      <c r="V415">
        <v>200.1</v>
      </c>
      <c r="W415" t="s">
        <v>152</v>
      </c>
      <c r="X415">
        <v>2</v>
      </c>
      <c r="Y415" t="s">
        <v>153</v>
      </c>
      <c r="Z415">
        <v>206</v>
      </c>
      <c r="AA415" t="s">
        <v>151</v>
      </c>
      <c r="AB415">
        <v>135900</v>
      </c>
      <c r="AC415" t="s">
        <v>1</v>
      </c>
      <c r="AD415" t="s">
        <v>2110</v>
      </c>
      <c r="AE415" t="s">
        <v>838</v>
      </c>
      <c r="AF415" t="s">
        <v>2111</v>
      </c>
      <c r="AG415" t="s">
        <v>569</v>
      </c>
      <c r="AH415" t="s">
        <v>2112</v>
      </c>
      <c r="AI415" t="s">
        <v>569</v>
      </c>
      <c r="AJ415" t="s">
        <v>2113</v>
      </c>
      <c r="AK415" t="s">
        <v>572</v>
      </c>
      <c r="AL415" t="s">
        <v>2114</v>
      </c>
      <c r="AM415" t="s">
        <v>572</v>
      </c>
      <c r="AN415" t="s">
        <v>2115</v>
      </c>
      <c r="AO415" t="s">
        <v>572</v>
      </c>
      <c r="AP415">
        <v>1.1301155997789001</v>
      </c>
    </row>
    <row r="416" spans="2:52" x14ac:dyDescent="0.25">
      <c r="B416" t="s">
        <v>2116</v>
      </c>
      <c r="C416" t="s">
        <v>4</v>
      </c>
      <c r="D416">
        <v>5.6642000000000003E-3</v>
      </c>
      <c r="E416" t="s">
        <v>5</v>
      </c>
      <c r="F416">
        <v>1</v>
      </c>
      <c r="G416" t="s">
        <v>189</v>
      </c>
      <c r="H416">
        <v>200</v>
      </c>
      <c r="I416" t="s">
        <v>190</v>
      </c>
      <c r="J416">
        <v>1000000</v>
      </c>
      <c r="K416" t="s">
        <v>191</v>
      </c>
      <c r="L416">
        <v>12345</v>
      </c>
      <c r="M416" t="s">
        <v>192</v>
      </c>
      <c r="N416">
        <v>1E-3</v>
      </c>
      <c r="O416" t="s">
        <v>3</v>
      </c>
      <c r="P416">
        <v>1</v>
      </c>
      <c r="Q416" t="s">
        <v>2</v>
      </c>
      <c r="R416">
        <v>3.9212799999999999E-2</v>
      </c>
      <c r="S416" t="s">
        <v>17</v>
      </c>
      <c r="T416">
        <v>26</v>
      </c>
      <c r="U416" t="s">
        <v>0</v>
      </c>
      <c r="V416">
        <v>200.2</v>
      </c>
      <c r="W416" t="s">
        <v>152</v>
      </c>
      <c r="X416">
        <v>4</v>
      </c>
      <c r="Y416" t="s">
        <v>153</v>
      </c>
      <c r="Z416">
        <v>183</v>
      </c>
      <c r="AA416" t="s">
        <v>151</v>
      </c>
      <c r="AB416">
        <v>130883</v>
      </c>
      <c r="AC416" t="s">
        <v>1</v>
      </c>
      <c r="AD416" t="s">
        <v>2117</v>
      </c>
      <c r="AE416" t="s">
        <v>838</v>
      </c>
      <c r="AF416" t="s">
        <v>2118</v>
      </c>
      <c r="AG416" t="s">
        <v>572</v>
      </c>
      <c r="AH416" t="s">
        <v>2119</v>
      </c>
      <c r="AI416" t="s">
        <v>572</v>
      </c>
      <c r="AJ416" t="s">
        <v>2120</v>
      </c>
      <c r="AK416" t="s">
        <v>572</v>
      </c>
      <c r="AL416" t="s">
        <v>2121</v>
      </c>
      <c r="AM416" t="s">
        <v>572</v>
      </c>
      <c r="AN416" t="s">
        <v>2122</v>
      </c>
    </row>
    <row r="417" spans="2:48" x14ac:dyDescent="0.25">
      <c r="B417" t="s">
        <v>2123</v>
      </c>
      <c r="C417" t="s">
        <v>4</v>
      </c>
      <c r="D417">
        <v>8.3569999999999998E-4</v>
      </c>
      <c r="E417" t="s">
        <v>5</v>
      </c>
      <c r="F417">
        <v>0.99950439999999996</v>
      </c>
      <c r="G417" t="s">
        <v>189</v>
      </c>
      <c r="H417">
        <v>200</v>
      </c>
      <c r="I417" t="s">
        <v>190</v>
      </c>
      <c r="J417">
        <v>1000000</v>
      </c>
      <c r="K417" t="s">
        <v>191</v>
      </c>
      <c r="L417">
        <v>12345</v>
      </c>
      <c r="M417" t="s">
        <v>192</v>
      </c>
      <c r="N417">
        <v>1E-3</v>
      </c>
      <c r="O417" t="s">
        <v>3</v>
      </c>
      <c r="P417">
        <v>0.99948360000000003</v>
      </c>
      <c r="Q417" t="s">
        <v>2</v>
      </c>
      <c r="R417">
        <v>8.6149999999999996E-4</v>
      </c>
      <c r="S417" t="s">
        <v>17</v>
      </c>
      <c r="T417">
        <v>20</v>
      </c>
      <c r="U417" t="s">
        <v>0</v>
      </c>
      <c r="V417">
        <v>200.1</v>
      </c>
      <c r="W417" t="s">
        <v>152</v>
      </c>
      <c r="X417">
        <v>3</v>
      </c>
      <c r="Y417" t="s">
        <v>153</v>
      </c>
      <c r="Z417">
        <v>216</v>
      </c>
      <c r="AA417" t="s">
        <v>151</v>
      </c>
      <c r="AB417">
        <v>150397</v>
      </c>
      <c r="AC417" t="s">
        <v>1</v>
      </c>
      <c r="AD417" t="s">
        <v>2124</v>
      </c>
      <c r="AE417" t="s">
        <v>838</v>
      </c>
      <c r="AF417" t="s">
        <v>2125</v>
      </c>
      <c r="AG417" t="s">
        <v>572</v>
      </c>
      <c r="AH417" t="s">
        <v>2126</v>
      </c>
      <c r="AI417" t="s">
        <v>569</v>
      </c>
      <c r="AJ417" t="s">
        <v>2127</v>
      </c>
      <c r="AK417" t="s">
        <v>572</v>
      </c>
      <c r="AL417">
        <v>2.3020847546230998</v>
      </c>
    </row>
    <row r="418" spans="2:48" x14ac:dyDescent="0.25">
      <c r="B418" t="s">
        <v>2128</v>
      </c>
      <c r="C418" t="s">
        <v>4</v>
      </c>
      <c r="D418">
        <v>2.6346499999999998E-2</v>
      </c>
      <c r="E418" t="s">
        <v>5</v>
      </c>
      <c r="F418">
        <v>0.98575380000000001</v>
      </c>
      <c r="G418" t="s">
        <v>189</v>
      </c>
      <c r="H418">
        <v>200</v>
      </c>
      <c r="I418" t="s">
        <v>190</v>
      </c>
      <c r="J418">
        <v>1000000</v>
      </c>
      <c r="K418" t="s">
        <v>191</v>
      </c>
      <c r="L418">
        <v>12345</v>
      </c>
      <c r="M418" t="s">
        <v>192</v>
      </c>
      <c r="N418">
        <v>1E-3</v>
      </c>
      <c r="O418" t="s">
        <v>3</v>
      </c>
      <c r="P418">
        <v>0.98651540000000004</v>
      </c>
      <c r="Q418" t="s">
        <v>2</v>
      </c>
      <c r="R418">
        <v>2.5880500000000001E-2</v>
      </c>
      <c r="S418" t="s">
        <v>17</v>
      </c>
      <c r="T418">
        <v>52</v>
      </c>
      <c r="U418" t="s">
        <v>0</v>
      </c>
      <c r="V418">
        <v>200.4</v>
      </c>
      <c r="W418" t="s">
        <v>152</v>
      </c>
      <c r="X418">
        <v>3</v>
      </c>
      <c r="Y418" t="s">
        <v>153</v>
      </c>
      <c r="Z418">
        <v>55</v>
      </c>
      <c r="AA418" t="s">
        <v>151</v>
      </c>
      <c r="AB418">
        <v>97772</v>
      </c>
      <c r="AC418" t="s">
        <v>1</v>
      </c>
      <c r="AD418" t="s">
        <v>2129</v>
      </c>
      <c r="AE418" t="s">
        <v>838</v>
      </c>
      <c r="AF418" t="e" cm="1">
        <f t="array" ref="AF418">-0.6353134895475*x0*X1</f>
        <v>#NAME?</v>
      </c>
      <c r="AG418" t="s">
        <v>569</v>
      </c>
      <c r="AH418" t="s">
        <v>2130</v>
      </c>
      <c r="AI418" t="s">
        <v>572</v>
      </c>
      <c r="AJ418" t="s">
        <v>2131</v>
      </c>
      <c r="AK418" t="s">
        <v>569</v>
      </c>
      <c r="AL418" t="s">
        <v>2132</v>
      </c>
      <c r="AM418" t="s">
        <v>572</v>
      </c>
      <c r="AN418" t="s">
        <v>2133</v>
      </c>
      <c r="AO418" t="s">
        <v>572</v>
      </c>
      <c r="AP418" t="s">
        <v>2134</v>
      </c>
      <c r="AQ418" t="s">
        <v>572</v>
      </c>
      <c r="AR418" t="s">
        <v>2135</v>
      </c>
      <c r="AS418" t="s">
        <v>572</v>
      </c>
      <c r="AT418" t="s">
        <v>2136</v>
      </c>
      <c r="AU418" t="s">
        <v>569</v>
      </c>
      <c r="AV418" t="s">
        <v>2137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5A8E8-047D-44CA-BD2B-A4F82E47E572}">
  <dimension ref="A1:U134"/>
  <sheetViews>
    <sheetView workbookViewId="0">
      <selection activeCell="I21" sqref="I21"/>
    </sheetView>
  </sheetViews>
  <sheetFormatPr defaultRowHeight="15" x14ac:dyDescent="0.25"/>
  <cols>
    <col min="1" max="1" width="19.140625" bestFit="1" customWidth="1"/>
    <col min="2" max="11" width="9.140625" style="24"/>
  </cols>
  <sheetData>
    <row r="1" spans="1:21" ht="15.75" thickBot="1" x14ac:dyDescent="0.3">
      <c r="B1" s="24">
        <f>MEDIAN(B5:B134)</f>
        <v>1</v>
      </c>
      <c r="C1" s="24">
        <f>MEDIAN(C5:C134)</f>
        <v>0</v>
      </c>
      <c r="E1" s="24">
        <f>E2/130</f>
        <v>0.56153846153846154</v>
      </c>
      <c r="F1" s="24">
        <f>F2/130</f>
        <v>0.79230769230769227</v>
      </c>
      <c r="G1" s="24">
        <f>MEDIAN(G5:G134)</f>
        <v>1</v>
      </c>
      <c r="H1" s="24">
        <f>MEDIAN(H5:H134)</f>
        <v>0</v>
      </c>
      <c r="J1" s="24">
        <f>J2/130</f>
        <v>0.5461538461538461</v>
      </c>
      <c r="K1" s="24">
        <f>K2/130</f>
        <v>0.77692307692307694</v>
      </c>
      <c r="L1">
        <f>MEDIAN(L5:L134)</f>
        <v>1</v>
      </c>
      <c r="M1">
        <f t="shared" ref="M1" si="0">MEDIAN(M5:M134)</f>
        <v>0</v>
      </c>
      <c r="O1">
        <f>O2/130</f>
        <v>0.53076923076923077</v>
      </c>
      <c r="P1">
        <f>P2/130</f>
        <v>0.77692307692307694</v>
      </c>
      <c r="Q1">
        <f>MEDIAN(Q5:Q134)</f>
        <v>1</v>
      </c>
      <c r="R1">
        <f>MEDIAN(R5:R134)</f>
        <v>0</v>
      </c>
      <c r="T1">
        <f>T2/130</f>
        <v>0.49230769230769234</v>
      </c>
      <c r="U1">
        <f>U2/130</f>
        <v>0.75384615384615383</v>
      </c>
    </row>
    <row r="2" spans="1:21" x14ac:dyDescent="0.25">
      <c r="A2" s="8" t="s">
        <v>196</v>
      </c>
      <c r="B2" s="15">
        <f>AVERAGE(B5:B134)</f>
        <v>0.96485126434108537</v>
      </c>
      <c r="C2" s="16">
        <f>AVERAGE(C5:C134)</f>
        <v>0.99352220852713191</v>
      </c>
      <c r="D2" s="16">
        <f>AVERAGE(D5:D134)</f>
        <v>580.25923076923095</v>
      </c>
      <c r="E2" s="17">
        <f>SUM(E5:E134)</f>
        <v>73</v>
      </c>
      <c r="F2" s="17">
        <f>SUM(F5:F134)</f>
        <v>103</v>
      </c>
      <c r="G2" s="15">
        <f>AVERAGE(G5:G134)</f>
        <v>0.97908068846153862</v>
      </c>
      <c r="H2" s="16">
        <f>AVERAGE(H5:H134)</f>
        <v>0.89707144692307683</v>
      </c>
      <c r="I2" s="16">
        <f>AVERAGE(I5:I134)</f>
        <v>595.77999999999963</v>
      </c>
      <c r="J2" s="17">
        <f>SUM(J5:J134)</f>
        <v>71</v>
      </c>
      <c r="K2" s="17">
        <f>SUM(K5:K134)</f>
        <v>101</v>
      </c>
      <c r="L2" s="1">
        <f>AVERAGE(L5:L134)</f>
        <v>-1262.614865053846</v>
      </c>
      <c r="M2" s="2">
        <f>AVERAGE(M5:M134)</f>
        <v>22.621766645384618</v>
      </c>
      <c r="N2" s="2">
        <f>AVERAGE(N5:N134)</f>
        <v>616.05307692307679</v>
      </c>
      <c r="O2" s="3">
        <f>SUM(O5:O134)</f>
        <v>69</v>
      </c>
      <c r="P2" s="3">
        <f>SUM(P5:P134)</f>
        <v>101</v>
      </c>
      <c r="Q2" s="1">
        <f>AVERAGE(Q5:Q134)</f>
        <v>-0.22633208818897618</v>
      </c>
      <c r="R2" s="2">
        <f>AVERAGE(R5:R134)</f>
        <v>1.9137647795275594</v>
      </c>
      <c r="S2" s="2">
        <f>AVERAGE(S5:S134)</f>
        <v>631.44384615384593</v>
      </c>
      <c r="T2" s="3">
        <f>SUM(T5:T134)</f>
        <v>64</v>
      </c>
      <c r="U2" s="3">
        <f>SUM(U5:U134)</f>
        <v>98</v>
      </c>
    </row>
    <row r="3" spans="1:21" x14ac:dyDescent="0.25">
      <c r="A3" s="9" t="s">
        <v>195</v>
      </c>
      <c r="B3" s="29" t="s">
        <v>375</v>
      </c>
      <c r="C3" s="30"/>
      <c r="D3" s="30"/>
      <c r="E3" s="34"/>
      <c r="F3" s="18"/>
      <c r="G3" s="29" t="s">
        <v>374</v>
      </c>
      <c r="H3" s="30"/>
      <c r="I3" s="30"/>
      <c r="J3" s="34"/>
      <c r="K3" s="18"/>
      <c r="L3" s="31" t="s">
        <v>376</v>
      </c>
      <c r="M3" s="32"/>
      <c r="N3" s="32"/>
      <c r="O3" s="33"/>
      <c r="P3" s="14"/>
      <c r="Q3" s="31" t="s">
        <v>377</v>
      </c>
      <c r="R3" s="32"/>
      <c r="S3" s="32"/>
      <c r="T3" s="33"/>
      <c r="U3" s="14"/>
    </row>
    <row r="4" spans="1:21" ht="15.75" thickBot="1" x14ac:dyDescent="0.3">
      <c r="A4" s="10" t="s">
        <v>193</v>
      </c>
      <c r="B4" s="22" t="s">
        <v>3</v>
      </c>
      <c r="C4" s="23" t="s">
        <v>2</v>
      </c>
      <c r="D4" s="23" t="s">
        <v>194</v>
      </c>
      <c r="E4" s="26" t="s">
        <v>197</v>
      </c>
      <c r="F4" s="23"/>
      <c r="G4" s="22" t="s">
        <v>3</v>
      </c>
      <c r="H4" s="23" t="s">
        <v>2</v>
      </c>
      <c r="I4" s="23" t="s">
        <v>194</v>
      </c>
      <c r="J4" s="26" t="s">
        <v>197</v>
      </c>
      <c r="K4" s="23"/>
      <c r="L4" s="11" t="s">
        <v>3</v>
      </c>
      <c r="M4" s="12" t="s">
        <v>2</v>
      </c>
      <c r="N4" s="12" t="s">
        <v>194</v>
      </c>
      <c r="O4" s="13" t="s">
        <v>197</v>
      </c>
      <c r="P4" s="12"/>
      <c r="Q4" s="11" t="s">
        <v>3</v>
      </c>
      <c r="R4" s="12" t="s">
        <v>2</v>
      </c>
      <c r="S4" s="12" t="s">
        <v>194</v>
      </c>
      <c r="T4" s="13" t="s">
        <v>197</v>
      </c>
      <c r="U4" s="12"/>
    </row>
    <row r="5" spans="1:21" x14ac:dyDescent="0.25">
      <c r="A5" s="9" t="s">
        <v>57</v>
      </c>
      <c r="B5" s="19">
        <f>VLOOKUP($A5,'0.001'!$A$1:$AE$133,13, FALSE)</f>
        <v>0.99999760000000004</v>
      </c>
      <c r="C5" s="20">
        <f>VLOOKUP($A5,'0.001'!$A$1:$AE$133,15, FALSE)</f>
        <v>1.8916E-3</v>
      </c>
      <c r="D5" s="20">
        <f>VLOOKUP($A5,'0.001'!$A$1:$AE$133,19, FALSE)</f>
        <v>1202.5999999999999</v>
      </c>
      <c r="E5" s="21">
        <f>IF(AND(B5=1,C5=0),1,0)</f>
        <v>0</v>
      </c>
      <c r="F5" s="20">
        <f>IF(B5&gt;0.999,1,0)</f>
        <v>1</v>
      </c>
      <c r="G5" s="19">
        <f>VLOOKUP($A5,'0.0005'!$A$1:$AE$133,11, FALSE)</f>
        <v>0.99999950000000004</v>
      </c>
      <c r="H5" s="20">
        <f>VLOOKUP($A5,'0.0005'!$A$1:$AE$133,13, FALSE)</f>
        <v>8.451E-4</v>
      </c>
      <c r="I5" s="20">
        <f>VLOOKUP($A5,'0.0005'!$A$1:$AE$133,17, FALSE)</f>
        <v>1200.5</v>
      </c>
      <c r="J5" s="21">
        <f>IF(AND(G5=1,H5=0),1,0)</f>
        <v>0</v>
      </c>
      <c r="K5" s="20">
        <f>IF(G5&gt;0.999,1,0)</f>
        <v>1</v>
      </c>
      <c r="L5" s="4">
        <f>VLOOKUP($A5,'0.0001'!$A$1:$AE$133,13, FALSE)</f>
        <v>0.99999950000000004</v>
      </c>
      <c r="M5">
        <f>VLOOKUP($A5,'0.0001'!$A$1:$AE$133,15, FALSE)</f>
        <v>8.4179999999999997E-4</v>
      </c>
      <c r="N5">
        <f>VLOOKUP($A5,'0.0001'!$A$1:$AE$133,19, FALSE)</f>
        <v>1201.5</v>
      </c>
      <c r="O5" s="5">
        <f>IF(AND(L5=1,M5=0),1,0)</f>
        <v>0</v>
      </c>
      <c r="P5">
        <f>IF(L5&gt;0.999,1,0)</f>
        <v>1</v>
      </c>
      <c r="Q5" s="4">
        <f>VLOOKUP($A5,'0.00001'!$A$1:$AE$133,13, FALSE)</f>
        <v>1</v>
      </c>
      <c r="R5">
        <f>VLOOKUP($A5,'0.00001'!$A$1:$AE$133,15, FALSE)</f>
        <v>7.4999999999999993E-5</v>
      </c>
      <c r="S5">
        <f>VLOOKUP($A5,'0.00001'!$A$1:$AE$133,19, FALSE)</f>
        <v>1201.3</v>
      </c>
      <c r="T5" s="5">
        <f>IF(AND(Q5=1,R5=0),1,0)</f>
        <v>0</v>
      </c>
      <c r="U5">
        <f>IF(Q5&gt;0.999,1,0)</f>
        <v>1</v>
      </c>
    </row>
    <row r="6" spans="1:21" x14ac:dyDescent="0.25">
      <c r="A6" s="9" t="s">
        <v>138</v>
      </c>
      <c r="B6" s="19">
        <f>VLOOKUP($A6,'0.001'!$A$1:$AE$133,13, FALSE)</f>
        <v>1</v>
      </c>
      <c r="C6" s="20">
        <f>VLOOKUP($A6,'0.001'!$A$1:$AE$133,15, FALSE)</f>
        <v>0</v>
      </c>
      <c r="D6" s="20">
        <f>VLOOKUP($A6,'0.001'!$A$1:$AE$133,19, FALSE)</f>
        <v>39.200000000000003</v>
      </c>
      <c r="E6" s="21">
        <f t="shared" ref="E6:E67" si="1">IF(AND(B6=1,C6=0),1,0)</f>
        <v>1</v>
      </c>
      <c r="F6" s="20">
        <f t="shared" ref="F6:F67" si="2">IF(B6&gt;0.999,1,0)</f>
        <v>1</v>
      </c>
      <c r="G6" s="19">
        <f>VLOOKUP($A6,'0.0005'!$A$1:$AE$133,11, FALSE)</f>
        <v>1</v>
      </c>
      <c r="H6" s="20">
        <f>VLOOKUP($A6,'0.0005'!$A$1:$AE$133,13, FALSE)</f>
        <v>0</v>
      </c>
      <c r="I6" s="20">
        <f>VLOOKUP($A6,'0.0005'!$A$1:$AE$133,17, FALSE)</f>
        <v>34</v>
      </c>
      <c r="J6" s="21">
        <f t="shared" ref="J6:J69" si="3">IF(AND(G6=1,H6=0),1,0)</f>
        <v>1</v>
      </c>
      <c r="K6" s="20">
        <f t="shared" ref="K6:K69" si="4">IF(G6&gt;0.999,1,0)</f>
        <v>1</v>
      </c>
      <c r="L6" s="4">
        <f>VLOOKUP($A6,'0.0001'!$A$1:$AE$133,13, FALSE)</f>
        <v>1</v>
      </c>
      <c r="M6">
        <f>VLOOKUP($A6,'0.0001'!$A$1:$AE$133,15, FALSE)</f>
        <v>0</v>
      </c>
      <c r="N6">
        <f>VLOOKUP($A6,'0.0001'!$A$1:$AE$133,19, FALSE)</f>
        <v>36.700000000000003</v>
      </c>
      <c r="O6" s="5">
        <f t="shared" ref="O6:O67" si="5">IF(AND(L6=1,M6=0),1,0)</f>
        <v>1</v>
      </c>
      <c r="P6">
        <f t="shared" ref="P6:P67" si="6">IF(L6&gt;0.999,1,0)</f>
        <v>1</v>
      </c>
      <c r="Q6" s="4">
        <f>VLOOKUP($A6,'0.00001'!$A$1:$AE$133,13, FALSE)</f>
        <v>1</v>
      </c>
      <c r="R6">
        <f>VLOOKUP($A6,'0.00001'!$A$1:$AE$133,15, FALSE)</f>
        <v>0</v>
      </c>
      <c r="S6">
        <f>VLOOKUP($A6,'0.00001'!$A$1:$AE$133,19, FALSE)</f>
        <v>44.3</v>
      </c>
      <c r="T6" s="5">
        <f t="shared" ref="T6:T67" si="7">IF(AND(Q6=1,R6=0),1,0)</f>
        <v>1</v>
      </c>
      <c r="U6">
        <f t="shared" ref="U6:U67" si="8">IF(Q6&gt;0.999,1,0)</f>
        <v>1</v>
      </c>
    </row>
    <row r="7" spans="1:21" x14ac:dyDescent="0.25">
      <c r="A7" s="9" t="s">
        <v>37</v>
      </c>
      <c r="B7" s="19">
        <f>VLOOKUP($A7,'0.001'!$A$1:$AE$133,13, FALSE)</f>
        <v>1</v>
      </c>
      <c r="C7" s="20">
        <f>VLOOKUP($A7,'0.001'!$A$1:$AE$133,15, FALSE)</f>
        <v>0</v>
      </c>
      <c r="D7" s="20">
        <f>VLOOKUP($A7,'0.001'!$A$1:$AE$133,19, FALSE)</f>
        <v>2.7</v>
      </c>
      <c r="E7" s="21">
        <f t="shared" si="1"/>
        <v>1</v>
      </c>
      <c r="F7" s="20">
        <f t="shared" si="2"/>
        <v>1</v>
      </c>
      <c r="G7" s="19">
        <f>VLOOKUP($A7,'0.0005'!$A$1:$AE$133,11, FALSE)</f>
        <v>1</v>
      </c>
      <c r="H7" s="20">
        <f>VLOOKUP($A7,'0.0005'!$A$1:$AE$133,13, FALSE)</f>
        <v>0</v>
      </c>
      <c r="I7" s="20">
        <f>VLOOKUP($A7,'0.0005'!$A$1:$AE$133,17, FALSE)</f>
        <v>2.7</v>
      </c>
      <c r="J7" s="21">
        <f t="shared" si="3"/>
        <v>1</v>
      </c>
      <c r="K7" s="20">
        <f t="shared" si="4"/>
        <v>1</v>
      </c>
      <c r="L7" s="4">
        <f>VLOOKUP($A7,'0.0001'!$A$1:$AE$133,13, FALSE)</f>
        <v>1</v>
      </c>
      <c r="M7">
        <f>VLOOKUP($A7,'0.0001'!$A$1:$AE$133,15, FALSE)</f>
        <v>0</v>
      </c>
      <c r="N7">
        <f>VLOOKUP($A7,'0.0001'!$A$1:$AE$133,19, FALSE)</f>
        <v>3.2</v>
      </c>
      <c r="O7" s="5">
        <f t="shared" si="5"/>
        <v>1</v>
      </c>
      <c r="P7">
        <f t="shared" si="6"/>
        <v>1</v>
      </c>
      <c r="Q7" s="4">
        <f>VLOOKUP($A7,'0.00001'!$A$1:$AE$133,13, FALSE)</f>
        <v>1</v>
      </c>
      <c r="R7">
        <f>VLOOKUP($A7,'0.00001'!$A$1:$AE$133,15, FALSE)</f>
        <v>0</v>
      </c>
      <c r="S7">
        <f>VLOOKUP($A7,'0.00001'!$A$1:$AE$133,19, FALSE)</f>
        <v>3.5</v>
      </c>
      <c r="T7" s="5">
        <f t="shared" si="7"/>
        <v>1</v>
      </c>
      <c r="U7">
        <f t="shared" si="8"/>
        <v>1</v>
      </c>
    </row>
    <row r="8" spans="1:21" x14ac:dyDescent="0.25">
      <c r="A8" s="9" t="s">
        <v>130</v>
      </c>
      <c r="B8" s="19">
        <f>VLOOKUP($A8,'0.001'!$A$1:$AE$133,13, FALSE)</f>
        <v>1</v>
      </c>
      <c r="C8" s="20">
        <f>VLOOKUP($A8,'0.001'!$A$1:$AE$133,15, FALSE)</f>
        <v>0</v>
      </c>
      <c r="D8" s="20">
        <f>VLOOKUP($A8,'0.001'!$A$1:$AE$133,19, FALSE)</f>
        <v>850.9</v>
      </c>
      <c r="E8" s="21">
        <f t="shared" si="1"/>
        <v>1</v>
      </c>
      <c r="F8" s="20">
        <f t="shared" si="2"/>
        <v>1</v>
      </c>
      <c r="G8" s="19">
        <f>VLOOKUP($A8,'0.0005'!$A$1:$AE$133,11, FALSE)</f>
        <v>1</v>
      </c>
      <c r="H8" s="20">
        <f>VLOOKUP($A8,'0.0005'!$A$1:$AE$133,13, FALSE)</f>
        <v>0</v>
      </c>
      <c r="I8" s="20">
        <f>VLOOKUP($A8,'0.0005'!$A$1:$AE$133,17, FALSE)</f>
        <v>1064.8</v>
      </c>
      <c r="J8" s="21">
        <f t="shared" si="3"/>
        <v>1</v>
      </c>
      <c r="K8" s="20">
        <f t="shared" si="4"/>
        <v>1</v>
      </c>
      <c r="L8" s="4">
        <f>VLOOKUP($A8,'0.0001'!$A$1:$AE$133,13, FALSE)</f>
        <v>0.99347209999999997</v>
      </c>
      <c r="M8">
        <f>VLOOKUP($A8,'0.0001'!$A$1:$AE$133,15, FALSE)</f>
        <v>2.1050727</v>
      </c>
      <c r="N8">
        <f>VLOOKUP($A8,'0.0001'!$A$1:$AE$133,19, FALSE)</f>
        <v>1203.0999999999999</v>
      </c>
      <c r="O8" s="5">
        <f t="shared" si="5"/>
        <v>0</v>
      </c>
      <c r="P8">
        <f t="shared" si="6"/>
        <v>0</v>
      </c>
      <c r="Q8" s="4">
        <f>VLOOKUP($A8,'0.00001'!$A$1:$AE$133,13, FALSE)</f>
        <v>0.9964653</v>
      </c>
      <c r="R8">
        <f>VLOOKUP($A8,'0.00001'!$A$1:$AE$133,15, FALSE)</f>
        <v>1.5490107</v>
      </c>
      <c r="S8">
        <f>VLOOKUP($A8,'0.00001'!$A$1:$AE$133,19, FALSE)</f>
        <v>1201.5</v>
      </c>
      <c r="T8" s="5">
        <f t="shared" si="7"/>
        <v>0</v>
      </c>
      <c r="U8">
        <f t="shared" si="8"/>
        <v>0</v>
      </c>
    </row>
    <row r="9" spans="1:21" x14ac:dyDescent="0.25">
      <c r="A9" s="9" t="s">
        <v>110</v>
      </c>
      <c r="B9" s="19">
        <f>VLOOKUP($A9,'0.001'!$A$1:$AE$133,13, FALSE)</f>
        <v>1</v>
      </c>
      <c r="C9" s="20">
        <f>VLOOKUP($A9,'0.001'!$A$1:$AE$133,15, FALSE)</f>
        <v>0</v>
      </c>
      <c r="D9" s="20">
        <f>VLOOKUP($A9,'0.001'!$A$1:$AE$133,19, FALSE)</f>
        <v>25.8</v>
      </c>
      <c r="E9" s="21">
        <f t="shared" si="1"/>
        <v>1</v>
      </c>
      <c r="F9" s="20">
        <f t="shared" si="2"/>
        <v>1</v>
      </c>
      <c r="G9" s="19">
        <f>VLOOKUP($A9,'0.0005'!$A$1:$AE$133,11, FALSE)</f>
        <v>1</v>
      </c>
      <c r="H9" s="20">
        <f>VLOOKUP($A9,'0.0005'!$A$1:$AE$133,13, FALSE)</f>
        <v>0</v>
      </c>
      <c r="I9" s="20">
        <f>VLOOKUP($A9,'0.0005'!$A$1:$AE$133,17, FALSE)</f>
        <v>31.7</v>
      </c>
      <c r="J9" s="21">
        <f t="shared" si="3"/>
        <v>1</v>
      </c>
      <c r="K9" s="20">
        <f t="shared" si="4"/>
        <v>1</v>
      </c>
      <c r="L9" s="4">
        <f>VLOOKUP($A9,'0.0001'!$A$1:$AE$133,13, FALSE)</f>
        <v>1</v>
      </c>
      <c r="M9">
        <f>VLOOKUP($A9,'0.0001'!$A$1:$AE$133,15, FALSE)</f>
        <v>0</v>
      </c>
      <c r="N9">
        <f>VLOOKUP($A9,'0.0001'!$A$1:$AE$133,19, FALSE)</f>
        <v>39.1</v>
      </c>
      <c r="O9" s="5">
        <f t="shared" si="5"/>
        <v>1</v>
      </c>
      <c r="P9">
        <f t="shared" si="6"/>
        <v>1</v>
      </c>
      <c r="Q9" s="4">
        <f>VLOOKUP($A9,'0.00001'!$A$1:$AE$133,13, FALSE)</f>
        <v>1</v>
      </c>
      <c r="R9">
        <f>VLOOKUP($A9,'0.00001'!$A$1:$AE$133,15, FALSE)</f>
        <v>0</v>
      </c>
      <c r="S9">
        <f>VLOOKUP($A9,'0.00001'!$A$1:$AE$133,19, FALSE)</f>
        <v>33</v>
      </c>
      <c r="T9" s="5">
        <f t="shared" si="7"/>
        <v>1</v>
      </c>
      <c r="U9">
        <f t="shared" si="8"/>
        <v>1</v>
      </c>
    </row>
    <row r="10" spans="1:21" x14ac:dyDescent="0.25">
      <c r="A10" s="9" t="s">
        <v>83</v>
      </c>
      <c r="B10" s="19">
        <f>VLOOKUP($A10,'0.001'!$A$1:$AE$133,13, FALSE)</f>
        <v>1</v>
      </c>
      <c r="C10" s="20">
        <f>VLOOKUP($A10,'0.001'!$A$1:$AE$133,15, FALSE)</f>
        <v>0</v>
      </c>
      <c r="D10" s="20">
        <f>VLOOKUP($A10,'0.001'!$A$1:$AE$133,19, FALSE)</f>
        <v>15.8</v>
      </c>
      <c r="E10" s="21">
        <f t="shared" si="1"/>
        <v>1</v>
      </c>
      <c r="F10" s="20">
        <f t="shared" si="2"/>
        <v>1</v>
      </c>
      <c r="G10" s="19">
        <f>VLOOKUP($A10,'0.0005'!$A$1:$AE$133,11, FALSE)</f>
        <v>1</v>
      </c>
      <c r="H10" s="20">
        <f>VLOOKUP($A10,'0.0005'!$A$1:$AE$133,13, FALSE)</f>
        <v>0</v>
      </c>
      <c r="I10" s="20">
        <f>VLOOKUP($A10,'0.0005'!$A$1:$AE$133,17, FALSE)</f>
        <v>14.4</v>
      </c>
      <c r="J10" s="21">
        <f t="shared" si="3"/>
        <v>1</v>
      </c>
      <c r="K10" s="20">
        <f t="shared" si="4"/>
        <v>1</v>
      </c>
      <c r="L10" s="4">
        <f>VLOOKUP($A10,'0.0001'!$A$1:$AE$133,13, FALSE)</f>
        <v>1</v>
      </c>
      <c r="M10">
        <f>VLOOKUP($A10,'0.0001'!$A$1:$AE$133,15, FALSE)</f>
        <v>0</v>
      </c>
      <c r="N10">
        <f>VLOOKUP($A10,'0.0001'!$A$1:$AE$133,19, FALSE)</f>
        <v>14.8</v>
      </c>
      <c r="O10" s="5">
        <f t="shared" si="5"/>
        <v>1</v>
      </c>
      <c r="P10">
        <f t="shared" si="6"/>
        <v>1</v>
      </c>
      <c r="Q10" s="4">
        <f>VLOOKUP($A10,'0.00001'!$A$1:$AE$133,13, FALSE)</f>
        <v>1</v>
      </c>
      <c r="R10">
        <f>VLOOKUP($A10,'0.00001'!$A$1:$AE$133,15, FALSE)</f>
        <v>0</v>
      </c>
      <c r="S10">
        <f>VLOOKUP($A10,'0.00001'!$A$1:$AE$133,19, FALSE)</f>
        <v>15.4</v>
      </c>
      <c r="T10" s="5">
        <f t="shared" si="7"/>
        <v>1</v>
      </c>
      <c r="U10">
        <f t="shared" si="8"/>
        <v>1</v>
      </c>
    </row>
    <row r="11" spans="1:21" x14ac:dyDescent="0.25">
      <c r="A11" s="9" t="s">
        <v>36</v>
      </c>
      <c r="B11" s="19">
        <f>VLOOKUP($A11,'0.001'!$A$1:$AE$133,13, FALSE)</f>
        <v>1</v>
      </c>
      <c r="C11" s="20">
        <f>VLOOKUP($A11,'0.001'!$A$1:$AE$133,15, FALSE)</f>
        <v>0</v>
      </c>
      <c r="D11" s="20">
        <f>VLOOKUP($A11,'0.001'!$A$1:$AE$133,19, FALSE)</f>
        <v>2.6</v>
      </c>
      <c r="E11" s="21">
        <f t="shared" si="1"/>
        <v>1</v>
      </c>
      <c r="F11" s="20">
        <f t="shared" si="2"/>
        <v>1</v>
      </c>
      <c r="G11" s="19">
        <f>VLOOKUP($A11,'0.0005'!$A$1:$AE$133,11, FALSE)</f>
        <v>1</v>
      </c>
      <c r="H11" s="20">
        <f>VLOOKUP($A11,'0.0005'!$A$1:$AE$133,13, FALSE)</f>
        <v>0</v>
      </c>
      <c r="I11" s="20">
        <f>VLOOKUP($A11,'0.0005'!$A$1:$AE$133,17, FALSE)</f>
        <v>2.7</v>
      </c>
      <c r="J11" s="21">
        <f t="shared" si="3"/>
        <v>1</v>
      </c>
      <c r="K11" s="20">
        <f t="shared" si="4"/>
        <v>1</v>
      </c>
      <c r="L11" s="4">
        <f>VLOOKUP($A11,'0.0001'!$A$1:$AE$133,13, FALSE)</f>
        <v>1</v>
      </c>
      <c r="M11">
        <f>VLOOKUP($A11,'0.0001'!$A$1:$AE$133,15, FALSE)</f>
        <v>0</v>
      </c>
      <c r="N11">
        <f>VLOOKUP($A11,'0.0001'!$A$1:$AE$133,19, FALSE)</f>
        <v>3.1</v>
      </c>
      <c r="O11" s="5">
        <f t="shared" si="5"/>
        <v>1</v>
      </c>
      <c r="P11">
        <f t="shared" si="6"/>
        <v>1</v>
      </c>
      <c r="Q11" s="4">
        <f>VLOOKUP($A11,'0.00001'!$A$1:$AE$133,13, FALSE)</f>
        <v>1</v>
      </c>
      <c r="R11">
        <f>VLOOKUP($A11,'0.00001'!$A$1:$AE$133,15, FALSE)</f>
        <v>0</v>
      </c>
      <c r="S11">
        <f>VLOOKUP($A11,'0.00001'!$A$1:$AE$133,19, FALSE)</f>
        <v>2.9</v>
      </c>
      <c r="T11" s="5">
        <f t="shared" si="7"/>
        <v>1</v>
      </c>
      <c r="U11">
        <f t="shared" si="8"/>
        <v>1</v>
      </c>
    </row>
    <row r="12" spans="1:21" x14ac:dyDescent="0.25">
      <c r="A12" s="9" t="s">
        <v>128</v>
      </c>
      <c r="B12" s="19">
        <f>VLOOKUP($A12,'0.001'!$A$1:$AE$133,13, FALSE)</f>
        <v>1</v>
      </c>
      <c r="C12" s="20">
        <f>VLOOKUP($A12,'0.001'!$A$1:$AE$133,15, FALSE)</f>
        <v>0</v>
      </c>
      <c r="D12" s="20">
        <f>VLOOKUP($A12,'0.001'!$A$1:$AE$133,19, FALSE)</f>
        <v>137.9</v>
      </c>
      <c r="E12" s="21">
        <f t="shared" si="1"/>
        <v>1</v>
      </c>
      <c r="F12" s="20">
        <f t="shared" si="2"/>
        <v>1</v>
      </c>
      <c r="G12" s="19">
        <f>VLOOKUP($A12,'0.0005'!$A$1:$AE$133,11, FALSE)</f>
        <v>1</v>
      </c>
      <c r="H12" s="20">
        <f>VLOOKUP($A12,'0.0005'!$A$1:$AE$133,13, FALSE)</f>
        <v>0</v>
      </c>
      <c r="I12" s="20">
        <f>VLOOKUP($A12,'0.0005'!$A$1:$AE$133,17, FALSE)</f>
        <v>123.5</v>
      </c>
      <c r="J12" s="21">
        <f t="shared" si="3"/>
        <v>1</v>
      </c>
      <c r="K12" s="20">
        <f t="shared" si="4"/>
        <v>1</v>
      </c>
      <c r="L12" s="4">
        <f>VLOOKUP($A12,'0.0001'!$A$1:$AE$133,13, FALSE)</f>
        <v>0.99468860000000003</v>
      </c>
      <c r="M12">
        <f>VLOOKUP($A12,'0.0001'!$A$1:$AE$133,15, FALSE)</f>
        <v>0.6630838</v>
      </c>
      <c r="N12">
        <f>VLOOKUP($A12,'0.0001'!$A$1:$AE$133,19, FALSE)</f>
        <v>1202.7</v>
      </c>
      <c r="O12" s="5">
        <f t="shared" si="5"/>
        <v>0</v>
      </c>
      <c r="P12">
        <f t="shared" si="6"/>
        <v>0</v>
      </c>
      <c r="Q12" s="4"/>
      <c r="S12">
        <f>VLOOKUP($A12,'0.00001'!$A$1:$AE$133,19, FALSE)</f>
        <v>1201.4000000000001</v>
      </c>
      <c r="T12" s="5">
        <f t="shared" si="7"/>
        <v>0</v>
      </c>
      <c r="U12">
        <f t="shared" si="8"/>
        <v>0</v>
      </c>
    </row>
    <row r="13" spans="1:21" x14ac:dyDescent="0.25">
      <c r="A13" s="9" t="s">
        <v>107</v>
      </c>
      <c r="B13" s="19">
        <f>VLOOKUP($A13,'0.001'!$A$1:$AE$133,13, FALSE)</f>
        <v>1</v>
      </c>
      <c r="C13" s="20">
        <f>VLOOKUP($A13,'0.001'!$A$1:$AE$133,15, FALSE)</f>
        <v>0</v>
      </c>
      <c r="D13" s="20">
        <f>VLOOKUP($A13,'0.001'!$A$1:$AE$133,19, FALSE)</f>
        <v>206.4</v>
      </c>
      <c r="E13" s="21">
        <f t="shared" si="1"/>
        <v>1</v>
      </c>
      <c r="F13" s="20">
        <f t="shared" si="2"/>
        <v>1</v>
      </c>
      <c r="G13" s="19">
        <f>VLOOKUP($A13,'0.0005'!$A$1:$AE$133,11, FALSE)</f>
        <v>1</v>
      </c>
      <c r="H13" s="20">
        <f>VLOOKUP($A13,'0.0005'!$A$1:$AE$133,13, FALSE)</f>
        <v>0</v>
      </c>
      <c r="I13" s="20">
        <f>VLOOKUP($A13,'0.0005'!$A$1:$AE$133,17, FALSE)</f>
        <v>191.8</v>
      </c>
      <c r="J13" s="21">
        <f t="shared" si="3"/>
        <v>1</v>
      </c>
      <c r="K13" s="20">
        <f t="shared" si="4"/>
        <v>1</v>
      </c>
      <c r="L13" s="4">
        <f>VLOOKUP($A13,'0.0001'!$A$1:$AE$133,13, FALSE)</f>
        <v>1</v>
      </c>
      <c r="M13">
        <f>VLOOKUP($A13,'0.0001'!$A$1:$AE$133,15, FALSE)</f>
        <v>0</v>
      </c>
      <c r="N13">
        <f>VLOOKUP($A13,'0.0001'!$A$1:$AE$133,19, FALSE)</f>
        <v>204.5</v>
      </c>
      <c r="O13" s="5">
        <f t="shared" si="5"/>
        <v>1</v>
      </c>
      <c r="P13">
        <f t="shared" si="6"/>
        <v>1</v>
      </c>
      <c r="Q13" s="4">
        <f>VLOOKUP($A13,'0.00001'!$A$1:$AE$133,13, FALSE)</f>
        <v>1</v>
      </c>
      <c r="R13">
        <f>VLOOKUP($A13,'0.00001'!$A$1:$AE$133,15, FALSE)</f>
        <v>0</v>
      </c>
      <c r="S13">
        <f>VLOOKUP($A13,'0.00001'!$A$1:$AE$133,19, FALSE)</f>
        <v>209.9</v>
      </c>
      <c r="T13" s="5">
        <f t="shared" si="7"/>
        <v>1</v>
      </c>
      <c r="U13">
        <f t="shared" si="8"/>
        <v>1</v>
      </c>
    </row>
    <row r="14" spans="1:21" x14ac:dyDescent="0.25">
      <c r="A14" s="9" t="s">
        <v>73</v>
      </c>
      <c r="B14" s="19">
        <f>VLOOKUP($A14,'0.001'!$A$1:$AE$133,13, FALSE)</f>
        <v>1</v>
      </c>
      <c r="C14" s="20">
        <f>VLOOKUP($A14,'0.001'!$A$1:$AE$133,15, FALSE)</f>
        <v>0</v>
      </c>
      <c r="D14" s="20">
        <f>VLOOKUP($A14,'0.001'!$A$1:$AE$133,19, FALSE)</f>
        <v>6.6</v>
      </c>
      <c r="E14" s="21">
        <f t="shared" si="1"/>
        <v>1</v>
      </c>
      <c r="F14" s="20">
        <f t="shared" si="2"/>
        <v>1</v>
      </c>
      <c r="G14" s="19">
        <f>VLOOKUP($A14,'0.0005'!$A$1:$AE$133,11, FALSE)</f>
        <v>1</v>
      </c>
      <c r="H14" s="20">
        <f>VLOOKUP($A14,'0.0005'!$A$1:$AE$133,13, FALSE)</f>
        <v>0</v>
      </c>
      <c r="I14" s="20">
        <f>VLOOKUP($A14,'0.0005'!$A$1:$AE$133,17, FALSE)</f>
        <v>6.1</v>
      </c>
      <c r="J14" s="21">
        <f t="shared" si="3"/>
        <v>1</v>
      </c>
      <c r="K14" s="20">
        <f t="shared" si="4"/>
        <v>1</v>
      </c>
      <c r="L14" s="4">
        <f>VLOOKUP($A14,'0.0001'!$A$1:$AE$133,13, FALSE)</f>
        <v>1</v>
      </c>
      <c r="M14">
        <f>VLOOKUP($A14,'0.0001'!$A$1:$AE$133,15, FALSE)</f>
        <v>0</v>
      </c>
      <c r="N14">
        <f>VLOOKUP($A14,'0.0001'!$A$1:$AE$133,19, FALSE)</f>
        <v>6.6</v>
      </c>
      <c r="O14" s="5">
        <f t="shared" si="5"/>
        <v>1</v>
      </c>
      <c r="P14">
        <f t="shared" si="6"/>
        <v>1</v>
      </c>
      <c r="Q14" s="4">
        <f>VLOOKUP($A14,'0.00001'!$A$1:$AE$133,13, FALSE)</f>
        <v>1</v>
      </c>
      <c r="R14">
        <f>VLOOKUP($A14,'0.00001'!$A$1:$AE$133,15, FALSE)</f>
        <v>0</v>
      </c>
      <c r="S14">
        <f>VLOOKUP($A14,'0.00001'!$A$1:$AE$133,19, FALSE)</f>
        <v>6.5</v>
      </c>
      <c r="T14" s="5">
        <f t="shared" si="7"/>
        <v>1</v>
      </c>
      <c r="U14">
        <f t="shared" si="8"/>
        <v>1</v>
      </c>
    </row>
    <row r="15" spans="1:21" x14ac:dyDescent="0.25">
      <c r="A15" s="9" t="s">
        <v>41</v>
      </c>
      <c r="B15" s="19">
        <f>VLOOKUP($A15,'0.001'!$A$1:$AE$133,13, FALSE)</f>
        <v>1</v>
      </c>
      <c r="C15" s="20">
        <f>VLOOKUP($A15,'0.001'!$A$1:$AE$133,15, FALSE)</f>
        <v>0</v>
      </c>
      <c r="D15" s="20">
        <f>VLOOKUP($A15,'0.001'!$A$1:$AE$133,19, FALSE)</f>
        <v>5.6</v>
      </c>
      <c r="E15" s="21">
        <f t="shared" si="1"/>
        <v>1</v>
      </c>
      <c r="F15" s="20">
        <f t="shared" si="2"/>
        <v>1</v>
      </c>
      <c r="G15" s="19">
        <f>VLOOKUP($A15,'0.0005'!$A$1:$AE$133,11, FALSE)</f>
        <v>1</v>
      </c>
      <c r="H15" s="20">
        <f>VLOOKUP($A15,'0.0005'!$A$1:$AE$133,13, FALSE)</f>
        <v>0</v>
      </c>
      <c r="I15" s="20">
        <f>VLOOKUP($A15,'0.0005'!$A$1:$AE$133,17, FALSE)</f>
        <v>5.2</v>
      </c>
      <c r="J15" s="21">
        <f t="shared" si="3"/>
        <v>1</v>
      </c>
      <c r="K15" s="20">
        <f t="shared" si="4"/>
        <v>1</v>
      </c>
      <c r="L15" s="4">
        <f>VLOOKUP($A15,'0.0001'!$A$1:$AE$133,13, FALSE)</f>
        <v>1</v>
      </c>
      <c r="M15">
        <f>VLOOKUP($A15,'0.0001'!$A$1:$AE$133,15, FALSE)</f>
        <v>0</v>
      </c>
      <c r="N15">
        <f>VLOOKUP($A15,'0.0001'!$A$1:$AE$133,19, FALSE)</f>
        <v>6.3</v>
      </c>
      <c r="O15" s="5">
        <f t="shared" si="5"/>
        <v>1</v>
      </c>
      <c r="P15">
        <f t="shared" si="6"/>
        <v>1</v>
      </c>
      <c r="Q15" s="4">
        <f>VLOOKUP($A15,'0.00001'!$A$1:$AE$133,13, FALSE)</f>
        <v>1</v>
      </c>
      <c r="R15">
        <f>VLOOKUP($A15,'0.00001'!$A$1:$AE$133,15, FALSE)</f>
        <v>0</v>
      </c>
      <c r="S15">
        <f>VLOOKUP($A15,'0.00001'!$A$1:$AE$133,19, FALSE)</f>
        <v>8.9</v>
      </c>
      <c r="T15" s="5">
        <f t="shared" si="7"/>
        <v>1</v>
      </c>
      <c r="U15">
        <f t="shared" si="8"/>
        <v>1</v>
      </c>
    </row>
    <row r="16" spans="1:21" x14ac:dyDescent="0.25">
      <c r="A16" s="9" t="s">
        <v>55</v>
      </c>
      <c r="B16" s="19">
        <f>VLOOKUP($A16,'0.001'!$A$1:$AE$133,13, FALSE)</f>
        <v>0.9999787</v>
      </c>
      <c r="C16" s="20">
        <f>VLOOKUP($A16,'0.001'!$A$1:$AE$133,15, FALSE)</f>
        <v>9.7362999999999998E-3</v>
      </c>
      <c r="D16" s="20">
        <f>VLOOKUP($A16,'0.001'!$A$1:$AE$133,19, FALSE)</f>
        <v>1202</v>
      </c>
      <c r="E16" s="21">
        <f t="shared" si="1"/>
        <v>0</v>
      </c>
      <c r="F16" s="20">
        <f t="shared" si="2"/>
        <v>1</v>
      </c>
      <c r="G16" s="19">
        <f>VLOOKUP($A16,'0.0005'!$A$1:$AE$133,11, FALSE)</f>
        <v>0.9999979</v>
      </c>
      <c r="H16" s="20">
        <f>VLOOKUP($A16,'0.0005'!$A$1:$AE$133,13, FALSE)</f>
        <v>3.0731999999999999E-3</v>
      </c>
      <c r="I16" s="20">
        <f>VLOOKUP($A16,'0.0005'!$A$1:$AE$133,17, FALSE)</f>
        <v>1202.5</v>
      </c>
      <c r="J16" s="21">
        <f t="shared" si="3"/>
        <v>0</v>
      </c>
      <c r="K16" s="20">
        <f t="shared" si="4"/>
        <v>1</v>
      </c>
      <c r="L16" s="4">
        <f>VLOOKUP($A16,'0.0001'!$A$1:$AE$133,13, FALSE)</f>
        <v>0.99999740000000004</v>
      </c>
      <c r="M16">
        <f>VLOOKUP($A16,'0.0001'!$A$1:$AE$133,15, FALSE)</f>
        <v>3.4163000000000002E-3</v>
      </c>
      <c r="N16">
        <f>VLOOKUP($A16,'0.0001'!$A$1:$AE$133,19, FALSE)</f>
        <v>1200.3</v>
      </c>
      <c r="O16" s="5">
        <f t="shared" si="5"/>
        <v>0</v>
      </c>
      <c r="P16">
        <f t="shared" si="6"/>
        <v>1</v>
      </c>
      <c r="Q16" s="4">
        <f>VLOOKUP($A16,'0.00001'!$A$1:$AE$133,13, FALSE)</f>
        <v>0.99997970000000003</v>
      </c>
      <c r="R16">
        <f>VLOOKUP($A16,'0.00001'!$A$1:$AE$133,15, FALSE)</f>
        <v>9.5052999999999995E-3</v>
      </c>
      <c r="S16">
        <f>VLOOKUP($A16,'0.00001'!$A$1:$AE$133,19, FALSE)</f>
        <v>1200.9000000000001</v>
      </c>
      <c r="T16" s="5">
        <f t="shared" si="7"/>
        <v>0</v>
      </c>
      <c r="U16">
        <f t="shared" si="8"/>
        <v>1</v>
      </c>
    </row>
    <row r="17" spans="1:21" x14ac:dyDescent="0.25">
      <c r="A17" s="9" t="s">
        <v>92</v>
      </c>
      <c r="B17" s="19">
        <f>VLOOKUP($A17,'0.001'!$A$1:$AE$133,13, FALSE)</f>
        <v>0.99943899999999997</v>
      </c>
      <c r="C17" s="20">
        <f>VLOOKUP($A17,'0.001'!$A$1:$AE$133,15, FALSE)</f>
        <v>2.8643399999999999E-2</v>
      </c>
      <c r="D17" s="20">
        <f>VLOOKUP($A17,'0.001'!$A$1:$AE$133,19, FALSE)</f>
        <v>1202.5999999999999</v>
      </c>
      <c r="E17" s="21">
        <f t="shared" si="1"/>
        <v>0</v>
      </c>
      <c r="F17" s="20">
        <f t="shared" si="2"/>
        <v>1</v>
      </c>
      <c r="G17" s="19">
        <f>VLOOKUP($A17,'0.0005'!$A$1:$AE$133,11, FALSE)</f>
        <v>0.99966250000000001</v>
      </c>
      <c r="H17" s="20">
        <f>VLOOKUP($A17,'0.0005'!$A$1:$AE$133,13, FALSE)</f>
        <v>2.2216E-2</v>
      </c>
      <c r="I17" s="20">
        <f>VLOOKUP($A17,'0.0005'!$A$1:$AE$133,17, FALSE)</f>
        <v>1200.7</v>
      </c>
      <c r="J17" s="21">
        <f t="shared" si="3"/>
        <v>0</v>
      </c>
      <c r="K17" s="20">
        <f t="shared" si="4"/>
        <v>1</v>
      </c>
      <c r="L17" s="4">
        <f>VLOOKUP($A17,'0.0001'!$A$1:$AE$133,13, FALSE)</f>
        <v>0.99990979999999996</v>
      </c>
      <c r="M17">
        <f>VLOOKUP($A17,'0.0001'!$A$1:$AE$133,15, FALSE)</f>
        <v>1.1488E-2</v>
      </c>
      <c r="N17">
        <f>VLOOKUP($A17,'0.0001'!$A$1:$AE$133,19, FALSE)</f>
        <v>1200.5999999999999</v>
      </c>
      <c r="O17" s="5">
        <f t="shared" si="5"/>
        <v>0</v>
      </c>
      <c r="P17">
        <f t="shared" si="6"/>
        <v>1</v>
      </c>
      <c r="Q17" s="4">
        <f>VLOOKUP($A17,'0.00001'!$A$1:$AE$133,13, FALSE)</f>
        <v>0.99999890000000002</v>
      </c>
      <c r="R17">
        <f>VLOOKUP($A17,'0.00001'!$A$1:$AE$133,15, FALSE)</f>
        <v>1.2696000000000001E-3</v>
      </c>
      <c r="S17">
        <f>VLOOKUP($A17,'0.00001'!$A$1:$AE$133,19, FALSE)</f>
        <v>1200.4000000000001</v>
      </c>
      <c r="T17" s="5">
        <f t="shared" si="7"/>
        <v>0</v>
      </c>
      <c r="U17">
        <f t="shared" si="8"/>
        <v>1</v>
      </c>
    </row>
    <row r="18" spans="1:21" x14ac:dyDescent="0.25">
      <c r="A18" s="9" t="s">
        <v>93</v>
      </c>
      <c r="B18" s="19">
        <f>VLOOKUP($A18,'0.001'!$A$1:$AE$133,13, FALSE)</f>
        <v>0.99970000000000003</v>
      </c>
      <c r="C18" s="20">
        <f>VLOOKUP($A18,'0.001'!$A$1:$AE$133,15, FALSE)</f>
        <v>2.77862E-2</v>
      </c>
      <c r="D18" s="20">
        <f>VLOOKUP($A18,'0.001'!$A$1:$AE$133,19, FALSE)</f>
        <v>1200.7</v>
      </c>
      <c r="E18" s="21">
        <f t="shared" si="1"/>
        <v>0</v>
      </c>
      <c r="F18" s="20">
        <f t="shared" si="2"/>
        <v>1</v>
      </c>
      <c r="G18" s="19">
        <f>VLOOKUP($A18,'0.0005'!$A$1:$AE$133,11, FALSE)</f>
        <v>0.99993860000000001</v>
      </c>
      <c r="H18" s="20">
        <f>VLOOKUP($A18,'0.0005'!$A$1:$AE$133,13, FALSE)</f>
        <v>1.25694E-2</v>
      </c>
      <c r="I18" s="20">
        <f>VLOOKUP($A18,'0.0005'!$A$1:$AE$133,17, FALSE)</f>
        <v>1200.4000000000001</v>
      </c>
      <c r="J18" s="21">
        <f t="shared" si="3"/>
        <v>0</v>
      </c>
      <c r="K18" s="20">
        <f t="shared" si="4"/>
        <v>1</v>
      </c>
      <c r="L18" s="4">
        <f>VLOOKUP($A18,'0.0001'!$A$1:$AE$133,13, FALSE)</f>
        <v>0.99997930000000002</v>
      </c>
      <c r="M18">
        <f>VLOOKUP($A18,'0.0001'!$A$1:$AE$133,15, FALSE)</f>
        <v>7.2998999999999998E-3</v>
      </c>
      <c r="N18">
        <f>VLOOKUP($A18,'0.0001'!$A$1:$AE$133,19, FALSE)</f>
        <v>1201.0999999999999</v>
      </c>
      <c r="O18" s="5">
        <f t="shared" si="5"/>
        <v>0</v>
      </c>
      <c r="P18">
        <f t="shared" si="6"/>
        <v>1</v>
      </c>
      <c r="Q18" s="4">
        <f>VLOOKUP($A18,'0.00001'!$A$1:$AE$133,13, FALSE)</f>
        <v>0.99999700000000002</v>
      </c>
      <c r="R18">
        <f>VLOOKUP($A18,'0.00001'!$A$1:$AE$133,15, FALSE)</f>
        <v>2.7702E-3</v>
      </c>
      <c r="S18">
        <f>VLOOKUP($A18,'0.00001'!$A$1:$AE$133,19, FALSE)</f>
        <v>1202.2</v>
      </c>
      <c r="T18" s="5">
        <f t="shared" si="7"/>
        <v>0</v>
      </c>
      <c r="U18">
        <f t="shared" si="8"/>
        <v>1</v>
      </c>
    </row>
    <row r="19" spans="1:21" x14ac:dyDescent="0.25">
      <c r="A19" s="9" t="s">
        <v>50</v>
      </c>
      <c r="B19" s="19">
        <f>VLOOKUP($A19,'0.001'!$A$1:$AE$133,13, FALSE)</f>
        <v>0.99413669999999998</v>
      </c>
      <c r="C19" s="20">
        <f>VLOOKUP($A19,'0.001'!$A$1:$AE$133,15, FALSE)</f>
        <v>8.7331699999999998E-2</v>
      </c>
      <c r="D19" s="20">
        <f>VLOOKUP($A19,'0.001'!$A$1:$AE$133,19, FALSE)</f>
        <v>1200.8</v>
      </c>
      <c r="E19" s="21">
        <f t="shared" si="1"/>
        <v>0</v>
      </c>
      <c r="F19" s="20">
        <f t="shared" si="2"/>
        <v>0</v>
      </c>
      <c r="G19" s="19">
        <f>VLOOKUP($A19,'0.0005'!$A$1:$AE$133,11, FALSE)</f>
        <v>0.99612120000000004</v>
      </c>
      <c r="H19" s="20">
        <f>VLOOKUP($A19,'0.0005'!$A$1:$AE$133,13, FALSE)</f>
        <v>7.1031499999999997E-2</v>
      </c>
      <c r="I19" s="20">
        <f>VLOOKUP($A19,'0.0005'!$A$1:$AE$133,17, FALSE)</f>
        <v>1200.5</v>
      </c>
      <c r="J19" s="21">
        <f t="shared" si="3"/>
        <v>0</v>
      </c>
      <c r="K19" s="20">
        <f t="shared" si="4"/>
        <v>0</v>
      </c>
      <c r="L19" s="4">
        <f>VLOOKUP($A19,'0.0001'!$A$1:$AE$133,13, FALSE)</f>
        <v>0.9972879</v>
      </c>
      <c r="M19">
        <f>VLOOKUP($A19,'0.0001'!$A$1:$AE$133,15, FALSE)</f>
        <v>5.9395999999999997E-2</v>
      </c>
      <c r="N19">
        <f>VLOOKUP($A19,'0.0001'!$A$1:$AE$133,19, FALSE)</f>
        <v>1203.0999999999999</v>
      </c>
      <c r="O19" s="5">
        <f t="shared" si="5"/>
        <v>0</v>
      </c>
      <c r="P19">
        <f t="shared" si="6"/>
        <v>0</v>
      </c>
      <c r="Q19" s="4">
        <f>VLOOKUP($A19,'0.00001'!$A$1:$AE$133,13, FALSE)</f>
        <v>0.99861069999999996</v>
      </c>
      <c r="R19">
        <f>VLOOKUP($A19,'0.00001'!$A$1:$AE$133,15, FALSE)</f>
        <v>4.2511300000000002E-2</v>
      </c>
      <c r="S19">
        <f>VLOOKUP($A19,'0.00001'!$A$1:$AE$133,19, FALSE)</f>
        <v>1201.4000000000001</v>
      </c>
      <c r="T19" s="5">
        <f t="shared" si="7"/>
        <v>0</v>
      </c>
      <c r="U19">
        <f t="shared" si="8"/>
        <v>0</v>
      </c>
    </row>
    <row r="20" spans="1:21" x14ac:dyDescent="0.25">
      <c r="A20" s="9" t="s">
        <v>78</v>
      </c>
      <c r="B20" s="19">
        <f>VLOOKUP($A20,'0.001'!$A$1:$AE$133,13, FALSE)</f>
        <v>1</v>
      </c>
      <c r="C20" s="20">
        <f>VLOOKUP($A20,'0.001'!$A$1:$AE$133,15, FALSE)</f>
        <v>0</v>
      </c>
      <c r="D20" s="20">
        <f>VLOOKUP($A20,'0.001'!$A$1:$AE$133,19, FALSE)</f>
        <v>8.6999999999999993</v>
      </c>
      <c r="E20" s="21">
        <f t="shared" si="1"/>
        <v>1</v>
      </c>
      <c r="F20" s="20">
        <f t="shared" si="2"/>
        <v>1</v>
      </c>
      <c r="G20" s="19">
        <f>VLOOKUP($A20,'0.0005'!$A$1:$AE$133,11, FALSE)</f>
        <v>1</v>
      </c>
      <c r="H20" s="20">
        <f>VLOOKUP($A20,'0.0005'!$A$1:$AE$133,13, FALSE)</f>
        <v>0</v>
      </c>
      <c r="I20" s="20">
        <f>VLOOKUP($A20,'0.0005'!$A$1:$AE$133,17, FALSE)</f>
        <v>7.6</v>
      </c>
      <c r="J20" s="21">
        <f t="shared" si="3"/>
        <v>1</v>
      </c>
      <c r="K20" s="20">
        <f t="shared" si="4"/>
        <v>1</v>
      </c>
      <c r="L20" s="4">
        <f>VLOOKUP($A20,'0.0001'!$A$1:$AE$133,13, FALSE)</f>
        <v>1</v>
      </c>
      <c r="M20">
        <f>VLOOKUP($A20,'0.0001'!$A$1:$AE$133,15, FALSE)</f>
        <v>0</v>
      </c>
      <c r="N20">
        <f>VLOOKUP($A20,'0.0001'!$A$1:$AE$133,19, FALSE)</f>
        <v>9.1999999999999993</v>
      </c>
      <c r="O20" s="5">
        <f t="shared" si="5"/>
        <v>1</v>
      </c>
      <c r="P20">
        <f t="shared" si="6"/>
        <v>1</v>
      </c>
      <c r="Q20" s="4">
        <f>VLOOKUP($A20,'0.00001'!$A$1:$AE$133,13, FALSE)</f>
        <v>1</v>
      </c>
      <c r="R20">
        <f>VLOOKUP($A20,'0.00001'!$A$1:$AE$133,15, FALSE)</f>
        <v>0</v>
      </c>
      <c r="S20">
        <f>VLOOKUP($A20,'0.00001'!$A$1:$AE$133,19, FALSE)</f>
        <v>11.9</v>
      </c>
      <c r="T20" s="5">
        <f t="shared" si="7"/>
        <v>1</v>
      </c>
      <c r="U20">
        <f t="shared" si="8"/>
        <v>1</v>
      </c>
    </row>
    <row r="21" spans="1:21" x14ac:dyDescent="0.25">
      <c r="A21" s="9" t="s">
        <v>111</v>
      </c>
      <c r="B21" s="19">
        <f>VLOOKUP($A21,'0.001'!$A$1:$AE$133,13, FALSE)</f>
        <v>1</v>
      </c>
      <c r="C21" s="20">
        <f>VLOOKUP($A21,'0.001'!$A$1:$AE$133,15, FALSE)</f>
        <v>0</v>
      </c>
      <c r="D21" s="20">
        <f>VLOOKUP($A21,'0.001'!$A$1:$AE$133,19, FALSE)</f>
        <v>889.6</v>
      </c>
      <c r="E21" s="21">
        <f t="shared" si="1"/>
        <v>1</v>
      </c>
      <c r="F21" s="20">
        <f t="shared" si="2"/>
        <v>1</v>
      </c>
      <c r="G21" s="19">
        <f>VLOOKUP($A21,'0.0005'!$A$1:$AE$133,11, FALSE)</f>
        <v>0.98734149999999998</v>
      </c>
      <c r="H21" s="20">
        <f>VLOOKUP($A21,'0.0005'!$A$1:$AE$133,13, FALSE)</f>
        <v>2.8660551000000001</v>
      </c>
      <c r="I21" s="20">
        <f>VLOOKUP($A21,'0.0005'!$A$1:$AE$133,17, FALSE)</f>
        <v>1201.3</v>
      </c>
      <c r="J21" s="21">
        <f t="shared" si="3"/>
        <v>0</v>
      </c>
      <c r="K21" s="20">
        <f t="shared" si="4"/>
        <v>0</v>
      </c>
      <c r="L21" s="4">
        <f>VLOOKUP($A21,'0.0001'!$A$1:$AE$133,13, FALSE)</f>
        <v>0.98605189999999998</v>
      </c>
      <c r="M21">
        <f>VLOOKUP($A21,'0.0001'!$A$1:$AE$133,15, FALSE)</f>
        <v>3.0085104999999999</v>
      </c>
      <c r="N21">
        <f>VLOOKUP($A21,'0.0001'!$A$1:$AE$133,19, FALSE)</f>
        <v>1200.8</v>
      </c>
      <c r="O21" s="5">
        <f t="shared" si="5"/>
        <v>0</v>
      </c>
      <c r="P21">
        <f t="shared" si="6"/>
        <v>0</v>
      </c>
      <c r="Q21" s="4">
        <f>VLOOKUP($A21,'0.00001'!$A$1:$AE$133,13, FALSE)</f>
        <v>0.97936259999999997</v>
      </c>
      <c r="R21">
        <f>VLOOKUP($A21,'0.00001'!$A$1:$AE$133,15, FALSE)</f>
        <v>3.6594948999999999</v>
      </c>
      <c r="S21">
        <f>VLOOKUP($A21,'0.00001'!$A$1:$AE$133,19, FALSE)</f>
        <v>1200.9000000000001</v>
      </c>
      <c r="T21" s="5">
        <f t="shared" si="7"/>
        <v>0</v>
      </c>
      <c r="U21">
        <f t="shared" si="8"/>
        <v>0</v>
      </c>
    </row>
    <row r="22" spans="1:21" x14ac:dyDescent="0.25">
      <c r="A22" s="9" t="s">
        <v>85</v>
      </c>
      <c r="B22" s="19">
        <f>VLOOKUP($A22,'0.001'!$A$1:$AE$133,13, FALSE)</f>
        <v>0.92402329999999999</v>
      </c>
      <c r="C22" s="20">
        <f>VLOOKUP($A22,'0.001'!$A$1:$AE$133,15, FALSE)</f>
        <v>0.23446420000000001</v>
      </c>
      <c r="D22" s="20">
        <f>VLOOKUP($A22,'0.001'!$A$1:$AE$133,19, FALSE)</f>
        <v>1205.0999999999999</v>
      </c>
      <c r="E22" s="21">
        <f t="shared" si="1"/>
        <v>0</v>
      </c>
      <c r="F22" s="20">
        <f t="shared" si="2"/>
        <v>0</v>
      </c>
      <c r="G22" s="19">
        <f>VLOOKUP($A22,'0.0005'!$A$1:$AE$133,11, FALSE)</f>
        <v>0.92402329999999999</v>
      </c>
      <c r="H22" s="20">
        <f>VLOOKUP($A22,'0.0005'!$A$1:$AE$133,13, FALSE)</f>
        <v>0.23446420000000001</v>
      </c>
      <c r="I22" s="20">
        <f>VLOOKUP($A22,'0.0005'!$A$1:$AE$133,17, FALSE)</f>
        <v>1209.4000000000001</v>
      </c>
      <c r="J22" s="21">
        <f t="shared" si="3"/>
        <v>0</v>
      </c>
      <c r="K22" s="20">
        <f t="shared" si="4"/>
        <v>0</v>
      </c>
      <c r="L22" s="4">
        <f>VLOOKUP($A22,'0.0001'!$A$1:$AE$133,13, FALSE)</f>
        <v>0.99729109999999999</v>
      </c>
      <c r="M22">
        <f>VLOOKUP($A22,'0.0001'!$A$1:$AE$133,15, FALSE)</f>
        <v>4.4272600000000002E-2</v>
      </c>
      <c r="N22">
        <f>VLOOKUP($A22,'0.0001'!$A$1:$AE$133,19, FALSE)</f>
        <v>1200.7</v>
      </c>
      <c r="O22" s="5">
        <f t="shared" si="5"/>
        <v>0</v>
      </c>
      <c r="P22">
        <f t="shared" si="6"/>
        <v>0</v>
      </c>
      <c r="Q22" s="4">
        <f>VLOOKUP($A22,'0.00001'!$A$1:$AE$133,13, FALSE)</f>
        <v>0.99997959999999997</v>
      </c>
      <c r="R22">
        <f>VLOOKUP($A22,'0.00001'!$A$1:$AE$133,15, FALSE)</f>
        <v>3.8430000000000001E-3</v>
      </c>
      <c r="S22">
        <f>VLOOKUP($A22,'0.00001'!$A$1:$AE$133,19, FALSE)</f>
        <v>1202.2</v>
      </c>
      <c r="T22" s="5">
        <f t="shared" si="7"/>
        <v>0</v>
      </c>
      <c r="U22">
        <f t="shared" si="8"/>
        <v>1</v>
      </c>
    </row>
    <row r="23" spans="1:21" x14ac:dyDescent="0.25">
      <c r="A23" s="9" t="s">
        <v>106</v>
      </c>
      <c r="B23" s="19">
        <f>VLOOKUP($A23,'0.001'!$A$1:$AE$133,13, FALSE)</f>
        <v>1</v>
      </c>
      <c r="C23" s="20">
        <f>VLOOKUP($A23,'0.001'!$A$1:$AE$133,15, FALSE)</f>
        <v>0</v>
      </c>
      <c r="D23" s="20">
        <f>VLOOKUP($A23,'0.001'!$A$1:$AE$133,19, FALSE)</f>
        <v>76.900000000000006</v>
      </c>
      <c r="E23" s="21">
        <f t="shared" si="1"/>
        <v>1</v>
      </c>
      <c r="F23" s="20">
        <f t="shared" si="2"/>
        <v>1</v>
      </c>
      <c r="G23" s="19">
        <f>VLOOKUP($A23,'0.0005'!$A$1:$AE$133,11, FALSE)</f>
        <v>1</v>
      </c>
      <c r="H23" s="20">
        <f>VLOOKUP($A23,'0.0005'!$A$1:$AE$133,13, FALSE)</f>
        <v>0</v>
      </c>
      <c r="I23" s="20">
        <f>VLOOKUP($A23,'0.0005'!$A$1:$AE$133,17, FALSE)</f>
        <v>69.400000000000006</v>
      </c>
      <c r="J23" s="21">
        <f t="shared" si="3"/>
        <v>1</v>
      </c>
      <c r="K23" s="20">
        <f t="shared" si="4"/>
        <v>1</v>
      </c>
      <c r="L23" s="4">
        <f>VLOOKUP($A23,'0.0001'!$A$1:$AE$133,13, FALSE)</f>
        <v>1</v>
      </c>
      <c r="M23">
        <f>VLOOKUP($A23,'0.0001'!$A$1:$AE$133,15, FALSE)</f>
        <v>0</v>
      </c>
      <c r="N23">
        <f>VLOOKUP($A23,'0.0001'!$A$1:$AE$133,19, FALSE)</f>
        <v>77.5</v>
      </c>
      <c r="O23" s="5">
        <f t="shared" si="5"/>
        <v>1</v>
      </c>
      <c r="P23">
        <f t="shared" si="6"/>
        <v>1</v>
      </c>
      <c r="Q23" s="4">
        <f>VLOOKUP($A23,'0.00001'!$A$1:$AE$133,13, FALSE)</f>
        <v>1</v>
      </c>
      <c r="R23">
        <f>VLOOKUP($A23,'0.00001'!$A$1:$AE$133,15, FALSE)</f>
        <v>0</v>
      </c>
      <c r="S23">
        <f>VLOOKUP($A23,'0.00001'!$A$1:$AE$133,19, FALSE)</f>
        <v>71.400000000000006</v>
      </c>
      <c r="T23" s="5">
        <f t="shared" si="7"/>
        <v>1</v>
      </c>
      <c r="U23">
        <f t="shared" si="8"/>
        <v>1</v>
      </c>
    </row>
    <row r="24" spans="1:21" x14ac:dyDescent="0.25">
      <c r="A24" s="9" t="s">
        <v>35</v>
      </c>
      <c r="B24" s="19">
        <f>VLOOKUP($A24,'0.001'!$A$1:$AE$133,13, FALSE)</f>
        <v>1</v>
      </c>
      <c r="C24" s="20">
        <f>VLOOKUP($A24,'0.001'!$A$1:$AE$133,15, FALSE)</f>
        <v>0</v>
      </c>
      <c r="D24" s="20">
        <f>VLOOKUP($A24,'0.001'!$A$1:$AE$133,19, FALSE)</f>
        <v>3.8</v>
      </c>
      <c r="E24" s="21">
        <f t="shared" si="1"/>
        <v>1</v>
      </c>
      <c r="F24" s="20">
        <f t="shared" si="2"/>
        <v>1</v>
      </c>
      <c r="G24" s="19">
        <f>VLOOKUP($A24,'0.0005'!$A$1:$AE$133,11, FALSE)</f>
        <v>1</v>
      </c>
      <c r="H24" s="20">
        <f>VLOOKUP($A24,'0.0005'!$A$1:$AE$133,13, FALSE)</f>
        <v>0</v>
      </c>
      <c r="I24" s="20">
        <f>VLOOKUP($A24,'0.0005'!$A$1:$AE$133,17, FALSE)</f>
        <v>3.9</v>
      </c>
      <c r="J24" s="21">
        <f t="shared" si="3"/>
        <v>1</v>
      </c>
      <c r="K24" s="20">
        <f t="shared" si="4"/>
        <v>1</v>
      </c>
      <c r="L24" s="4">
        <f>VLOOKUP($A24,'0.0001'!$A$1:$AE$133,13, FALSE)</f>
        <v>1</v>
      </c>
      <c r="M24">
        <f>VLOOKUP($A24,'0.0001'!$A$1:$AE$133,15, FALSE)</f>
        <v>0</v>
      </c>
      <c r="N24">
        <f>VLOOKUP($A24,'0.0001'!$A$1:$AE$133,19, FALSE)</f>
        <v>3.5</v>
      </c>
      <c r="O24" s="5">
        <f t="shared" si="5"/>
        <v>1</v>
      </c>
      <c r="P24">
        <f t="shared" si="6"/>
        <v>1</v>
      </c>
      <c r="Q24" s="4">
        <f>VLOOKUP($A24,'0.00001'!$A$1:$AE$133,13, FALSE)</f>
        <v>1</v>
      </c>
      <c r="R24">
        <f>VLOOKUP($A24,'0.00001'!$A$1:$AE$133,15, FALSE)</f>
        <v>0</v>
      </c>
      <c r="S24">
        <f>VLOOKUP($A24,'0.00001'!$A$1:$AE$133,19, FALSE)</f>
        <v>3.7</v>
      </c>
      <c r="T24" s="5">
        <f t="shared" si="7"/>
        <v>1</v>
      </c>
      <c r="U24">
        <f t="shared" si="8"/>
        <v>1</v>
      </c>
    </row>
    <row r="25" spans="1:21" x14ac:dyDescent="0.25">
      <c r="A25" s="9" t="s">
        <v>60</v>
      </c>
      <c r="B25" s="19">
        <f>VLOOKUP($A25,'0.001'!$A$1:$AE$133,13, FALSE)</f>
        <v>1</v>
      </c>
      <c r="C25" s="20">
        <f>VLOOKUP($A25,'0.001'!$A$1:$AE$133,15, FALSE)</f>
        <v>0</v>
      </c>
      <c r="D25" s="20">
        <f>VLOOKUP($A25,'0.001'!$A$1:$AE$133,19, FALSE)</f>
        <v>428.8</v>
      </c>
      <c r="E25" s="21">
        <f t="shared" si="1"/>
        <v>1</v>
      </c>
      <c r="F25" s="20">
        <f t="shared" si="2"/>
        <v>1</v>
      </c>
      <c r="G25" s="19">
        <f>VLOOKUP($A25,'0.0005'!$A$1:$AE$133,11, FALSE)</f>
        <v>1</v>
      </c>
      <c r="H25" s="20">
        <f>VLOOKUP($A25,'0.0005'!$A$1:$AE$133,13, FALSE)</f>
        <v>0</v>
      </c>
      <c r="I25" s="20">
        <f>VLOOKUP($A25,'0.0005'!$A$1:$AE$133,17, FALSE)</f>
        <v>809.2</v>
      </c>
      <c r="J25" s="21">
        <f t="shared" si="3"/>
        <v>1</v>
      </c>
      <c r="K25" s="20">
        <f t="shared" si="4"/>
        <v>1</v>
      </c>
      <c r="L25" s="4">
        <f>VLOOKUP($A25,'0.0001'!$A$1:$AE$133,13, FALSE)</f>
        <v>0.99975789999999998</v>
      </c>
      <c r="M25">
        <f>VLOOKUP($A25,'0.0001'!$A$1:$AE$133,15, FALSE)</f>
        <v>5.5722999999999996E-3</v>
      </c>
      <c r="N25">
        <f>VLOOKUP($A25,'0.0001'!$A$1:$AE$133,19, FALSE)</f>
        <v>1200.0999999999999</v>
      </c>
      <c r="O25" s="5">
        <f t="shared" si="5"/>
        <v>0</v>
      </c>
      <c r="P25">
        <f t="shared" si="6"/>
        <v>1</v>
      </c>
      <c r="Q25" s="4">
        <f>VLOOKUP($A25,'0.00001'!$A$1:$AE$133,13, FALSE)</f>
        <v>0.99973129999999999</v>
      </c>
      <c r="R25">
        <f>VLOOKUP($A25,'0.00001'!$A$1:$AE$133,15, FALSE)</f>
        <v>5.8698999999999999E-3</v>
      </c>
      <c r="S25">
        <f>VLOOKUP($A25,'0.00001'!$A$1:$AE$133,19, FALSE)</f>
        <v>1200.9000000000001</v>
      </c>
      <c r="T25" s="5">
        <f t="shared" si="7"/>
        <v>0</v>
      </c>
      <c r="U25">
        <f t="shared" si="8"/>
        <v>1</v>
      </c>
    </row>
    <row r="26" spans="1:21" x14ac:dyDescent="0.25">
      <c r="A26" s="9" t="s">
        <v>88</v>
      </c>
      <c r="B26" s="19">
        <f>VLOOKUP($A26,'0.001'!$A$1:$AE$133,13, FALSE)</f>
        <v>0.97077650000000004</v>
      </c>
      <c r="C26" s="20">
        <f>VLOOKUP($A26,'0.001'!$A$1:$AE$133,15, FALSE)</f>
        <v>0.32835930000000002</v>
      </c>
      <c r="D26" s="20">
        <f>VLOOKUP($A26,'0.001'!$A$1:$AE$133,19, FALSE)</f>
        <v>1201.9000000000001</v>
      </c>
      <c r="E26" s="21">
        <f t="shared" si="1"/>
        <v>0</v>
      </c>
      <c r="F26" s="20">
        <f t="shared" si="2"/>
        <v>0</v>
      </c>
      <c r="G26" s="19">
        <f>VLOOKUP($A26,'0.0005'!$A$1:$AE$133,11, FALSE)</f>
        <v>0.98424449999999997</v>
      </c>
      <c r="H26" s="20">
        <f>VLOOKUP($A26,'0.0005'!$A$1:$AE$133,13, FALSE)</f>
        <v>0.2411015</v>
      </c>
      <c r="I26" s="20">
        <f>VLOOKUP($A26,'0.0005'!$A$1:$AE$133,17, FALSE)</f>
        <v>1200.9000000000001</v>
      </c>
      <c r="J26" s="21">
        <f t="shared" si="3"/>
        <v>0</v>
      </c>
      <c r="K26" s="20">
        <f t="shared" si="4"/>
        <v>0</v>
      </c>
      <c r="L26" s="4">
        <f>VLOOKUP($A26,'0.0001'!$A$1:$AE$133,13, FALSE)</f>
        <v>0.90466159999999995</v>
      </c>
      <c r="M26">
        <f>VLOOKUP($A26,'0.0001'!$A$1:$AE$133,15, FALSE)</f>
        <v>0.59308550000000004</v>
      </c>
      <c r="N26">
        <f>VLOOKUP($A26,'0.0001'!$A$1:$AE$133,19, FALSE)</f>
        <v>1204.5</v>
      </c>
      <c r="O26" s="5">
        <f t="shared" si="5"/>
        <v>0</v>
      </c>
      <c r="P26">
        <f t="shared" si="6"/>
        <v>0</v>
      </c>
      <c r="Q26" s="4">
        <f>VLOOKUP($A26,'0.00001'!$A$1:$AE$133,13, FALSE)</f>
        <v>0.91897150000000005</v>
      </c>
      <c r="R26">
        <f>VLOOKUP($A26,'0.00001'!$A$1:$AE$133,15, FALSE)</f>
        <v>0.54676720000000001</v>
      </c>
      <c r="S26">
        <f>VLOOKUP($A26,'0.00001'!$A$1:$AE$133,19, FALSE)</f>
        <v>1204.0999999999999</v>
      </c>
      <c r="T26" s="5">
        <f t="shared" si="7"/>
        <v>0</v>
      </c>
      <c r="U26">
        <f t="shared" si="8"/>
        <v>0</v>
      </c>
    </row>
    <row r="27" spans="1:21" x14ac:dyDescent="0.25">
      <c r="A27" s="9" t="s">
        <v>38</v>
      </c>
      <c r="B27" s="19">
        <f>VLOOKUP($A27,'0.001'!$A$1:$AE$133,13, FALSE)</f>
        <v>1</v>
      </c>
      <c r="C27" s="20">
        <f>VLOOKUP($A27,'0.001'!$A$1:$AE$133,15, FALSE)</f>
        <v>0</v>
      </c>
      <c r="D27" s="20">
        <f>VLOOKUP($A27,'0.001'!$A$1:$AE$133,19, FALSE)</f>
        <v>3.9</v>
      </c>
      <c r="E27" s="21">
        <f t="shared" si="1"/>
        <v>1</v>
      </c>
      <c r="F27" s="20">
        <f t="shared" si="2"/>
        <v>1</v>
      </c>
      <c r="G27" s="19">
        <f>VLOOKUP($A27,'0.0005'!$A$1:$AE$133,11, FALSE)</f>
        <v>1</v>
      </c>
      <c r="H27" s="20">
        <f>VLOOKUP($A27,'0.0005'!$A$1:$AE$133,13, FALSE)</f>
        <v>0</v>
      </c>
      <c r="I27" s="20">
        <f>VLOOKUP($A27,'0.0005'!$A$1:$AE$133,17, FALSE)</f>
        <v>3.9</v>
      </c>
      <c r="J27" s="21">
        <f t="shared" si="3"/>
        <v>1</v>
      </c>
      <c r="K27" s="20">
        <f t="shared" si="4"/>
        <v>1</v>
      </c>
      <c r="L27" s="4">
        <f>VLOOKUP($A27,'0.0001'!$A$1:$AE$133,13, FALSE)</f>
        <v>1</v>
      </c>
      <c r="M27">
        <f>VLOOKUP($A27,'0.0001'!$A$1:$AE$133,15, FALSE)</f>
        <v>0</v>
      </c>
      <c r="N27">
        <f>VLOOKUP($A27,'0.0001'!$A$1:$AE$133,19, FALSE)</f>
        <v>4.3</v>
      </c>
      <c r="O27" s="5">
        <f t="shared" si="5"/>
        <v>1</v>
      </c>
      <c r="P27">
        <f t="shared" si="6"/>
        <v>1</v>
      </c>
      <c r="Q27" s="4">
        <f>VLOOKUP($A27,'0.00001'!$A$1:$AE$133,13, FALSE)</f>
        <v>1</v>
      </c>
      <c r="R27">
        <f>VLOOKUP($A27,'0.00001'!$A$1:$AE$133,15, FALSE)</f>
        <v>0</v>
      </c>
      <c r="S27">
        <f>VLOOKUP($A27,'0.00001'!$A$1:$AE$133,19, FALSE)</f>
        <v>3.2</v>
      </c>
      <c r="T27" s="5">
        <f t="shared" si="7"/>
        <v>1</v>
      </c>
      <c r="U27">
        <f t="shared" si="8"/>
        <v>1</v>
      </c>
    </row>
    <row r="28" spans="1:21" x14ac:dyDescent="0.25">
      <c r="A28" s="9" t="s">
        <v>64</v>
      </c>
      <c r="B28" s="19">
        <f>VLOOKUP($A28,'0.001'!$A$1:$AE$133,13, FALSE)</f>
        <v>0.99929840000000003</v>
      </c>
      <c r="C28" s="20">
        <f>VLOOKUP($A28,'0.001'!$A$1:$AE$133,15, FALSE)</f>
        <v>6.8151500000000004E-2</v>
      </c>
      <c r="D28" s="20">
        <f>VLOOKUP($A28,'0.001'!$A$1:$AE$133,19, FALSE)</f>
        <v>1201</v>
      </c>
      <c r="E28" s="21">
        <f t="shared" si="1"/>
        <v>0</v>
      </c>
      <c r="F28" s="20">
        <f t="shared" si="2"/>
        <v>1</v>
      </c>
      <c r="G28" s="19">
        <f>VLOOKUP($A28,'0.0005'!$A$1:$AE$133,11, FALSE)</f>
        <v>0.58623150000000002</v>
      </c>
      <c r="H28" s="20">
        <f>VLOOKUP($A28,'0.0005'!$A$1:$AE$133,13, FALSE)</f>
        <v>1.6550986999999999</v>
      </c>
      <c r="I28" s="20">
        <f>VLOOKUP($A28,'0.0005'!$A$1:$AE$133,17, FALSE)</f>
        <v>1200.4000000000001</v>
      </c>
      <c r="J28" s="21">
        <f t="shared" si="3"/>
        <v>0</v>
      </c>
      <c r="K28" s="20">
        <f t="shared" si="4"/>
        <v>0</v>
      </c>
      <c r="L28" s="4">
        <f>VLOOKUP($A28,'0.0001'!$A$1:$AE$133,13, FALSE)</f>
        <v>0.60828570000000004</v>
      </c>
      <c r="M28">
        <f>VLOOKUP($A28,'0.0001'!$A$1:$AE$133,15, FALSE)</f>
        <v>1.6103856000000001</v>
      </c>
      <c r="N28">
        <f>VLOOKUP($A28,'0.0001'!$A$1:$AE$133,19, FALSE)</f>
        <v>1201.4000000000001</v>
      </c>
      <c r="O28" s="5">
        <f t="shared" si="5"/>
        <v>0</v>
      </c>
      <c r="P28">
        <f t="shared" si="6"/>
        <v>0</v>
      </c>
      <c r="Q28" s="4">
        <f>VLOOKUP($A28,'0.00001'!$A$1:$AE$133,13, FALSE)</f>
        <v>0.61028590000000005</v>
      </c>
      <c r="R28">
        <f>VLOOKUP($A28,'0.00001'!$A$1:$AE$133,15, FALSE)</f>
        <v>1.6062689999999999</v>
      </c>
      <c r="S28">
        <f>VLOOKUP($A28,'0.00001'!$A$1:$AE$133,19, FALSE)</f>
        <v>1201.3</v>
      </c>
      <c r="T28" s="5">
        <f t="shared" si="7"/>
        <v>0</v>
      </c>
      <c r="U28">
        <f t="shared" si="8"/>
        <v>0</v>
      </c>
    </row>
    <row r="29" spans="1:21" x14ac:dyDescent="0.25">
      <c r="A29" s="9" t="s">
        <v>137</v>
      </c>
      <c r="B29" s="19">
        <f>VLOOKUP($A29,'0.001'!$A$1:$AE$133,13, FALSE)</f>
        <v>0.99928950000000005</v>
      </c>
      <c r="C29" s="20">
        <f>VLOOKUP($A29,'0.001'!$A$1:$AE$133,15, FALSE)</f>
        <v>0.1252828</v>
      </c>
      <c r="D29" s="20">
        <f>VLOOKUP($A29,'0.001'!$A$1:$AE$133,19, FALSE)</f>
        <v>1201.0999999999999</v>
      </c>
      <c r="E29" s="21">
        <f t="shared" si="1"/>
        <v>0</v>
      </c>
      <c r="F29" s="20">
        <f t="shared" si="2"/>
        <v>1</v>
      </c>
      <c r="G29" s="19">
        <f>VLOOKUP($A29,'0.0005'!$A$1:$AE$133,11, FALSE)</f>
        <v>0.99961350000000004</v>
      </c>
      <c r="H29" s="20">
        <f>VLOOKUP($A29,'0.0005'!$A$1:$AE$133,13, FALSE)</f>
        <v>9.2402899999999996E-2</v>
      </c>
      <c r="I29" s="20">
        <f>VLOOKUP($A29,'0.0005'!$A$1:$AE$133,17, FALSE)</f>
        <v>1201.9000000000001</v>
      </c>
      <c r="J29" s="21">
        <f t="shared" si="3"/>
        <v>0</v>
      </c>
      <c r="K29" s="20">
        <f t="shared" si="4"/>
        <v>1</v>
      </c>
      <c r="L29" s="4">
        <f>VLOOKUP($A29,'0.0001'!$A$1:$AE$133,13, FALSE)</f>
        <v>0.99839129999999998</v>
      </c>
      <c r="M29">
        <f>VLOOKUP($A29,'0.0001'!$A$1:$AE$133,15, FALSE)</f>
        <v>0.18851209999999999</v>
      </c>
      <c r="N29">
        <f>VLOOKUP($A29,'0.0001'!$A$1:$AE$133,19, FALSE)</f>
        <v>1203.7</v>
      </c>
      <c r="O29" s="5">
        <f t="shared" si="5"/>
        <v>0</v>
      </c>
      <c r="P29">
        <f t="shared" si="6"/>
        <v>0</v>
      </c>
      <c r="Q29" s="4">
        <f>VLOOKUP($A29,'0.00001'!$A$1:$AE$133,13, FALSE)</f>
        <v>0.99850340000000004</v>
      </c>
      <c r="R29">
        <f>VLOOKUP($A29,'0.00001'!$A$1:$AE$133,15, FALSE)</f>
        <v>0.18182429999999999</v>
      </c>
      <c r="S29">
        <f>VLOOKUP($A29,'0.00001'!$A$1:$AE$133,19, FALSE)</f>
        <v>1203.9000000000001</v>
      </c>
      <c r="T29" s="5">
        <f t="shared" si="7"/>
        <v>0</v>
      </c>
      <c r="U29">
        <f t="shared" si="8"/>
        <v>0</v>
      </c>
    </row>
    <row r="30" spans="1:21" x14ac:dyDescent="0.25">
      <c r="A30" s="9" t="s">
        <v>108</v>
      </c>
      <c r="B30" s="19">
        <f>VLOOKUP($A30,'0.001'!$A$1:$AE$133,13, FALSE)</f>
        <v>1</v>
      </c>
      <c r="C30" s="20">
        <f>VLOOKUP($A30,'0.001'!$A$1:$AE$133,15, FALSE)</f>
        <v>0</v>
      </c>
      <c r="D30" s="20">
        <f>VLOOKUP($A30,'0.001'!$A$1:$AE$133,19, FALSE)</f>
        <v>299.60000000000002</v>
      </c>
      <c r="E30" s="21">
        <f t="shared" si="1"/>
        <v>1</v>
      </c>
      <c r="F30" s="20">
        <f t="shared" si="2"/>
        <v>1</v>
      </c>
      <c r="G30" s="19">
        <f>VLOOKUP($A30,'0.0005'!$A$1:$AE$133,11, FALSE)</f>
        <v>1</v>
      </c>
      <c r="H30" s="20">
        <f>VLOOKUP($A30,'0.0005'!$A$1:$AE$133,13, FALSE)</f>
        <v>0</v>
      </c>
      <c r="I30" s="20">
        <f>VLOOKUP($A30,'0.0005'!$A$1:$AE$133,17, FALSE)</f>
        <v>255.9</v>
      </c>
      <c r="J30" s="21">
        <f t="shared" si="3"/>
        <v>1</v>
      </c>
      <c r="K30" s="20">
        <f t="shared" si="4"/>
        <v>1</v>
      </c>
      <c r="L30" s="4">
        <f>VLOOKUP($A30,'0.0001'!$A$1:$AE$133,13, FALSE)</f>
        <v>0.99560760000000004</v>
      </c>
      <c r="M30">
        <f>VLOOKUP($A30,'0.0001'!$A$1:$AE$133,15, FALSE)</f>
        <v>5.0783200000000001E-2</v>
      </c>
      <c r="N30">
        <f>VLOOKUP($A30,'0.0001'!$A$1:$AE$133,19, FALSE)</f>
        <v>1201.0999999999999</v>
      </c>
      <c r="O30" s="5">
        <f t="shared" si="5"/>
        <v>0</v>
      </c>
      <c r="P30">
        <f t="shared" si="6"/>
        <v>0</v>
      </c>
      <c r="Q30" s="4">
        <f>VLOOKUP($A30,'0.00001'!$A$1:$AE$133,13, FALSE)</f>
        <v>0.99508540000000001</v>
      </c>
      <c r="R30">
        <f>VLOOKUP($A30,'0.00001'!$A$1:$AE$133,15, FALSE)</f>
        <v>5.3717399999999998E-2</v>
      </c>
      <c r="S30">
        <f>VLOOKUP($A30,'0.00001'!$A$1:$AE$133,19, FALSE)</f>
        <v>1203.0999999999999</v>
      </c>
      <c r="T30" s="5">
        <f t="shared" si="7"/>
        <v>0</v>
      </c>
      <c r="U30">
        <f t="shared" si="8"/>
        <v>0</v>
      </c>
    </row>
    <row r="31" spans="1:21" x14ac:dyDescent="0.25">
      <c r="A31" s="9" t="s">
        <v>52</v>
      </c>
      <c r="B31" s="19">
        <f>VLOOKUP($A31,'0.001'!$A$1:$AE$133,13, FALSE)</f>
        <v>1</v>
      </c>
      <c r="C31" s="20">
        <f>VLOOKUP($A31,'0.001'!$A$1:$AE$133,15, FALSE)</f>
        <v>0</v>
      </c>
      <c r="D31" s="20">
        <f>VLOOKUP($A31,'0.001'!$A$1:$AE$133,19, FALSE)</f>
        <v>26.2</v>
      </c>
      <c r="E31" s="21">
        <f t="shared" si="1"/>
        <v>1</v>
      </c>
      <c r="F31" s="20">
        <f t="shared" si="2"/>
        <v>1</v>
      </c>
      <c r="G31" s="19">
        <f>VLOOKUP($A31,'0.0005'!$A$1:$AE$133,11, FALSE)</f>
        <v>1</v>
      </c>
      <c r="H31" s="20">
        <f>VLOOKUP($A31,'0.0005'!$A$1:$AE$133,13, FALSE)</f>
        <v>0</v>
      </c>
      <c r="I31" s="20">
        <f>VLOOKUP($A31,'0.0005'!$A$1:$AE$133,17, FALSE)</f>
        <v>25.4</v>
      </c>
      <c r="J31" s="21">
        <f t="shared" si="3"/>
        <v>1</v>
      </c>
      <c r="K31" s="20">
        <f t="shared" si="4"/>
        <v>1</v>
      </c>
      <c r="L31" s="4">
        <f>VLOOKUP($A31,'0.0001'!$A$1:$AE$133,13, FALSE)</f>
        <v>1</v>
      </c>
      <c r="M31">
        <f>VLOOKUP($A31,'0.0001'!$A$1:$AE$133,15, FALSE)</f>
        <v>0</v>
      </c>
      <c r="N31">
        <f>VLOOKUP($A31,'0.0001'!$A$1:$AE$133,19, FALSE)</f>
        <v>30.7</v>
      </c>
      <c r="O31" s="5">
        <f t="shared" si="5"/>
        <v>1</v>
      </c>
      <c r="P31">
        <f t="shared" si="6"/>
        <v>1</v>
      </c>
      <c r="Q31" s="4">
        <f>VLOOKUP($A31,'0.00001'!$A$1:$AE$133,13, FALSE)</f>
        <v>1</v>
      </c>
      <c r="R31">
        <f>VLOOKUP($A31,'0.00001'!$A$1:$AE$133,15, FALSE)</f>
        <v>0</v>
      </c>
      <c r="S31">
        <f>VLOOKUP($A31,'0.00001'!$A$1:$AE$133,19, FALSE)</f>
        <v>23.9</v>
      </c>
      <c r="T31" s="5">
        <f t="shared" si="7"/>
        <v>1</v>
      </c>
      <c r="U31">
        <f t="shared" si="8"/>
        <v>1</v>
      </c>
    </row>
    <row r="32" spans="1:21" x14ac:dyDescent="0.25">
      <c r="A32" s="9" t="s">
        <v>51</v>
      </c>
      <c r="B32" s="19">
        <f>VLOOKUP($A32,'0.001'!$A$1:$AE$133,13, FALSE)</f>
        <v>0.99998929999999997</v>
      </c>
      <c r="C32" s="20">
        <f>VLOOKUP($A32,'0.001'!$A$1:$AE$133,15, FALSE)</f>
        <v>5.2864000000000001E-3</v>
      </c>
      <c r="D32" s="20">
        <f>VLOOKUP($A32,'0.001'!$A$1:$AE$133,19, FALSE)</f>
        <v>1201.3</v>
      </c>
      <c r="E32" s="21">
        <f t="shared" si="1"/>
        <v>0</v>
      </c>
      <c r="F32" s="20">
        <f t="shared" si="2"/>
        <v>1</v>
      </c>
      <c r="G32" s="19">
        <f>VLOOKUP($A32,'0.0005'!$A$1:$AE$133,11, FALSE)</f>
        <v>0.99998929999999997</v>
      </c>
      <c r="H32" s="20">
        <f>VLOOKUP($A32,'0.0005'!$A$1:$AE$133,13, FALSE)</f>
        <v>5.2864000000000001E-3</v>
      </c>
      <c r="I32" s="20">
        <f>VLOOKUP($A32,'0.0005'!$A$1:$AE$133,17, FALSE)</f>
        <v>1201.0999999999999</v>
      </c>
      <c r="J32" s="21">
        <f t="shared" si="3"/>
        <v>0</v>
      </c>
      <c r="K32" s="20">
        <f t="shared" si="4"/>
        <v>1</v>
      </c>
      <c r="L32" s="4">
        <f>VLOOKUP($A32,'0.0001'!$A$1:$AE$133,13, FALSE)</f>
        <v>1</v>
      </c>
      <c r="M32">
        <f>VLOOKUP($A32,'0.0001'!$A$1:$AE$133,15, FALSE)</f>
        <v>1.2070000000000001E-4</v>
      </c>
      <c r="N32">
        <f>VLOOKUP($A32,'0.0001'!$A$1:$AE$133,19, FALSE)</f>
        <v>1200.0999999999999</v>
      </c>
      <c r="O32" s="5">
        <f t="shared" si="5"/>
        <v>0</v>
      </c>
      <c r="P32">
        <f t="shared" si="6"/>
        <v>1</v>
      </c>
      <c r="Q32" s="4">
        <f>VLOOKUP($A32,'0.00001'!$A$1:$AE$133,13, FALSE)</f>
        <v>1</v>
      </c>
      <c r="R32">
        <f>VLOOKUP($A32,'0.00001'!$A$1:$AE$133,15, FALSE)</f>
        <v>1.9469999999999999E-4</v>
      </c>
      <c r="S32">
        <f>VLOOKUP($A32,'0.00001'!$A$1:$AE$133,19, FALSE)</f>
        <v>1200.8</v>
      </c>
      <c r="T32" s="5">
        <f t="shared" si="7"/>
        <v>0</v>
      </c>
      <c r="U32">
        <f t="shared" si="8"/>
        <v>1</v>
      </c>
    </row>
    <row r="33" spans="1:21" x14ac:dyDescent="0.25">
      <c r="A33" s="9" t="s">
        <v>34</v>
      </c>
      <c r="B33" s="19">
        <f>VLOOKUP($A33,'0.001'!$A$1:$AE$133,13, FALSE)</f>
        <v>1</v>
      </c>
      <c r="C33" s="20">
        <f>VLOOKUP($A33,'0.001'!$A$1:$AE$133,15, FALSE)</f>
        <v>0</v>
      </c>
      <c r="D33" s="20">
        <f>VLOOKUP($A33,'0.001'!$A$1:$AE$133,19, FALSE)</f>
        <v>2.9</v>
      </c>
      <c r="E33" s="21">
        <f t="shared" si="1"/>
        <v>1</v>
      </c>
      <c r="F33" s="20">
        <f t="shared" si="2"/>
        <v>1</v>
      </c>
      <c r="G33" s="19">
        <f>VLOOKUP($A33,'0.0005'!$A$1:$AE$133,11, FALSE)</f>
        <v>1</v>
      </c>
      <c r="H33" s="20">
        <f>VLOOKUP($A33,'0.0005'!$A$1:$AE$133,13, FALSE)</f>
        <v>0</v>
      </c>
      <c r="I33" s="20">
        <f>VLOOKUP($A33,'0.0005'!$A$1:$AE$133,17, FALSE)</f>
        <v>2.6</v>
      </c>
      <c r="J33" s="21">
        <f t="shared" si="3"/>
        <v>1</v>
      </c>
      <c r="K33" s="20">
        <f t="shared" si="4"/>
        <v>1</v>
      </c>
      <c r="L33" s="4">
        <f>VLOOKUP($A33,'0.0001'!$A$1:$AE$133,13, FALSE)</f>
        <v>1</v>
      </c>
      <c r="M33">
        <f>VLOOKUP($A33,'0.0001'!$A$1:$AE$133,15, FALSE)</f>
        <v>0</v>
      </c>
      <c r="N33">
        <f>VLOOKUP($A33,'0.0001'!$A$1:$AE$133,19, FALSE)</f>
        <v>3.2</v>
      </c>
      <c r="O33" s="5">
        <f t="shared" si="5"/>
        <v>1</v>
      </c>
      <c r="P33">
        <f t="shared" si="6"/>
        <v>1</v>
      </c>
      <c r="Q33" s="4">
        <f>VLOOKUP($A33,'0.00001'!$A$1:$AE$133,13, FALSE)</f>
        <v>1</v>
      </c>
      <c r="R33">
        <f>VLOOKUP($A33,'0.00001'!$A$1:$AE$133,15, FALSE)</f>
        <v>0</v>
      </c>
      <c r="S33">
        <f>VLOOKUP($A33,'0.00001'!$A$1:$AE$133,19, FALSE)</f>
        <v>4.5</v>
      </c>
      <c r="T33" s="5">
        <f t="shared" si="7"/>
        <v>1</v>
      </c>
      <c r="U33">
        <f t="shared" si="8"/>
        <v>1</v>
      </c>
    </row>
    <row r="34" spans="1:21" x14ac:dyDescent="0.25">
      <c r="A34" s="9" t="s">
        <v>102</v>
      </c>
      <c r="B34" s="19">
        <f>VLOOKUP($A34,'0.001'!$A$1:$AE$133,13, FALSE)</f>
        <v>1</v>
      </c>
      <c r="C34" s="20">
        <f>VLOOKUP($A34,'0.001'!$A$1:$AE$133,15, FALSE)</f>
        <v>0</v>
      </c>
      <c r="D34" s="20">
        <f>VLOOKUP($A34,'0.001'!$A$1:$AE$133,19, FALSE)</f>
        <v>15.5</v>
      </c>
      <c r="E34" s="21">
        <f t="shared" si="1"/>
        <v>1</v>
      </c>
      <c r="F34" s="20">
        <f t="shared" si="2"/>
        <v>1</v>
      </c>
      <c r="G34" s="19">
        <f>VLOOKUP($A34,'0.0005'!$A$1:$AE$133,11, FALSE)</f>
        <v>1</v>
      </c>
      <c r="H34" s="20">
        <f>VLOOKUP($A34,'0.0005'!$A$1:$AE$133,13, FALSE)</f>
        <v>0</v>
      </c>
      <c r="I34" s="20">
        <f>VLOOKUP($A34,'0.0005'!$A$1:$AE$133,17, FALSE)</f>
        <v>14.7</v>
      </c>
      <c r="J34" s="21">
        <f t="shared" si="3"/>
        <v>1</v>
      </c>
      <c r="K34" s="20">
        <f t="shared" si="4"/>
        <v>1</v>
      </c>
      <c r="L34" s="4">
        <f>VLOOKUP($A34,'0.0001'!$A$1:$AE$133,13, FALSE)</f>
        <v>1</v>
      </c>
      <c r="M34">
        <f>VLOOKUP($A34,'0.0001'!$A$1:$AE$133,15, FALSE)</f>
        <v>0</v>
      </c>
      <c r="N34">
        <f>VLOOKUP($A34,'0.0001'!$A$1:$AE$133,19, FALSE)</f>
        <v>16.2</v>
      </c>
      <c r="O34" s="5">
        <f t="shared" si="5"/>
        <v>1</v>
      </c>
      <c r="P34">
        <f t="shared" si="6"/>
        <v>1</v>
      </c>
      <c r="Q34" s="4">
        <f>VLOOKUP($A34,'0.00001'!$A$1:$AE$133,13, FALSE)</f>
        <v>1</v>
      </c>
      <c r="R34">
        <f>VLOOKUP($A34,'0.00001'!$A$1:$AE$133,15, FALSE)</f>
        <v>0</v>
      </c>
      <c r="S34">
        <f>VLOOKUP($A34,'0.00001'!$A$1:$AE$133,19, FALSE)</f>
        <v>15.1</v>
      </c>
      <c r="T34" s="5">
        <f t="shared" si="7"/>
        <v>1</v>
      </c>
      <c r="U34">
        <f t="shared" si="8"/>
        <v>1</v>
      </c>
    </row>
    <row r="35" spans="1:21" x14ac:dyDescent="0.25">
      <c r="A35" s="9" t="s">
        <v>61</v>
      </c>
      <c r="B35" s="19">
        <f>VLOOKUP($A35,'0.001'!$A$1:$AE$133,13, FALSE)</f>
        <v>1</v>
      </c>
      <c r="C35" s="20">
        <f>VLOOKUP($A35,'0.001'!$A$1:$AE$133,15, FALSE)</f>
        <v>0</v>
      </c>
      <c r="D35" s="20">
        <f>VLOOKUP($A35,'0.001'!$A$1:$AE$133,19, FALSE)</f>
        <v>180.3</v>
      </c>
      <c r="E35" s="21">
        <f t="shared" si="1"/>
        <v>1</v>
      </c>
      <c r="F35" s="20">
        <f t="shared" si="2"/>
        <v>1</v>
      </c>
      <c r="G35" s="19">
        <f>VLOOKUP($A35,'0.0005'!$A$1:$AE$133,11, FALSE)</f>
        <v>0.99997840000000005</v>
      </c>
      <c r="H35" s="20">
        <f>VLOOKUP($A35,'0.0005'!$A$1:$AE$133,13, FALSE)</f>
        <v>1.33521E-2</v>
      </c>
      <c r="I35" s="20">
        <f>VLOOKUP($A35,'0.0005'!$A$1:$AE$133,17, FALSE)</f>
        <v>1200.2</v>
      </c>
      <c r="J35" s="21">
        <f t="shared" si="3"/>
        <v>0</v>
      </c>
      <c r="K35" s="20">
        <f t="shared" si="4"/>
        <v>1</v>
      </c>
      <c r="L35" s="4">
        <f>VLOOKUP($A35,'0.0001'!$A$1:$AE$133,13, FALSE)</f>
        <v>1</v>
      </c>
      <c r="M35">
        <f>VLOOKUP($A35,'0.0001'!$A$1:$AE$133,15, FALSE)</f>
        <v>0</v>
      </c>
      <c r="N35">
        <f>VLOOKUP($A35,'0.0001'!$A$1:$AE$133,19, FALSE)</f>
        <v>514.9</v>
      </c>
      <c r="O35" s="5">
        <f t="shared" si="5"/>
        <v>1</v>
      </c>
      <c r="P35">
        <f t="shared" si="6"/>
        <v>1</v>
      </c>
      <c r="Q35" s="4">
        <f>VLOOKUP($A35,'0.00001'!$A$1:$AE$133,13, FALSE)</f>
        <v>1</v>
      </c>
      <c r="R35">
        <f>VLOOKUP($A35,'0.00001'!$A$1:$AE$133,15, FALSE)</f>
        <v>0</v>
      </c>
      <c r="S35">
        <f>VLOOKUP($A35,'0.00001'!$A$1:$AE$133,19, FALSE)</f>
        <v>449.1</v>
      </c>
      <c r="T35" s="5">
        <f t="shared" si="7"/>
        <v>1</v>
      </c>
      <c r="U35">
        <f t="shared" si="8"/>
        <v>1</v>
      </c>
    </row>
    <row r="36" spans="1:21" x14ac:dyDescent="0.25">
      <c r="A36" s="9" t="s">
        <v>104</v>
      </c>
      <c r="B36" s="19">
        <f>VLOOKUP($A36,'0.001'!$A$1:$AE$133,13, FALSE)</f>
        <v>1</v>
      </c>
      <c r="C36" s="20">
        <f>VLOOKUP($A36,'0.001'!$A$1:$AE$133,15, FALSE)</f>
        <v>5.9999999999999997E-7</v>
      </c>
      <c r="D36" s="20">
        <f>VLOOKUP($A36,'0.001'!$A$1:$AE$133,19, FALSE)</f>
        <v>427.5</v>
      </c>
      <c r="E36" s="21">
        <f t="shared" si="1"/>
        <v>0</v>
      </c>
      <c r="F36" s="20">
        <f t="shared" si="2"/>
        <v>1</v>
      </c>
      <c r="G36" s="19">
        <f>VLOOKUP($A36,'0.0005'!$A$1:$AE$133,11, FALSE)</f>
        <v>1</v>
      </c>
      <c r="H36" s="20">
        <f>VLOOKUP($A36,'0.0005'!$A$1:$AE$133,13, FALSE)</f>
        <v>5.9999999999999997E-7</v>
      </c>
      <c r="I36" s="20">
        <f>VLOOKUP($A36,'0.0005'!$A$1:$AE$133,17, FALSE)</f>
        <v>387.8</v>
      </c>
      <c r="J36" s="21">
        <f t="shared" si="3"/>
        <v>0</v>
      </c>
      <c r="K36" s="20">
        <f t="shared" si="4"/>
        <v>1</v>
      </c>
      <c r="L36" s="4">
        <f>VLOOKUP($A36,'0.0001'!$A$1:$AE$133,13, FALSE)</f>
        <v>0.99814970000000003</v>
      </c>
      <c r="M36">
        <f>VLOOKUP($A36,'0.0001'!$A$1:$AE$133,15, FALSE)</f>
        <v>6.1652899999999997E-2</v>
      </c>
      <c r="N36">
        <f>VLOOKUP($A36,'0.0001'!$A$1:$AE$133,19, FALSE)</f>
        <v>1203.3</v>
      </c>
      <c r="O36" s="5">
        <f t="shared" si="5"/>
        <v>0</v>
      </c>
      <c r="P36">
        <f t="shared" si="6"/>
        <v>0</v>
      </c>
      <c r="Q36" s="4">
        <f>VLOOKUP($A36,'0.00001'!$A$1:$AE$133,13, FALSE)</f>
        <v>0.99949379999999999</v>
      </c>
      <c r="R36">
        <f>VLOOKUP($A36,'0.00001'!$A$1:$AE$133,15, FALSE)</f>
        <v>3.2247100000000001E-2</v>
      </c>
      <c r="S36">
        <f>VLOOKUP($A36,'0.00001'!$A$1:$AE$133,19, FALSE)</f>
        <v>1201.8</v>
      </c>
      <c r="T36" s="5">
        <f t="shared" si="7"/>
        <v>0</v>
      </c>
      <c r="U36">
        <f t="shared" si="8"/>
        <v>1</v>
      </c>
    </row>
    <row r="37" spans="1:21" x14ac:dyDescent="0.25">
      <c r="A37" s="9" t="s">
        <v>39</v>
      </c>
      <c r="B37" s="19">
        <f>VLOOKUP($A37,'0.001'!$A$1:$AE$133,13, FALSE)</f>
        <v>1</v>
      </c>
      <c r="C37" s="20">
        <f>VLOOKUP($A37,'0.001'!$A$1:$AE$133,15, FALSE)</f>
        <v>0</v>
      </c>
      <c r="D37" s="20">
        <f>VLOOKUP($A37,'0.001'!$A$1:$AE$133,19, FALSE)</f>
        <v>2.6</v>
      </c>
      <c r="E37" s="21">
        <f t="shared" si="1"/>
        <v>1</v>
      </c>
      <c r="F37" s="20">
        <f t="shared" si="2"/>
        <v>1</v>
      </c>
      <c r="G37" s="19">
        <f>VLOOKUP($A37,'0.0005'!$A$1:$AE$133,11, FALSE)</f>
        <v>1</v>
      </c>
      <c r="H37" s="20">
        <f>VLOOKUP($A37,'0.0005'!$A$1:$AE$133,13, FALSE)</f>
        <v>0</v>
      </c>
      <c r="I37" s="20">
        <f>VLOOKUP($A37,'0.0005'!$A$1:$AE$133,17, FALSE)</f>
        <v>2.6</v>
      </c>
      <c r="J37" s="21">
        <f t="shared" si="3"/>
        <v>1</v>
      </c>
      <c r="K37" s="20">
        <f t="shared" si="4"/>
        <v>1</v>
      </c>
      <c r="L37" s="4">
        <f>VLOOKUP($A37,'0.0001'!$A$1:$AE$133,13, FALSE)</f>
        <v>1</v>
      </c>
      <c r="M37">
        <f>VLOOKUP($A37,'0.0001'!$A$1:$AE$133,15, FALSE)</f>
        <v>0</v>
      </c>
      <c r="N37">
        <f>VLOOKUP($A37,'0.0001'!$A$1:$AE$133,19, FALSE)</f>
        <v>2.6</v>
      </c>
      <c r="O37" s="5">
        <f t="shared" si="5"/>
        <v>1</v>
      </c>
      <c r="P37">
        <f t="shared" si="6"/>
        <v>1</v>
      </c>
      <c r="Q37" s="4">
        <f>VLOOKUP($A37,'0.00001'!$A$1:$AE$133,13, FALSE)</f>
        <v>1</v>
      </c>
      <c r="R37">
        <f>VLOOKUP($A37,'0.00001'!$A$1:$AE$133,15, FALSE)</f>
        <v>0</v>
      </c>
      <c r="S37">
        <f>VLOOKUP($A37,'0.00001'!$A$1:$AE$133,19, FALSE)</f>
        <v>2.9</v>
      </c>
      <c r="T37" s="5">
        <f t="shared" si="7"/>
        <v>1</v>
      </c>
      <c r="U37">
        <f t="shared" si="8"/>
        <v>1</v>
      </c>
    </row>
    <row r="38" spans="1:21" x14ac:dyDescent="0.25">
      <c r="A38" s="9" t="s">
        <v>53</v>
      </c>
      <c r="B38" s="19">
        <f>VLOOKUP($A38,'0.001'!$A$1:$AE$133,13, FALSE)</f>
        <v>1</v>
      </c>
      <c r="C38" s="20">
        <f>VLOOKUP($A38,'0.001'!$A$1:$AE$133,15, FALSE)</f>
        <v>0</v>
      </c>
      <c r="D38" s="20">
        <f>VLOOKUP($A38,'0.001'!$A$1:$AE$133,19, FALSE)</f>
        <v>15.4</v>
      </c>
      <c r="E38" s="21">
        <f t="shared" si="1"/>
        <v>1</v>
      </c>
      <c r="F38" s="20">
        <f t="shared" si="2"/>
        <v>1</v>
      </c>
      <c r="G38" s="19">
        <f>VLOOKUP($A38,'0.0005'!$A$1:$AE$133,11, FALSE)</f>
        <v>1</v>
      </c>
      <c r="H38" s="20">
        <f>VLOOKUP($A38,'0.0005'!$A$1:$AE$133,13, FALSE)</f>
        <v>0</v>
      </c>
      <c r="I38" s="20">
        <f>VLOOKUP($A38,'0.0005'!$A$1:$AE$133,17, FALSE)</f>
        <v>14.2</v>
      </c>
      <c r="J38" s="21">
        <f t="shared" si="3"/>
        <v>1</v>
      </c>
      <c r="K38" s="20">
        <f t="shared" si="4"/>
        <v>1</v>
      </c>
      <c r="L38" s="4">
        <f>VLOOKUP($A38,'0.0001'!$A$1:$AE$133,13, FALSE)</f>
        <v>1</v>
      </c>
      <c r="M38">
        <f>VLOOKUP($A38,'0.0001'!$A$1:$AE$133,15, FALSE)</f>
        <v>0</v>
      </c>
      <c r="N38">
        <f>VLOOKUP($A38,'0.0001'!$A$1:$AE$133,19, FALSE)</f>
        <v>15.3</v>
      </c>
      <c r="O38" s="5">
        <f t="shared" si="5"/>
        <v>1</v>
      </c>
      <c r="P38">
        <f t="shared" si="6"/>
        <v>1</v>
      </c>
      <c r="Q38" s="4">
        <f>VLOOKUP($A38,'0.00001'!$A$1:$AE$133,13, FALSE)</f>
        <v>1</v>
      </c>
      <c r="R38">
        <f>VLOOKUP($A38,'0.00001'!$A$1:$AE$133,15, FALSE)</f>
        <v>0</v>
      </c>
      <c r="S38">
        <f>VLOOKUP($A38,'0.00001'!$A$1:$AE$133,19, FALSE)</f>
        <v>14.8</v>
      </c>
      <c r="T38" s="5">
        <f t="shared" si="7"/>
        <v>1</v>
      </c>
      <c r="U38">
        <f t="shared" si="8"/>
        <v>1</v>
      </c>
    </row>
    <row r="39" spans="1:21" x14ac:dyDescent="0.25">
      <c r="A39" s="9" t="s">
        <v>99</v>
      </c>
      <c r="B39" s="19">
        <f>VLOOKUP($A39,'0.001'!$A$1:$AE$133,13, FALSE)</f>
        <v>1</v>
      </c>
      <c r="C39" s="20">
        <f>VLOOKUP($A39,'0.001'!$A$1:$AE$133,15, FALSE)</f>
        <v>0</v>
      </c>
      <c r="D39" s="20">
        <f>VLOOKUP($A39,'0.001'!$A$1:$AE$133,19, FALSE)</f>
        <v>14.8</v>
      </c>
      <c r="E39" s="21">
        <f t="shared" si="1"/>
        <v>1</v>
      </c>
      <c r="F39" s="20">
        <f t="shared" si="2"/>
        <v>1</v>
      </c>
      <c r="G39" s="19">
        <f>VLOOKUP($A39,'0.0005'!$A$1:$AE$133,11, FALSE)</f>
        <v>1</v>
      </c>
      <c r="H39" s="20">
        <f>VLOOKUP($A39,'0.0005'!$A$1:$AE$133,13, FALSE)</f>
        <v>0</v>
      </c>
      <c r="I39" s="20">
        <f>VLOOKUP($A39,'0.0005'!$A$1:$AE$133,17, FALSE)</f>
        <v>14.2</v>
      </c>
      <c r="J39" s="21">
        <f t="shared" si="3"/>
        <v>1</v>
      </c>
      <c r="K39" s="20">
        <f t="shared" si="4"/>
        <v>1</v>
      </c>
      <c r="L39" s="4">
        <f>VLOOKUP($A39,'0.0001'!$A$1:$AE$133,13, FALSE)</f>
        <v>1</v>
      </c>
      <c r="M39">
        <f>VLOOKUP($A39,'0.0001'!$A$1:$AE$133,15, FALSE)</f>
        <v>0</v>
      </c>
      <c r="N39">
        <f>VLOOKUP($A39,'0.0001'!$A$1:$AE$133,19, FALSE)</f>
        <v>14.5</v>
      </c>
      <c r="O39" s="5">
        <f t="shared" si="5"/>
        <v>1</v>
      </c>
      <c r="P39">
        <f t="shared" si="6"/>
        <v>1</v>
      </c>
      <c r="Q39" s="4">
        <f>VLOOKUP($A39,'0.00001'!$A$1:$AE$133,13, FALSE)</f>
        <v>1</v>
      </c>
      <c r="R39">
        <f>VLOOKUP($A39,'0.00001'!$A$1:$AE$133,15, FALSE)</f>
        <v>0</v>
      </c>
      <c r="S39">
        <f>VLOOKUP($A39,'0.00001'!$A$1:$AE$133,19, FALSE)</f>
        <v>17.100000000000001</v>
      </c>
      <c r="T39" s="5">
        <f t="shared" si="7"/>
        <v>1</v>
      </c>
      <c r="U39">
        <f t="shared" si="8"/>
        <v>1</v>
      </c>
    </row>
    <row r="40" spans="1:21" x14ac:dyDescent="0.25">
      <c r="A40" s="9" t="s">
        <v>144</v>
      </c>
      <c r="B40" s="19">
        <f>VLOOKUP($A40,'0.001'!$A$1:$AE$133,13, FALSE)</f>
        <v>0.93131580000000003</v>
      </c>
      <c r="C40" s="20">
        <f>VLOOKUP($A40,'0.001'!$A$1:$AE$133,15, FALSE)</f>
        <v>0.17117540000000001</v>
      </c>
      <c r="D40" s="20">
        <f>VLOOKUP($A40,'0.001'!$A$1:$AE$133,19, FALSE)</f>
        <v>1200.5999999999999</v>
      </c>
      <c r="E40" s="21">
        <f t="shared" si="1"/>
        <v>0</v>
      </c>
      <c r="F40" s="20">
        <f t="shared" si="2"/>
        <v>0</v>
      </c>
      <c r="G40" s="19">
        <f>VLOOKUP($A40,'0.0005'!$A$1:$AE$133,11, FALSE)</f>
        <v>0.93918349999999995</v>
      </c>
      <c r="H40" s="20">
        <f>VLOOKUP($A40,'0.0005'!$A$1:$AE$133,13, FALSE)</f>
        <v>0.1610733</v>
      </c>
      <c r="I40" s="20">
        <f>VLOOKUP($A40,'0.0005'!$A$1:$AE$133,17, FALSE)</f>
        <v>1201.4000000000001</v>
      </c>
      <c r="J40" s="21">
        <f t="shared" si="3"/>
        <v>0</v>
      </c>
      <c r="K40" s="20">
        <f t="shared" si="4"/>
        <v>0</v>
      </c>
      <c r="L40" s="4">
        <f>VLOOKUP($A40,'0.0001'!$A$1:$AE$133,13, FALSE)</f>
        <v>0.94627070000000002</v>
      </c>
      <c r="M40">
        <f>VLOOKUP($A40,'0.0001'!$A$1:$AE$133,15, FALSE)</f>
        <v>0.15139749999999999</v>
      </c>
      <c r="N40">
        <f>VLOOKUP($A40,'0.0001'!$A$1:$AE$133,19, FALSE)</f>
        <v>1201.5999999999999</v>
      </c>
      <c r="O40" s="5">
        <f t="shared" si="5"/>
        <v>0</v>
      </c>
      <c r="P40">
        <f t="shared" si="6"/>
        <v>0</v>
      </c>
      <c r="Q40" s="4">
        <f>VLOOKUP($A40,'0.00001'!$A$1:$AE$133,13, FALSE)</f>
        <v>0.94773770000000002</v>
      </c>
      <c r="R40">
        <f>VLOOKUP($A40,'0.00001'!$A$1:$AE$133,15, FALSE)</f>
        <v>0.14931630000000001</v>
      </c>
      <c r="S40">
        <f>VLOOKUP($A40,'0.00001'!$A$1:$AE$133,19, FALSE)</f>
        <v>1200.7</v>
      </c>
      <c r="T40" s="5">
        <f t="shared" si="7"/>
        <v>0</v>
      </c>
      <c r="U40">
        <f t="shared" si="8"/>
        <v>0</v>
      </c>
    </row>
    <row r="41" spans="1:21" x14ac:dyDescent="0.25">
      <c r="A41" s="9" t="s">
        <v>125</v>
      </c>
      <c r="B41" s="19">
        <f>VLOOKUP($A41,'0.001'!$A$1:$AE$133,13, FALSE)</f>
        <v>0.99974510000000005</v>
      </c>
      <c r="C41" s="20">
        <f>VLOOKUP($A41,'0.001'!$A$1:$AE$133,15, FALSE)</f>
        <v>4.8088899999999997E-2</v>
      </c>
      <c r="D41" s="20">
        <f>VLOOKUP($A41,'0.001'!$A$1:$AE$133,19, FALSE)</f>
        <v>1201.3</v>
      </c>
      <c r="E41" s="21">
        <f t="shared" si="1"/>
        <v>0</v>
      </c>
      <c r="F41" s="20">
        <f t="shared" si="2"/>
        <v>1</v>
      </c>
      <c r="G41" s="19">
        <f>VLOOKUP($A41,'0.0005'!$A$1:$AE$133,11, FALSE)</f>
        <v>0.99992389999999998</v>
      </c>
      <c r="H41" s="20">
        <f>VLOOKUP($A41,'0.0005'!$A$1:$AE$133,13, FALSE)</f>
        <v>2.6272199999999999E-2</v>
      </c>
      <c r="I41" s="20">
        <f>VLOOKUP($A41,'0.0005'!$A$1:$AE$133,17, FALSE)</f>
        <v>1200.5999999999999</v>
      </c>
      <c r="J41" s="21">
        <f t="shared" si="3"/>
        <v>0</v>
      </c>
      <c r="K41" s="20">
        <f t="shared" si="4"/>
        <v>1</v>
      </c>
      <c r="L41" s="4">
        <f>VLOOKUP($A41,'0.0001'!$A$1:$AE$133,13, FALSE)</f>
        <v>0.99954379999999998</v>
      </c>
      <c r="M41">
        <f>VLOOKUP($A41,'0.0001'!$A$1:$AE$133,15, FALSE)</f>
        <v>6.4332E-2</v>
      </c>
      <c r="N41">
        <f>VLOOKUP($A41,'0.0001'!$A$1:$AE$133,19, FALSE)</f>
        <v>1200.5</v>
      </c>
      <c r="O41" s="5">
        <f t="shared" si="5"/>
        <v>0</v>
      </c>
      <c r="P41">
        <f t="shared" si="6"/>
        <v>1</v>
      </c>
      <c r="Q41" s="4">
        <f>VLOOKUP($A41,'0.00001'!$A$1:$AE$133,13, FALSE)</f>
        <v>0.99949779999999999</v>
      </c>
      <c r="R41">
        <f>VLOOKUP($A41,'0.00001'!$A$1:$AE$133,15, FALSE)</f>
        <v>6.7491800000000005E-2</v>
      </c>
      <c r="S41">
        <f>VLOOKUP($A41,'0.00001'!$A$1:$AE$133,19, FALSE)</f>
        <v>1203</v>
      </c>
      <c r="T41" s="5">
        <f t="shared" si="7"/>
        <v>0</v>
      </c>
      <c r="U41">
        <f t="shared" si="8"/>
        <v>1</v>
      </c>
    </row>
    <row r="42" spans="1:21" x14ac:dyDescent="0.25">
      <c r="A42" s="9" t="s">
        <v>100</v>
      </c>
      <c r="B42" s="19">
        <f>VLOOKUP($A42,'0.001'!$A$1:$AE$133,13, FALSE)</f>
        <v>1</v>
      </c>
      <c r="C42" s="20">
        <f>VLOOKUP($A42,'0.001'!$A$1:$AE$133,15, FALSE)</f>
        <v>0</v>
      </c>
      <c r="D42" s="20">
        <f>VLOOKUP($A42,'0.001'!$A$1:$AE$133,19, FALSE)</f>
        <v>15.6</v>
      </c>
      <c r="E42" s="21">
        <f t="shared" si="1"/>
        <v>1</v>
      </c>
      <c r="F42" s="20">
        <f t="shared" si="2"/>
        <v>1</v>
      </c>
      <c r="G42" s="19">
        <f>VLOOKUP($A42,'0.0005'!$A$1:$AE$133,11, FALSE)</f>
        <v>1</v>
      </c>
      <c r="H42" s="20">
        <f>VLOOKUP($A42,'0.0005'!$A$1:$AE$133,13, FALSE)</f>
        <v>0</v>
      </c>
      <c r="I42" s="20">
        <f>VLOOKUP($A42,'0.0005'!$A$1:$AE$133,17, FALSE)</f>
        <v>14.3</v>
      </c>
      <c r="J42" s="21">
        <f t="shared" si="3"/>
        <v>1</v>
      </c>
      <c r="K42" s="20">
        <f t="shared" si="4"/>
        <v>1</v>
      </c>
      <c r="L42" s="4">
        <f>VLOOKUP($A42,'0.0001'!$A$1:$AE$133,13, FALSE)</f>
        <v>1</v>
      </c>
      <c r="M42">
        <f>VLOOKUP($A42,'0.0001'!$A$1:$AE$133,15, FALSE)</f>
        <v>0</v>
      </c>
      <c r="N42">
        <f>VLOOKUP($A42,'0.0001'!$A$1:$AE$133,19, FALSE)</f>
        <v>17.8</v>
      </c>
      <c r="O42" s="5">
        <f t="shared" si="5"/>
        <v>1</v>
      </c>
      <c r="P42">
        <f t="shared" si="6"/>
        <v>1</v>
      </c>
      <c r="Q42" s="4">
        <f>VLOOKUP($A42,'0.00001'!$A$1:$AE$133,13, FALSE)</f>
        <v>1</v>
      </c>
      <c r="R42">
        <f>VLOOKUP($A42,'0.00001'!$A$1:$AE$133,15, FALSE)</f>
        <v>0</v>
      </c>
      <c r="S42">
        <f>VLOOKUP($A42,'0.00001'!$A$1:$AE$133,19, FALSE)</f>
        <v>15</v>
      </c>
      <c r="T42" s="5">
        <f t="shared" si="7"/>
        <v>1</v>
      </c>
      <c r="U42">
        <f t="shared" si="8"/>
        <v>1</v>
      </c>
    </row>
    <row r="43" spans="1:21" x14ac:dyDescent="0.25">
      <c r="A43" s="9" t="s">
        <v>72</v>
      </c>
      <c r="B43" s="19">
        <f>VLOOKUP($A43,'0.001'!$A$1:$AE$133,13, FALSE)</f>
        <v>1</v>
      </c>
      <c r="C43" s="20">
        <f>VLOOKUP($A43,'0.001'!$A$1:$AE$133,15, FALSE)</f>
        <v>0</v>
      </c>
      <c r="D43" s="20">
        <f>VLOOKUP($A43,'0.001'!$A$1:$AE$133,19, FALSE)</f>
        <v>6.4</v>
      </c>
      <c r="E43" s="21">
        <f t="shared" si="1"/>
        <v>1</v>
      </c>
      <c r="F43" s="20">
        <f t="shared" si="2"/>
        <v>1</v>
      </c>
      <c r="G43" s="19">
        <f>VLOOKUP($A43,'0.0005'!$A$1:$AE$133,11, FALSE)</f>
        <v>1</v>
      </c>
      <c r="H43" s="20">
        <f>VLOOKUP($A43,'0.0005'!$A$1:$AE$133,13, FALSE)</f>
        <v>0</v>
      </c>
      <c r="I43" s="20">
        <f>VLOOKUP($A43,'0.0005'!$A$1:$AE$133,17, FALSE)</f>
        <v>6.1</v>
      </c>
      <c r="J43" s="21">
        <f t="shared" si="3"/>
        <v>1</v>
      </c>
      <c r="K43" s="20">
        <f t="shared" si="4"/>
        <v>1</v>
      </c>
      <c r="L43" s="4">
        <f>VLOOKUP($A43,'0.0001'!$A$1:$AE$133,13, FALSE)</f>
        <v>1</v>
      </c>
      <c r="M43">
        <f>VLOOKUP($A43,'0.0001'!$A$1:$AE$133,15, FALSE)</f>
        <v>0</v>
      </c>
      <c r="N43">
        <f>VLOOKUP($A43,'0.0001'!$A$1:$AE$133,19, FALSE)</f>
        <v>7.7</v>
      </c>
      <c r="O43" s="5">
        <f t="shared" si="5"/>
        <v>1</v>
      </c>
      <c r="P43">
        <f t="shared" si="6"/>
        <v>1</v>
      </c>
      <c r="Q43" s="4">
        <f>VLOOKUP($A43,'0.00001'!$A$1:$AE$133,13, FALSE)</f>
        <v>1</v>
      </c>
      <c r="R43">
        <f>VLOOKUP($A43,'0.00001'!$A$1:$AE$133,15, FALSE)</f>
        <v>0</v>
      </c>
      <c r="S43">
        <f>VLOOKUP($A43,'0.00001'!$A$1:$AE$133,19, FALSE)</f>
        <v>5.9</v>
      </c>
      <c r="T43" s="5">
        <f t="shared" si="7"/>
        <v>1</v>
      </c>
      <c r="U43">
        <f t="shared" si="8"/>
        <v>1</v>
      </c>
    </row>
    <row r="44" spans="1:21" x14ac:dyDescent="0.25">
      <c r="A44" s="9" t="s">
        <v>90</v>
      </c>
      <c r="B44" s="19">
        <f>VLOOKUP($A44,'0.001'!$A$1:$AE$133,13, FALSE)</f>
        <v>1</v>
      </c>
      <c r="C44" s="20">
        <f>VLOOKUP($A44,'0.001'!$A$1:$AE$133,15, FALSE)</f>
        <v>0</v>
      </c>
      <c r="D44" s="20">
        <f>VLOOKUP($A44,'0.001'!$A$1:$AE$133,19, FALSE)</f>
        <v>28.1</v>
      </c>
      <c r="E44" s="21">
        <f t="shared" si="1"/>
        <v>1</v>
      </c>
      <c r="F44" s="20">
        <f t="shared" si="2"/>
        <v>1</v>
      </c>
      <c r="G44" s="19">
        <f>VLOOKUP($A44,'0.0005'!$A$1:$AE$133,11, FALSE)</f>
        <v>1</v>
      </c>
      <c r="H44" s="20">
        <f>VLOOKUP($A44,'0.0005'!$A$1:$AE$133,13, FALSE)</f>
        <v>0</v>
      </c>
      <c r="I44" s="20">
        <f>VLOOKUP($A44,'0.0005'!$A$1:$AE$133,17, FALSE)</f>
        <v>27.2</v>
      </c>
      <c r="J44" s="21">
        <f t="shared" si="3"/>
        <v>1</v>
      </c>
      <c r="K44" s="20">
        <f t="shared" si="4"/>
        <v>1</v>
      </c>
      <c r="L44" s="4">
        <f>VLOOKUP($A44,'0.0001'!$A$1:$AE$133,13, FALSE)</f>
        <v>1</v>
      </c>
      <c r="M44">
        <f>VLOOKUP($A44,'0.0001'!$A$1:$AE$133,15, FALSE)</f>
        <v>0</v>
      </c>
      <c r="N44">
        <f>VLOOKUP($A44,'0.0001'!$A$1:$AE$133,19, FALSE)</f>
        <v>31.9</v>
      </c>
      <c r="O44" s="5">
        <f t="shared" si="5"/>
        <v>1</v>
      </c>
      <c r="P44">
        <f t="shared" si="6"/>
        <v>1</v>
      </c>
      <c r="Q44" s="4">
        <f>VLOOKUP($A44,'0.00001'!$A$1:$AE$133,13, FALSE)</f>
        <v>1</v>
      </c>
      <c r="R44">
        <f>VLOOKUP($A44,'0.00001'!$A$1:$AE$133,15, FALSE)</f>
        <v>0</v>
      </c>
      <c r="S44">
        <f>VLOOKUP($A44,'0.00001'!$A$1:$AE$133,19, FALSE)</f>
        <v>27.2</v>
      </c>
      <c r="T44" s="5">
        <f t="shared" si="7"/>
        <v>1</v>
      </c>
      <c r="U44">
        <f t="shared" si="8"/>
        <v>1</v>
      </c>
    </row>
    <row r="45" spans="1:21" x14ac:dyDescent="0.25">
      <c r="A45" s="9" t="s">
        <v>129</v>
      </c>
      <c r="B45" s="19">
        <f>VLOOKUP($A45,'0.001'!$A$1:$AE$133,13, FALSE)</f>
        <v>1</v>
      </c>
      <c r="C45" s="20">
        <f>VLOOKUP($A45,'0.001'!$A$1:$AE$133,15, FALSE)</f>
        <v>0</v>
      </c>
      <c r="D45" s="20">
        <f>VLOOKUP($A45,'0.001'!$A$1:$AE$133,19, FALSE)</f>
        <v>30.5</v>
      </c>
      <c r="E45" s="21">
        <f t="shared" si="1"/>
        <v>1</v>
      </c>
      <c r="F45" s="20">
        <f t="shared" si="2"/>
        <v>1</v>
      </c>
      <c r="G45" s="19">
        <f>VLOOKUP($A45,'0.0005'!$A$1:$AE$133,11, FALSE)</f>
        <v>1</v>
      </c>
      <c r="H45" s="20">
        <f>VLOOKUP($A45,'0.0005'!$A$1:$AE$133,13, FALSE)</f>
        <v>0</v>
      </c>
      <c r="I45" s="20">
        <f>VLOOKUP($A45,'0.0005'!$A$1:$AE$133,17, FALSE)</f>
        <v>28.7</v>
      </c>
      <c r="J45" s="21">
        <f t="shared" si="3"/>
        <v>1</v>
      </c>
      <c r="K45" s="20">
        <f t="shared" si="4"/>
        <v>1</v>
      </c>
      <c r="L45" s="4">
        <f>VLOOKUP($A45,'0.0001'!$A$1:$AE$133,13, FALSE)</f>
        <v>1</v>
      </c>
      <c r="M45">
        <f>VLOOKUP($A45,'0.0001'!$A$1:$AE$133,15, FALSE)</f>
        <v>0</v>
      </c>
      <c r="N45">
        <f>VLOOKUP($A45,'0.0001'!$A$1:$AE$133,19, FALSE)</f>
        <v>34.9</v>
      </c>
      <c r="O45" s="5">
        <f t="shared" si="5"/>
        <v>1</v>
      </c>
      <c r="P45">
        <f t="shared" si="6"/>
        <v>1</v>
      </c>
      <c r="Q45" s="4">
        <f>VLOOKUP($A45,'0.00001'!$A$1:$AE$133,13, FALSE)</f>
        <v>1</v>
      </c>
      <c r="R45">
        <f>VLOOKUP($A45,'0.00001'!$A$1:$AE$133,15, FALSE)</f>
        <v>0</v>
      </c>
      <c r="S45">
        <f>VLOOKUP($A45,'0.00001'!$A$1:$AE$133,19, FALSE)</f>
        <v>28.9</v>
      </c>
      <c r="T45" s="5">
        <f t="shared" si="7"/>
        <v>1</v>
      </c>
      <c r="U45">
        <f t="shared" si="8"/>
        <v>1</v>
      </c>
    </row>
    <row r="46" spans="1:21" x14ac:dyDescent="0.25">
      <c r="A46" s="9" t="s">
        <v>54</v>
      </c>
      <c r="B46" s="19">
        <f>VLOOKUP($A46,'0.001'!$A$1:$AE$133,13, FALSE)</f>
        <v>1</v>
      </c>
      <c r="C46" s="20">
        <f>VLOOKUP($A46,'0.001'!$A$1:$AE$133,15, FALSE)</f>
        <v>0</v>
      </c>
      <c r="D46" s="20">
        <f>VLOOKUP($A46,'0.001'!$A$1:$AE$133,19, FALSE)</f>
        <v>15.7</v>
      </c>
      <c r="E46" s="21">
        <f t="shared" si="1"/>
        <v>1</v>
      </c>
      <c r="F46" s="20">
        <f t="shared" si="2"/>
        <v>1</v>
      </c>
      <c r="G46" s="19">
        <f>VLOOKUP($A46,'0.0005'!$A$1:$AE$133,11, FALSE)</f>
        <v>1</v>
      </c>
      <c r="H46" s="20">
        <f>VLOOKUP($A46,'0.0005'!$A$1:$AE$133,13, FALSE)</f>
        <v>0</v>
      </c>
      <c r="I46" s="20">
        <f>VLOOKUP($A46,'0.0005'!$A$1:$AE$133,17, FALSE)</f>
        <v>14.6</v>
      </c>
      <c r="J46" s="21">
        <f t="shared" si="3"/>
        <v>1</v>
      </c>
      <c r="K46" s="20">
        <f t="shared" si="4"/>
        <v>1</v>
      </c>
      <c r="L46" s="4">
        <f>VLOOKUP($A46,'0.0001'!$A$1:$AE$133,13, FALSE)</f>
        <v>1</v>
      </c>
      <c r="M46">
        <f>VLOOKUP($A46,'0.0001'!$A$1:$AE$133,15, FALSE)</f>
        <v>0</v>
      </c>
      <c r="N46">
        <f>VLOOKUP($A46,'0.0001'!$A$1:$AE$133,19, FALSE)</f>
        <v>17.100000000000001</v>
      </c>
      <c r="O46" s="5">
        <f t="shared" si="5"/>
        <v>1</v>
      </c>
      <c r="P46">
        <f t="shared" si="6"/>
        <v>1</v>
      </c>
      <c r="Q46" s="4">
        <f>VLOOKUP($A46,'0.00001'!$A$1:$AE$133,13, FALSE)</f>
        <v>1</v>
      </c>
      <c r="R46">
        <f>VLOOKUP($A46,'0.00001'!$A$1:$AE$133,15, FALSE)</f>
        <v>0</v>
      </c>
      <c r="S46">
        <f>VLOOKUP($A46,'0.00001'!$A$1:$AE$133,19, FALSE)</f>
        <v>23.1</v>
      </c>
      <c r="T46" s="5">
        <f t="shared" si="7"/>
        <v>1</v>
      </c>
      <c r="U46">
        <f t="shared" si="8"/>
        <v>1</v>
      </c>
    </row>
    <row r="47" spans="1:21" x14ac:dyDescent="0.25">
      <c r="A47" s="9" t="s">
        <v>82</v>
      </c>
      <c r="B47" s="19">
        <f>VLOOKUP($A47,'0.001'!$A$1:$AE$133,13, FALSE)</f>
        <v>1</v>
      </c>
      <c r="C47" s="20">
        <f>VLOOKUP($A47,'0.001'!$A$1:$AE$133,15, FALSE)</f>
        <v>1.26386E-2</v>
      </c>
      <c r="D47" s="20">
        <f>VLOOKUP($A47,'0.001'!$A$1:$AE$133,19, FALSE)</f>
        <v>1200.0999999999999</v>
      </c>
      <c r="E47" s="21">
        <f t="shared" si="1"/>
        <v>0</v>
      </c>
      <c r="F47" s="20">
        <f t="shared" si="2"/>
        <v>1</v>
      </c>
      <c r="G47" s="19">
        <f>VLOOKUP($A47,'0.0005'!$A$1:$AE$133,11, FALSE)</f>
        <v>1</v>
      </c>
      <c r="H47" s="20">
        <f>VLOOKUP($A47,'0.0005'!$A$1:$AE$133,13, FALSE)</f>
        <v>1.2439E-3</v>
      </c>
      <c r="I47" s="20">
        <f>VLOOKUP($A47,'0.0005'!$A$1:$AE$133,17, FALSE)</f>
        <v>1200.2</v>
      </c>
      <c r="J47" s="21">
        <f t="shared" si="3"/>
        <v>0</v>
      </c>
      <c r="K47" s="20">
        <f t="shared" si="4"/>
        <v>1</v>
      </c>
      <c r="L47" s="4">
        <f>VLOOKUP($A47,'0.0001'!$A$1:$AE$133,13, FALSE)</f>
        <v>1</v>
      </c>
      <c r="M47">
        <f>VLOOKUP($A47,'0.0001'!$A$1:$AE$133,15, FALSE)</f>
        <v>5.0619000000000003E-3</v>
      </c>
      <c r="N47">
        <f>VLOOKUP($A47,'0.0001'!$A$1:$AE$133,19, FALSE)</f>
        <v>1200.5999999999999</v>
      </c>
      <c r="O47" s="5">
        <f t="shared" si="5"/>
        <v>0</v>
      </c>
      <c r="P47">
        <f t="shared" si="6"/>
        <v>1</v>
      </c>
      <c r="Q47" s="4">
        <f>VLOOKUP($A47,'0.00001'!$A$1:$AE$133,13, FALSE)</f>
        <v>1</v>
      </c>
      <c r="R47">
        <f>VLOOKUP($A47,'0.00001'!$A$1:$AE$133,15, FALSE)</f>
        <v>1.2439E-3</v>
      </c>
      <c r="S47">
        <f>VLOOKUP($A47,'0.00001'!$A$1:$AE$133,19, FALSE)</f>
        <v>1201.5</v>
      </c>
      <c r="T47" s="5">
        <f t="shared" si="7"/>
        <v>0</v>
      </c>
      <c r="U47">
        <f t="shared" si="8"/>
        <v>1</v>
      </c>
    </row>
    <row r="48" spans="1:21" x14ac:dyDescent="0.25">
      <c r="A48" s="9" t="s">
        <v>105</v>
      </c>
      <c r="B48" s="19">
        <f>VLOOKUP($A48,'0.001'!$A$1:$AE$133,13, FALSE)</f>
        <v>1</v>
      </c>
      <c r="C48" s="20">
        <f>VLOOKUP($A48,'0.001'!$A$1:$AE$133,15, FALSE)</f>
        <v>0</v>
      </c>
      <c r="D48" s="20">
        <f>VLOOKUP($A48,'0.001'!$A$1:$AE$133,19, FALSE)</f>
        <v>366.5</v>
      </c>
      <c r="E48" s="21">
        <f t="shared" si="1"/>
        <v>1</v>
      </c>
      <c r="F48" s="20">
        <f t="shared" si="2"/>
        <v>1</v>
      </c>
      <c r="G48" s="19">
        <f>VLOOKUP($A48,'0.0005'!$A$1:$AE$133,11, FALSE)</f>
        <v>1</v>
      </c>
      <c r="H48" s="20">
        <f>VLOOKUP($A48,'0.0005'!$A$1:$AE$133,13, FALSE)</f>
        <v>0</v>
      </c>
      <c r="I48" s="20">
        <f>VLOOKUP($A48,'0.0005'!$A$1:$AE$133,17, FALSE)</f>
        <v>349.1</v>
      </c>
      <c r="J48" s="21">
        <f t="shared" si="3"/>
        <v>1</v>
      </c>
      <c r="K48" s="20">
        <f t="shared" si="4"/>
        <v>1</v>
      </c>
      <c r="L48" s="4">
        <f>VLOOKUP($A48,'0.0001'!$A$1:$AE$133,13, FALSE)</f>
        <v>1</v>
      </c>
      <c r="M48">
        <f>VLOOKUP($A48,'0.0001'!$A$1:$AE$133,15, FALSE)</f>
        <v>0</v>
      </c>
      <c r="N48">
        <f>VLOOKUP($A48,'0.0001'!$A$1:$AE$133,19, FALSE)</f>
        <v>1161.5</v>
      </c>
      <c r="O48" s="5">
        <f t="shared" si="5"/>
        <v>1</v>
      </c>
      <c r="P48">
        <f t="shared" si="6"/>
        <v>1</v>
      </c>
      <c r="Q48" s="4">
        <f>VLOOKUP($A48,'0.00001'!$A$1:$AE$133,13, FALSE)</f>
        <v>0.93027610000000005</v>
      </c>
      <c r="R48">
        <f>VLOOKUP($A48,'0.00001'!$A$1:$AE$133,15, FALSE)</f>
        <v>0.51922360000000001</v>
      </c>
      <c r="S48">
        <f>VLOOKUP($A48,'0.00001'!$A$1:$AE$133,19, FALSE)</f>
        <v>1201.7</v>
      </c>
      <c r="T48" s="5">
        <f t="shared" si="7"/>
        <v>0</v>
      </c>
      <c r="U48">
        <f t="shared" si="8"/>
        <v>0</v>
      </c>
    </row>
    <row r="49" spans="1:21" x14ac:dyDescent="0.25">
      <c r="A49" s="9" t="s">
        <v>44</v>
      </c>
      <c r="B49" s="19">
        <f>VLOOKUP($A49,'0.001'!$A$1:$AE$133,13, FALSE)</f>
        <v>0.99188299999999996</v>
      </c>
      <c r="C49" s="20">
        <f>VLOOKUP($A49,'0.001'!$A$1:$AE$133,15, FALSE)</f>
        <v>3.8409999999999998E-3</v>
      </c>
      <c r="D49" s="20">
        <f>VLOOKUP($A49,'0.001'!$A$1:$AE$133,19, FALSE)</f>
        <v>1200.4000000000001</v>
      </c>
      <c r="E49" s="21">
        <f t="shared" si="1"/>
        <v>0</v>
      </c>
      <c r="F49" s="20">
        <f t="shared" si="2"/>
        <v>0</v>
      </c>
      <c r="G49" s="19">
        <f>VLOOKUP($A49,'0.0005'!$A$1:$AE$133,11, FALSE)</f>
        <v>0.99344299999999996</v>
      </c>
      <c r="H49" s="20">
        <f>VLOOKUP($A49,'0.0005'!$A$1:$AE$133,13, FALSE)</f>
        <v>3.4521999999999999E-3</v>
      </c>
      <c r="I49" s="20">
        <f>VLOOKUP($A49,'0.0005'!$A$1:$AE$133,17, FALSE)</f>
        <v>1201</v>
      </c>
      <c r="J49" s="21">
        <f t="shared" si="3"/>
        <v>0</v>
      </c>
      <c r="K49" s="20">
        <f t="shared" si="4"/>
        <v>0</v>
      </c>
      <c r="L49" s="4">
        <f>VLOOKUP($A49,'0.0001'!$A$1:$AE$133,13, FALSE)</f>
        <v>0.9970424</v>
      </c>
      <c r="M49">
        <f>VLOOKUP($A49,'0.0001'!$A$1:$AE$133,15, FALSE)</f>
        <v>2.3186000000000001E-3</v>
      </c>
      <c r="N49">
        <f>VLOOKUP($A49,'0.0001'!$A$1:$AE$133,19, FALSE)</f>
        <v>1202.5999999999999</v>
      </c>
      <c r="O49" s="5">
        <f t="shared" si="5"/>
        <v>0</v>
      </c>
      <c r="P49">
        <f t="shared" si="6"/>
        <v>0</v>
      </c>
      <c r="Q49" s="4">
        <f>VLOOKUP($A49,'0.00001'!$A$1:$AE$133,13, FALSE)</f>
        <v>0.99980230000000003</v>
      </c>
      <c r="R49">
        <f>VLOOKUP($A49,'0.00001'!$A$1:$AE$133,15, FALSE)</f>
        <v>5.9940000000000004E-4</v>
      </c>
      <c r="S49">
        <f>VLOOKUP($A49,'0.00001'!$A$1:$AE$133,19, FALSE)</f>
        <v>1209.5</v>
      </c>
      <c r="T49" s="5">
        <f t="shared" si="7"/>
        <v>0</v>
      </c>
      <c r="U49">
        <f t="shared" si="8"/>
        <v>1</v>
      </c>
    </row>
    <row r="50" spans="1:21" x14ac:dyDescent="0.25">
      <c r="A50" s="9" t="s">
        <v>32</v>
      </c>
      <c r="B50" s="19">
        <f>VLOOKUP($A50,'0.001'!$A$1:$AE$133,13, FALSE)</f>
        <v>0.99994369999999999</v>
      </c>
      <c r="C50" s="20">
        <f>VLOOKUP($A50,'0.001'!$A$1:$AE$133,15, FALSE)</f>
        <v>5.2570000000000004E-4</v>
      </c>
      <c r="D50" s="20">
        <f>VLOOKUP($A50,'0.001'!$A$1:$AE$133,19, FALSE)</f>
        <v>1204.7</v>
      </c>
      <c r="E50" s="21">
        <f t="shared" si="1"/>
        <v>0</v>
      </c>
      <c r="F50" s="20">
        <f t="shared" si="2"/>
        <v>1</v>
      </c>
      <c r="G50" s="19">
        <f>VLOOKUP($A50,'0.0005'!$A$1:$AE$133,11, FALSE)</f>
        <v>0.99994369999999999</v>
      </c>
      <c r="H50" s="20">
        <f>VLOOKUP($A50,'0.0005'!$A$1:$AE$133,13, FALSE)</f>
        <v>5.2570000000000004E-4</v>
      </c>
      <c r="I50" s="20">
        <f>VLOOKUP($A50,'0.0005'!$A$1:$AE$133,17, FALSE)</f>
        <v>1203.0999999999999</v>
      </c>
      <c r="J50" s="21">
        <f t="shared" si="3"/>
        <v>0</v>
      </c>
      <c r="K50" s="20">
        <f t="shared" si="4"/>
        <v>1</v>
      </c>
      <c r="L50" s="4">
        <f>VLOOKUP($A50,'0.0001'!$A$1:$AE$133,13, FALSE)</f>
        <v>0.99994360000000004</v>
      </c>
      <c r="M50">
        <f>VLOOKUP($A50,'0.0001'!$A$1:$AE$133,15, FALSE)</f>
        <v>5.2599999999999999E-4</v>
      </c>
      <c r="N50">
        <f>VLOOKUP($A50,'0.0001'!$A$1:$AE$133,19, FALSE)</f>
        <v>1200.0999999999999</v>
      </c>
      <c r="O50" s="5">
        <f t="shared" si="5"/>
        <v>0</v>
      </c>
      <c r="P50">
        <f t="shared" si="6"/>
        <v>1</v>
      </c>
      <c r="Q50" s="4">
        <f>VLOOKUP($A50,'0.00001'!$A$1:$AE$133,13, FALSE)</f>
        <v>0.99999939999999998</v>
      </c>
      <c r="R50">
        <f>VLOOKUP($A50,'0.00001'!$A$1:$AE$133,15, FALSE)</f>
        <v>5.4799999999999997E-5</v>
      </c>
      <c r="S50">
        <f>VLOOKUP($A50,'0.00001'!$A$1:$AE$133,19, FALSE)</f>
        <v>1201.3</v>
      </c>
      <c r="T50" s="5">
        <f t="shared" si="7"/>
        <v>0</v>
      </c>
      <c r="U50">
        <f t="shared" si="8"/>
        <v>1</v>
      </c>
    </row>
    <row r="51" spans="1:21" x14ac:dyDescent="0.25">
      <c r="A51" s="9" t="s">
        <v>65</v>
      </c>
      <c r="B51" s="19">
        <f>VLOOKUP($A51,'0.001'!$A$1:$AE$133,13, FALSE)</f>
        <v>0.99562220000000001</v>
      </c>
      <c r="C51" s="20">
        <f>VLOOKUP($A51,'0.001'!$A$1:$AE$133,15, FALSE)</f>
        <v>3.9776999999999998E-3</v>
      </c>
      <c r="D51" s="20">
        <f>VLOOKUP($A51,'0.001'!$A$1:$AE$133,19, FALSE)</f>
        <v>1201.4000000000001</v>
      </c>
      <c r="E51" s="21">
        <f t="shared" si="1"/>
        <v>0</v>
      </c>
      <c r="F51" s="20">
        <f t="shared" si="2"/>
        <v>0</v>
      </c>
      <c r="G51" s="19">
        <f>VLOOKUP($A51,'0.0005'!$A$1:$AE$133,11, FALSE)</f>
        <v>0.98711819999999995</v>
      </c>
      <c r="H51" s="20">
        <f>VLOOKUP($A51,'0.0005'!$A$1:$AE$133,13, FALSE)</f>
        <v>6.8233E-3</v>
      </c>
      <c r="I51" s="20">
        <f>VLOOKUP($A51,'0.0005'!$A$1:$AE$133,17, FALSE)</f>
        <v>1200.7</v>
      </c>
      <c r="J51" s="21">
        <f t="shared" si="3"/>
        <v>0</v>
      </c>
      <c r="K51" s="20">
        <f t="shared" si="4"/>
        <v>0</v>
      </c>
      <c r="L51" s="4">
        <f>VLOOKUP($A51,'0.0001'!$A$1:$AE$133,13, FALSE)</f>
        <v>0.99971370000000004</v>
      </c>
      <c r="M51">
        <f>VLOOKUP($A51,'0.0001'!$A$1:$AE$133,15, FALSE)</f>
        <v>1.0172E-3</v>
      </c>
      <c r="N51">
        <f>VLOOKUP($A51,'0.0001'!$A$1:$AE$133,19, FALSE)</f>
        <v>1200.3</v>
      </c>
      <c r="O51" s="5">
        <f t="shared" si="5"/>
        <v>0</v>
      </c>
      <c r="P51">
        <f t="shared" si="6"/>
        <v>1</v>
      </c>
      <c r="Q51" s="4">
        <f>VLOOKUP($A51,'0.00001'!$A$1:$AE$133,13, FALSE)</f>
        <v>0.99466540000000003</v>
      </c>
      <c r="R51">
        <f>VLOOKUP($A51,'0.00001'!$A$1:$AE$133,15, FALSE)</f>
        <v>4.3909999999999999E-3</v>
      </c>
      <c r="S51">
        <f>VLOOKUP($A51,'0.00001'!$A$1:$AE$133,19, FALSE)</f>
        <v>1200.5</v>
      </c>
      <c r="T51" s="5">
        <f t="shared" si="7"/>
        <v>0</v>
      </c>
      <c r="U51">
        <f t="shared" si="8"/>
        <v>0</v>
      </c>
    </row>
    <row r="52" spans="1:21" x14ac:dyDescent="0.25">
      <c r="A52" s="9" t="s">
        <v>89</v>
      </c>
      <c r="B52" s="19">
        <f>VLOOKUP($A52,'0.001'!$A$1:$AE$133,13, FALSE)</f>
        <v>0.98097250000000003</v>
      </c>
      <c r="C52" s="20">
        <f>VLOOKUP($A52,'0.001'!$A$1:$AE$133,15, FALSE)</f>
        <v>0.13701969999999999</v>
      </c>
      <c r="D52" s="20">
        <f>VLOOKUP($A52,'0.001'!$A$1:$AE$133,19, FALSE)</f>
        <v>1202.5999999999999</v>
      </c>
      <c r="E52" s="21">
        <f t="shared" si="1"/>
        <v>0</v>
      </c>
      <c r="F52" s="20">
        <f t="shared" si="2"/>
        <v>0</v>
      </c>
      <c r="G52" s="19">
        <f>VLOOKUP($A52,'0.0005'!$A$1:$AE$133,11, FALSE)</f>
        <v>0.98602690000000004</v>
      </c>
      <c r="H52" s="20">
        <f>VLOOKUP($A52,'0.0005'!$A$1:$AE$133,13, FALSE)</f>
        <v>0.1174191</v>
      </c>
      <c r="I52" s="20">
        <f>VLOOKUP($A52,'0.0005'!$A$1:$AE$133,17, FALSE)</f>
        <v>1200.2</v>
      </c>
      <c r="J52" s="21">
        <f t="shared" si="3"/>
        <v>0</v>
      </c>
      <c r="K52" s="20">
        <f t="shared" si="4"/>
        <v>0</v>
      </c>
      <c r="L52" s="4">
        <f>VLOOKUP($A52,'0.0001'!$A$1:$AE$133,13, FALSE)</f>
        <v>0.93943489999999996</v>
      </c>
      <c r="M52">
        <f>VLOOKUP($A52,'0.0001'!$A$1:$AE$133,15, FALSE)</f>
        <v>0.24445720000000001</v>
      </c>
      <c r="N52">
        <f>VLOOKUP($A52,'0.0001'!$A$1:$AE$133,19, FALSE)</f>
        <v>1200.7</v>
      </c>
      <c r="O52" s="5">
        <f t="shared" si="5"/>
        <v>0</v>
      </c>
      <c r="P52">
        <f t="shared" si="6"/>
        <v>0</v>
      </c>
      <c r="Q52" s="4">
        <f>VLOOKUP($A52,'0.00001'!$A$1:$AE$133,13, FALSE)</f>
        <v>0.93890499999999999</v>
      </c>
      <c r="R52">
        <f>VLOOKUP($A52,'0.00001'!$A$1:$AE$133,15, FALSE)</f>
        <v>0.2455243</v>
      </c>
      <c r="S52">
        <f>VLOOKUP($A52,'0.00001'!$A$1:$AE$133,19, FALSE)</f>
        <v>1200.5999999999999</v>
      </c>
      <c r="T52" s="5">
        <f t="shared" si="7"/>
        <v>0</v>
      </c>
      <c r="U52">
        <f t="shared" si="8"/>
        <v>0</v>
      </c>
    </row>
    <row r="53" spans="1:21" x14ac:dyDescent="0.25">
      <c r="A53" s="9" t="s">
        <v>150</v>
      </c>
      <c r="B53" s="19">
        <f>VLOOKUP($A53,'0.001'!$A$1:$AE$133,13, FALSE)</f>
        <v>0.98173549999999998</v>
      </c>
      <c r="C53" s="20">
        <f>VLOOKUP($A53,'0.001'!$A$1:$AE$133,15, FALSE)</f>
        <v>1.6581800000000001E-2</v>
      </c>
      <c r="D53" s="20">
        <f>VLOOKUP($A53,'0.001'!$A$1:$AE$133,19, FALSE)</f>
        <v>1200.9000000000001</v>
      </c>
      <c r="E53" s="21">
        <f t="shared" si="1"/>
        <v>0</v>
      </c>
      <c r="F53" s="20">
        <f t="shared" si="2"/>
        <v>0</v>
      </c>
      <c r="G53" s="19">
        <f>VLOOKUP($A53,'0.0005'!$A$1:$AE$133,11, FALSE)</f>
        <v>0.98173549999999998</v>
      </c>
      <c r="H53" s="20">
        <f>VLOOKUP($A53,'0.0005'!$A$1:$AE$133,13, FALSE)</f>
        <v>1.6581800000000001E-2</v>
      </c>
      <c r="I53" s="20">
        <f>VLOOKUP($A53,'0.0005'!$A$1:$AE$133,17, FALSE)</f>
        <v>1200.2</v>
      </c>
      <c r="J53" s="21">
        <f t="shared" si="3"/>
        <v>0</v>
      </c>
      <c r="K53" s="20">
        <f t="shared" si="4"/>
        <v>0</v>
      </c>
      <c r="L53" s="4">
        <f>VLOOKUP($A53,'0.0001'!$A$1:$AE$133,13, FALSE)</f>
        <v>0.99029480000000003</v>
      </c>
      <c r="M53">
        <f>VLOOKUP($A53,'0.0001'!$A$1:$AE$133,15, FALSE)</f>
        <v>1.20873E-2</v>
      </c>
      <c r="N53">
        <f>VLOOKUP($A53,'0.0001'!$A$1:$AE$133,19, FALSE)</f>
        <v>1201.4000000000001</v>
      </c>
      <c r="O53" s="5">
        <f t="shared" si="5"/>
        <v>0</v>
      </c>
      <c r="P53">
        <f t="shared" si="6"/>
        <v>0</v>
      </c>
      <c r="Q53" s="4">
        <f>VLOOKUP($A53,'0.00001'!$A$1:$AE$133,13, FALSE)</f>
        <v>0.99423470000000003</v>
      </c>
      <c r="R53">
        <f>VLOOKUP($A53,'0.00001'!$A$1:$AE$133,15, FALSE)</f>
        <v>9.3161000000000008E-3</v>
      </c>
      <c r="S53">
        <f>VLOOKUP($A53,'0.00001'!$A$1:$AE$133,19, FALSE)</f>
        <v>1200.4000000000001</v>
      </c>
      <c r="T53" s="5">
        <f t="shared" si="7"/>
        <v>0</v>
      </c>
      <c r="U53">
        <f t="shared" si="8"/>
        <v>0</v>
      </c>
    </row>
    <row r="54" spans="1:21" x14ac:dyDescent="0.25">
      <c r="A54" s="9" t="s">
        <v>68</v>
      </c>
      <c r="B54" s="19">
        <f>VLOOKUP($A54,'0.001'!$A$1:$AE$133,13, FALSE)</f>
        <v>1</v>
      </c>
      <c r="C54" s="20">
        <f>VLOOKUP($A54,'0.001'!$A$1:$AE$133,15, FALSE)</f>
        <v>0</v>
      </c>
      <c r="D54" s="20">
        <f>VLOOKUP($A54,'0.001'!$A$1:$AE$133,19, FALSE)</f>
        <v>21.2</v>
      </c>
      <c r="E54" s="21">
        <f t="shared" si="1"/>
        <v>1</v>
      </c>
      <c r="F54" s="20">
        <f t="shared" si="2"/>
        <v>1</v>
      </c>
      <c r="G54" s="19">
        <f>VLOOKUP($A54,'0.0005'!$A$1:$AE$133,11, FALSE)</f>
        <v>1</v>
      </c>
      <c r="H54" s="20">
        <f>VLOOKUP($A54,'0.0005'!$A$1:$AE$133,13, FALSE)</f>
        <v>0</v>
      </c>
      <c r="I54" s="20">
        <f>VLOOKUP($A54,'0.0005'!$A$1:$AE$133,17, FALSE)</f>
        <v>19.8</v>
      </c>
      <c r="J54" s="21">
        <f t="shared" si="3"/>
        <v>1</v>
      </c>
      <c r="K54" s="20">
        <f t="shared" si="4"/>
        <v>1</v>
      </c>
      <c r="L54" s="4">
        <f>VLOOKUP($A54,'0.0001'!$A$1:$AE$133,13, FALSE)</f>
        <v>1</v>
      </c>
      <c r="M54">
        <f>VLOOKUP($A54,'0.0001'!$A$1:$AE$133,15, FALSE)</f>
        <v>0</v>
      </c>
      <c r="N54">
        <f>VLOOKUP($A54,'0.0001'!$A$1:$AE$133,19, FALSE)</f>
        <v>21.7</v>
      </c>
      <c r="O54" s="5">
        <f t="shared" si="5"/>
        <v>1</v>
      </c>
      <c r="P54">
        <f t="shared" si="6"/>
        <v>1</v>
      </c>
      <c r="Q54" s="4">
        <f>VLOOKUP($A54,'0.00001'!$A$1:$AE$133,13, FALSE)</f>
        <v>1</v>
      </c>
      <c r="R54">
        <f>VLOOKUP($A54,'0.00001'!$A$1:$AE$133,15, FALSE)</f>
        <v>0</v>
      </c>
      <c r="S54">
        <f>VLOOKUP($A54,'0.00001'!$A$1:$AE$133,19, FALSE)</f>
        <v>29.1</v>
      </c>
      <c r="T54" s="5">
        <f t="shared" si="7"/>
        <v>1</v>
      </c>
      <c r="U54">
        <f t="shared" si="8"/>
        <v>1</v>
      </c>
    </row>
    <row r="55" spans="1:21" x14ac:dyDescent="0.25">
      <c r="A55" s="9" t="s">
        <v>122</v>
      </c>
      <c r="B55" s="19">
        <f>VLOOKUP($A55,'0.001'!$A$1:$AE$133,13, FALSE)</f>
        <v>1</v>
      </c>
      <c r="C55" s="20">
        <f>VLOOKUP($A55,'0.001'!$A$1:$AE$133,15, FALSE)</f>
        <v>0</v>
      </c>
      <c r="D55" s="20">
        <f>VLOOKUP($A55,'0.001'!$A$1:$AE$133,19, FALSE)</f>
        <v>41.4</v>
      </c>
      <c r="E55" s="21">
        <f t="shared" si="1"/>
        <v>1</v>
      </c>
      <c r="F55" s="20">
        <f t="shared" si="2"/>
        <v>1</v>
      </c>
      <c r="G55" s="19">
        <f>VLOOKUP($A55,'0.0005'!$A$1:$AE$133,11, FALSE)</f>
        <v>1</v>
      </c>
      <c r="H55" s="20">
        <f>VLOOKUP($A55,'0.0005'!$A$1:$AE$133,13, FALSE)</f>
        <v>0</v>
      </c>
      <c r="I55" s="20">
        <f>VLOOKUP($A55,'0.0005'!$A$1:$AE$133,17, FALSE)</f>
        <v>39.799999999999997</v>
      </c>
      <c r="J55" s="21">
        <f t="shared" si="3"/>
        <v>1</v>
      </c>
      <c r="K55" s="20">
        <f t="shared" si="4"/>
        <v>1</v>
      </c>
      <c r="L55" s="4">
        <f>VLOOKUP($A55,'0.0001'!$A$1:$AE$133,13, FALSE)</f>
        <v>1</v>
      </c>
      <c r="M55">
        <f>VLOOKUP($A55,'0.0001'!$A$1:$AE$133,15, FALSE)</f>
        <v>0</v>
      </c>
      <c r="N55">
        <f>VLOOKUP($A55,'0.0001'!$A$1:$AE$133,19, FALSE)</f>
        <v>44</v>
      </c>
      <c r="O55" s="5">
        <f t="shared" si="5"/>
        <v>1</v>
      </c>
      <c r="P55">
        <f t="shared" si="6"/>
        <v>1</v>
      </c>
      <c r="Q55" s="4">
        <f>VLOOKUP($A55,'0.00001'!$A$1:$AE$133,13, FALSE)</f>
        <v>1</v>
      </c>
      <c r="R55">
        <f>VLOOKUP($A55,'0.00001'!$A$1:$AE$133,15, FALSE)</f>
        <v>0</v>
      </c>
      <c r="S55">
        <f>VLOOKUP($A55,'0.00001'!$A$1:$AE$133,19, FALSE)</f>
        <v>61.1</v>
      </c>
      <c r="T55" s="5">
        <f t="shared" si="7"/>
        <v>1</v>
      </c>
      <c r="U55">
        <f t="shared" si="8"/>
        <v>1</v>
      </c>
    </row>
    <row r="56" spans="1:21" x14ac:dyDescent="0.25">
      <c r="A56" s="9" t="s">
        <v>112</v>
      </c>
      <c r="B56" s="19">
        <f>VLOOKUP($A56,'0.001'!$A$1:$AE$133,13, FALSE)</f>
        <v>0.99960899999999997</v>
      </c>
      <c r="C56" s="20">
        <f>VLOOKUP($A56,'0.001'!$A$1:$AE$133,15, FALSE)</f>
        <v>1.3865000000000001E-2</v>
      </c>
      <c r="D56" s="20">
        <f>VLOOKUP($A56,'0.001'!$A$1:$AE$133,19, FALSE)</f>
        <v>1202.5</v>
      </c>
      <c r="E56" s="21">
        <f t="shared" si="1"/>
        <v>0</v>
      </c>
      <c r="F56" s="20">
        <f t="shared" si="2"/>
        <v>1</v>
      </c>
      <c r="G56" s="19">
        <f>VLOOKUP($A56,'0.0005'!$A$1:$AE$133,11, FALSE)</f>
        <v>0.99998889999999996</v>
      </c>
      <c r="H56" s="20">
        <f>VLOOKUP($A56,'0.0005'!$A$1:$AE$133,13, FALSE)</f>
        <v>2.3370999999999999E-3</v>
      </c>
      <c r="I56" s="20">
        <f>VLOOKUP($A56,'0.0005'!$A$1:$AE$133,17, FALSE)</f>
        <v>1201.5999999999999</v>
      </c>
      <c r="J56" s="21">
        <f t="shared" si="3"/>
        <v>0</v>
      </c>
      <c r="K56" s="20">
        <f t="shared" si="4"/>
        <v>1</v>
      </c>
      <c r="L56" s="4">
        <f>VLOOKUP($A56,'0.0001'!$A$1:$AE$133,13, FALSE)</f>
        <v>0.99999970000000005</v>
      </c>
      <c r="M56">
        <f>VLOOKUP($A56,'0.0001'!$A$1:$AE$133,15, FALSE)</f>
        <v>4.1389999999999998E-4</v>
      </c>
      <c r="N56">
        <f>VLOOKUP($A56,'0.0001'!$A$1:$AE$133,19, FALSE)</f>
        <v>1200.0999999999999</v>
      </c>
      <c r="O56" s="5">
        <f t="shared" si="5"/>
        <v>0</v>
      </c>
      <c r="P56">
        <f t="shared" si="6"/>
        <v>1</v>
      </c>
      <c r="Q56" s="4">
        <f>VLOOKUP($A56,'0.00001'!$A$1:$AE$133,13, FALSE)</f>
        <v>1</v>
      </c>
      <c r="R56">
        <f>VLOOKUP($A56,'0.00001'!$A$1:$AE$133,15, FALSE)</f>
        <v>1.2679999999999999E-4</v>
      </c>
      <c r="S56">
        <f>VLOOKUP($A56,'0.00001'!$A$1:$AE$133,19, FALSE)</f>
        <v>1200.7</v>
      </c>
      <c r="T56" s="5">
        <f t="shared" si="7"/>
        <v>0</v>
      </c>
      <c r="U56">
        <f t="shared" si="8"/>
        <v>1</v>
      </c>
    </row>
    <row r="57" spans="1:21" x14ac:dyDescent="0.25">
      <c r="A57" s="9" t="s">
        <v>45</v>
      </c>
      <c r="B57" s="19">
        <f>VLOOKUP($A57,'0.001'!$A$1:$AE$133,13, FALSE)</f>
        <v>0.9999808</v>
      </c>
      <c r="C57" s="20">
        <f>VLOOKUP($A57,'0.001'!$A$1:$AE$133,15, FALSE)</f>
        <v>1.2792999999999999E-3</v>
      </c>
      <c r="D57" s="20">
        <f>VLOOKUP($A57,'0.001'!$A$1:$AE$133,19, FALSE)</f>
        <v>1202.8</v>
      </c>
      <c r="E57" s="21">
        <f t="shared" si="1"/>
        <v>0</v>
      </c>
      <c r="F57" s="20">
        <f t="shared" si="2"/>
        <v>1</v>
      </c>
      <c r="G57" s="19">
        <f>VLOOKUP($A57,'0.0005'!$A$1:$AE$133,11, FALSE)</f>
        <v>0.9999808</v>
      </c>
      <c r="H57" s="20">
        <f>VLOOKUP($A57,'0.0005'!$A$1:$AE$133,13, FALSE)</f>
        <v>1.2792999999999999E-3</v>
      </c>
      <c r="I57" s="20">
        <f>VLOOKUP($A57,'0.0005'!$A$1:$AE$133,17, FALSE)</f>
        <v>1203.4000000000001</v>
      </c>
      <c r="J57" s="21">
        <f t="shared" si="3"/>
        <v>0</v>
      </c>
      <c r="K57" s="20">
        <f t="shared" si="4"/>
        <v>1</v>
      </c>
      <c r="L57" s="4">
        <f>VLOOKUP($A57,'0.0001'!$A$1:$AE$133,13, FALSE)</f>
        <v>0.99999990000000005</v>
      </c>
      <c r="M57">
        <f>VLOOKUP($A57,'0.0001'!$A$1:$AE$133,15, FALSE)</f>
        <v>8.4900000000000004E-5</v>
      </c>
      <c r="N57">
        <f>VLOOKUP($A57,'0.0001'!$A$1:$AE$133,19, FALSE)</f>
        <v>1204</v>
      </c>
      <c r="O57" s="5">
        <f t="shared" si="5"/>
        <v>0</v>
      </c>
      <c r="P57">
        <f t="shared" si="6"/>
        <v>1</v>
      </c>
      <c r="Q57" s="4">
        <f>VLOOKUP($A57,'0.00001'!$A$1:$AE$133,13, FALSE)</f>
        <v>1</v>
      </c>
      <c r="R57">
        <f>VLOOKUP($A57,'0.00001'!$A$1:$AE$133,15, FALSE)</f>
        <v>4.5300000000000003E-5</v>
      </c>
      <c r="S57">
        <f>VLOOKUP($A57,'0.00001'!$A$1:$AE$133,19, FALSE)</f>
        <v>1201</v>
      </c>
      <c r="T57" s="5">
        <f t="shared" si="7"/>
        <v>0</v>
      </c>
      <c r="U57">
        <f t="shared" si="8"/>
        <v>1</v>
      </c>
    </row>
    <row r="58" spans="1:21" x14ac:dyDescent="0.25">
      <c r="A58" s="9" t="s">
        <v>126</v>
      </c>
      <c r="B58" s="19">
        <f>VLOOKUP($A58,'0.001'!$A$1:$AE$133,13, FALSE)</f>
        <v>1</v>
      </c>
      <c r="C58" s="20">
        <f>VLOOKUP($A58,'0.001'!$A$1:$AE$133,15, FALSE)</f>
        <v>0</v>
      </c>
      <c r="D58" s="20">
        <f>VLOOKUP($A58,'0.001'!$A$1:$AE$133,19, FALSE)</f>
        <v>78.599999999999994</v>
      </c>
      <c r="E58" s="21">
        <f t="shared" si="1"/>
        <v>1</v>
      </c>
      <c r="F58" s="20">
        <f t="shared" si="2"/>
        <v>1</v>
      </c>
      <c r="G58" s="19">
        <f>VLOOKUP($A58,'0.0005'!$A$1:$AE$133,11, FALSE)</f>
        <v>1</v>
      </c>
      <c r="H58" s="20">
        <f>VLOOKUP($A58,'0.0005'!$A$1:$AE$133,13, FALSE)</f>
        <v>0</v>
      </c>
      <c r="I58" s="20">
        <f>VLOOKUP($A58,'0.0005'!$A$1:$AE$133,17, FALSE)</f>
        <v>73.5</v>
      </c>
      <c r="J58" s="21">
        <f t="shared" si="3"/>
        <v>1</v>
      </c>
      <c r="K58" s="20">
        <f t="shared" si="4"/>
        <v>1</v>
      </c>
      <c r="L58" s="4">
        <f>VLOOKUP($A58,'0.0001'!$A$1:$AE$133,13, FALSE)</f>
        <v>1</v>
      </c>
      <c r="M58">
        <f>VLOOKUP($A58,'0.0001'!$A$1:$AE$133,15, FALSE)</f>
        <v>0</v>
      </c>
      <c r="N58">
        <f>VLOOKUP($A58,'0.0001'!$A$1:$AE$133,19, FALSE)</f>
        <v>81.8</v>
      </c>
      <c r="O58" s="5">
        <f t="shared" si="5"/>
        <v>1</v>
      </c>
      <c r="P58">
        <f t="shared" si="6"/>
        <v>1</v>
      </c>
      <c r="Q58" s="4">
        <f>VLOOKUP($A58,'0.00001'!$A$1:$AE$133,13, FALSE)</f>
        <v>1</v>
      </c>
      <c r="R58">
        <f>VLOOKUP($A58,'0.00001'!$A$1:$AE$133,15, FALSE)</f>
        <v>0</v>
      </c>
      <c r="S58">
        <f>VLOOKUP($A58,'0.00001'!$A$1:$AE$133,19, FALSE)</f>
        <v>74.8</v>
      </c>
      <c r="T58" s="5">
        <f t="shared" si="7"/>
        <v>1</v>
      </c>
      <c r="U58">
        <f t="shared" si="8"/>
        <v>1</v>
      </c>
    </row>
    <row r="59" spans="1:21" x14ac:dyDescent="0.25">
      <c r="A59" s="9" t="s">
        <v>113</v>
      </c>
      <c r="B59" s="19">
        <f>VLOOKUP($A59,'0.001'!$A$1:$AE$133,13, FALSE)</f>
        <v>1</v>
      </c>
      <c r="C59" s="20">
        <f>VLOOKUP($A59,'0.001'!$A$1:$AE$133,15, FALSE)</f>
        <v>0</v>
      </c>
      <c r="D59" s="20">
        <f>VLOOKUP($A59,'0.001'!$A$1:$AE$133,19, FALSE)</f>
        <v>520.20000000000005</v>
      </c>
      <c r="E59" s="21">
        <f t="shared" si="1"/>
        <v>1</v>
      </c>
      <c r="F59" s="20">
        <f t="shared" si="2"/>
        <v>1</v>
      </c>
      <c r="G59" s="19">
        <f>VLOOKUP($A59,'0.0005'!$A$1:$AE$133,11, FALSE)</f>
        <v>1</v>
      </c>
      <c r="H59" s="20">
        <f>VLOOKUP($A59,'0.0005'!$A$1:$AE$133,13, FALSE)</f>
        <v>0</v>
      </c>
      <c r="I59" s="20">
        <f>VLOOKUP($A59,'0.0005'!$A$1:$AE$133,17, FALSE)</f>
        <v>328.1</v>
      </c>
      <c r="J59" s="21">
        <f t="shared" si="3"/>
        <v>1</v>
      </c>
      <c r="K59" s="20">
        <f t="shared" si="4"/>
        <v>1</v>
      </c>
      <c r="L59" s="4">
        <f>VLOOKUP($A59,'0.0001'!$A$1:$AE$133,13, FALSE)</f>
        <v>1</v>
      </c>
      <c r="M59">
        <f>VLOOKUP($A59,'0.0001'!$A$1:$AE$133,15, FALSE)</f>
        <v>0</v>
      </c>
      <c r="N59">
        <f>VLOOKUP($A59,'0.0001'!$A$1:$AE$133,19, FALSE)</f>
        <v>28.8</v>
      </c>
      <c r="O59" s="5">
        <f t="shared" si="5"/>
        <v>1</v>
      </c>
      <c r="P59">
        <f t="shared" si="6"/>
        <v>1</v>
      </c>
      <c r="Q59" s="4">
        <f>VLOOKUP($A59,'0.00001'!$A$1:$AE$133,13, FALSE)</f>
        <v>1</v>
      </c>
      <c r="R59">
        <f>VLOOKUP($A59,'0.00001'!$A$1:$AE$133,15, FALSE)</f>
        <v>0</v>
      </c>
      <c r="S59">
        <f>VLOOKUP($A59,'0.00001'!$A$1:$AE$133,19, FALSE)</f>
        <v>33.200000000000003</v>
      </c>
      <c r="T59" s="5">
        <f t="shared" si="7"/>
        <v>1</v>
      </c>
      <c r="U59">
        <f t="shared" si="8"/>
        <v>1</v>
      </c>
    </row>
    <row r="60" spans="1:21" x14ac:dyDescent="0.25">
      <c r="A60" s="9" t="s">
        <v>58</v>
      </c>
      <c r="B60" s="19">
        <f>VLOOKUP($A60,'0.001'!$A$1:$AE$133,13, FALSE)</f>
        <v>0.99999760000000004</v>
      </c>
      <c r="C60" s="20">
        <f>VLOOKUP($A60,'0.001'!$A$1:$AE$133,15, FALSE)</f>
        <v>1.8814999999999999E-3</v>
      </c>
      <c r="D60" s="20">
        <f>VLOOKUP($A60,'0.001'!$A$1:$AE$133,19, FALSE)</f>
        <v>1202.8</v>
      </c>
      <c r="E60" s="21">
        <f t="shared" si="1"/>
        <v>0</v>
      </c>
      <c r="F60" s="20">
        <f t="shared" si="2"/>
        <v>1</v>
      </c>
      <c r="G60" s="19">
        <f>VLOOKUP($A60,'0.0005'!$A$1:$AE$133,11, FALSE)</f>
        <v>0.99999950000000004</v>
      </c>
      <c r="H60" s="20">
        <f>VLOOKUP($A60,'0.0005'!$A$1:$AE$133,13, FALSE)</f>
        <v>8.8449999999999998E-4</v>
      </c>
      <c r="I60" s="20">
        <f>VLOOKUP($A60,'0.0005'!$A$1:$AE$133,17, FALSE)</f>
        <v>1202.5999999999999</v>
      </c>
      <c r="J60" s="21">
        <f t="shared" si="3"/>
        <v>0</v>
      </c>
      <c r="K60" s="20">
        <f t="shared" si="4"/>
        <v>1</v>
      </c>
      <c r="L60" s="4">
        <f>VLOOKUP($A60,'0.0001'!$A$1:$AE$133,13, FALSE)</f>
        <v>0.99999959999999999</v>
      </c>
      <c r="M60">
        <f>VLOOKUP($A60,'0.0001'!$A$1:$AE$133,15, FALSE)</f>
        <v>7.6009999999999999E-4</v>
      </c>
      <c r="N60">
        <f>VLOOKUP($A60,'0.0001'!$A$1:$AE$133,19, FALSE)</f>
        <v>1200.2</v>
      </c>
      <c r="O60" s="5">
        <f t="shared" si="5"/>
        <v>0</v>
      </c>
      <c r="P60">
        <f t="shared" si="6"/>
        <v>1</v>
      </c>
      <c r="Q60" s="4">
        <f>VLOOKUP($A60,'0.00001'!$A$1:$AE$133,13, FALSE)</f>
        <v>0.99999890000000002</v>
      </c>
      <c r="R60">
        <f>VLOOKUP($A60,'0.00001'!$A$1:$AE$133,15, FALSE)</f>
        <v>1.2455000000000001E-3</v>
      </c>
      <c r="S60">
        <f>VLOOKUP($A60,'0.00001'!$A$1:$AE$133,19, FALSE)</f>
        <v>1200.4000000000001</v>
      </c>
      <c r="T60" s="5">
        <f t="shared" si="7"/>
        <v>0</v>
      </c>
      <c r="U60">
        <f t="shared" si="8"/>
        <v>1</v>
      </c>
    </row>
    <row r="61" spans="1:21" x14ac:dyDescent="0.25">
      <c r="A61" s="9" t="s">
        <v>56</v>
      </c>
      <c r="B61" s="19">
        <f>VLOOKUP($A61,'0.001'!$A$1:$AE$133,13, FALSE)</f>
        <v>0.99999769999999999</v>
      </c>
      <c r="C61" s="20">
        <f>VLOOKUP($A61,'0.001'!$A$1:$AE$133,15, FALSE)</f>
        <v>3.1668E-3</v>
      </c>
      <c r="D61" s="20">
        <f>VLOOKUP($A61,'0.001'!$A$1:$AE$133,19, FALSE)</f>
        <v>1201.0999999999999</v>
      </c>
      <c r="E61" s="21">
        <f t="shared" si="1"/>
        <v>0</v>
      </c>
      <c r="F61" s="20">
        <f t="shared" si="2"/>
        <v>1</v>
      </c>
      <c r="G61" s="19">
        <f>VLOOKUP($A61,'0.0005'!$A$1:$AE$133,11, FALSE)</f>
        <v>0.99999990000000005</v>
      </c>
      <c r="H61" s="20">
        <f>VLOOKUP($A61,'0.0005'!$A$1:$AE$133,13, FALSE)</f>
        <v>7.8799999999999996E-4</v>
      </c>
      <c r="I61" s="20">
        <f>VLOOKUP($A61,'0.0005'!$A$1:$AE$133,17, FALSE)</f>
        <v>1201.3</v>
      </c>
      <c r="J61" s="21">
        <f t="shared" si="3"/>
        <v>0</v>
      </c>
      <c r="K61" s="20">
        <f t="shared" si="4"/>
        <v>1</v>
      </c>
      <c r="L61" s="4">
        <f>VLOOKUP($A61,'0.0001'!$A$1:$AE$133,13, FALSE)</f>
        <v>0.99999950000000004</v>
      </c>
      <c r="M61">
        <f>VLOOKUP($A61,'0.0001'!$A$1:$AE$133,15, FALSE)</f>
        <v>1.4140999999999999E-3</v>
      </c>
      <c r="N61">
        <f>VLOOKUP($A61,'0.0001'!$A$1:$AE$133,19, FALSE)</f>
        <v>1200.3</v>
      </c>
      <c r="O61" s="5">
        <f t="shared" si="5"/>
        <v>0</v>
      </c>
      <c r="P61">
        <f t="shared" si="6"/>
        <v>1</v>
      </c>
      <c r="Q61" s="4">
        <f>VLOOKUP($A61,'0.00001'!$A$1:$AE$133,13, FALSE)</f>
        <v>0.99999170000000004</v>
      </c>
      <c r="R61">
        <f>VLOOKUP($A61,'0.00001'!$A$1:$AE$133,15, FALSE)</f>
        <v>6.0774999999999996E-3</v>
      </c>
      <c r="S61">
        <f>VLOOKUP($A61,'0.00001'!$A$1:$AE$133,19, FALSE)</f>
        <v>1202.2</v>
      </c>
      <c r="T61" s="5">
        <f t="shared" si="7"/>
        <v>0</v>
      </c>
      <c r="U61">
        <f t="shared" si="8"/>
        <v>1</v>
      </c>
    </row>
    <row r="62" spans="1:21" x14ac:dyDescent="0.25">
      <c r="A62" s="9" t="s">
        <v>70</v>
      </c>
      <c r="B62" s="19">
        <f>VLOOKUP($A62,'0.001'!$A$1:$AE$133,13, FALSE)</f>
        <v>1</v>
      </c>
      <c r="C62" s="20">
        <f>VLOOKUP($A62,'0.001'!$A$1:$AE$133,15, FALSE)</f>
        <v>0</v>
      </c>
      <c r="D62" s="20">
        <f>VLOOKUP($A62,'0.001'!$A$1:$AE$133,19, FALSE)</f>
        <v>8.1999999999999993</v>
      </c>
      <c r="E62" s="21">
        <f t="shared" si="1"/>
        <v>1</v>
      </c>
      <c r="F62" s="20">
        <f t="shared" si="2"/>
        <v>1</v>
      </c>
      <c r="G62" s="19">
        <f>VLOOKUP($A62,'0.0005'!$A$1:$AE$133,11, FALSE)</f>
        <v>1</v>
      </c>
      <c r="H62" s="20">
        <f>VLOOKUP($A62,'0.0005'!$A$1:$AE$133,13, FALSE)</f>
        <v>0</v>
      </c>
      <c r="I62" s="20">
        <f>VLOOKUP($A62,'0.0005'!$A$1:$AE$133,17, FALSE)</f>
        <v>7.8</v>
      </c>
      <c r="J62" s="21">
        <f t="shared" si="3"/>
        <v>1</v>
      </c>
      <c r="K62" s="20">
        <f t="shared" si="4"/>
        <v>1</v>
      </c>
      <c r="L62" s="4">
        <f>VLOOKUP($A62,'0.0001'!$A$1:$AE$133,13, FALSE)</f>
        <v>1</v>
      </c>
      <c r="M62">
        <f>VLOOKUP($A62,'0.0001'!$A$1:$AE$133,15, FALSE)</f>
        <v>0</v>
      </c>
      <c r="N62">
        <f>VLOOKUP($A62,'0.0001'!$A$1:$AE$133,19, FALSE)</f>
        <v>8.9</v>
      </c>
      <c r="O62" s="5">
        <f t="shared" si="5"/>
        <v>1</v>
      </c>
      <c r="P62">
        <f t="shared" si="6"/>
        <v>1</v>
      </c>
      <c r="Q62" s="4">
        <f>VLOOKUP($A62,'0.00001'!$A$1:$AE$133,13, FALSE)</f>
        <v>1</v>
      </c>
      <c r="R62">
        <f>VLOOKUP($A62,'0.00001'!$A$1:$AE$133,15, FALSE)</f>
        <v>0</v>
      </c>
      <c r="S62">
        <f>VLOOKUP($A62,'0.00001'!$A$1:$AE$133,19, FALSE)</f>
        <v>7.8</v>
      </c>
      <c r="T62" s="5">
        <f t="shared" si="7"/>
        <v>1</v>
      </c>
      <c r="U62">
        <f t="shared" si="8"/>
        <v>1</v>
      </c>
    </row>
    <row r="63" spans="1:21" x14ac:dyDescent="0.25">
      <c r="A63" s="9" t="s">
        <v>69</v>
      </c>
      <c r="B63" s="19">
        <f>VLOOKUP($A63,'0.001'!$A$1:$AE$133,13, FALSE)</f>
        <v>1</v>
      </c>
      <c r="C63" s="20">
        <f>VLOOKUP($A63,'0.001'!$A$1:$AE$133,15, FALSE)</f>
        <v>0</v>
      </c>
      <c r="D63" s="20">
        <f>VLOOKUP($A63,'0.001'!$A$1:$AE$133,19, FALSE)</f>
        <v>8.3000000000000007</v>
      </c>
      <c r="E63" s="21">
        <f t="shared" si="1"/>
        <v>1</v>
      </c>
      <c r="F63" s="20">
        <f t="shared" si="2"/>
        <v>1</v>
      </c>
      <c r="G63" s="19">
        <f>VLOOKUP($A63,'0.0005'!$A$1:$AE$133,11, FALSE)</f>
        <v>1</v>
      </c>
      <c r="H63" s="20">
        <f>VLOOKUP($A63,'0.0005'!$A$1:$AE$133,13, FALSE)</f>
        <v>0</v>
      </c>
      <c r="I63" s="20">
        <f>VLOOKUP($A63,'0.0005'!$A$1:$AE$133,17, FALSE)</f>
        <v>8</v>
      </c>
      <c r="J63" s="21">
        <f t="shared" si="3"/>
        <v>1</v>
      </c>
      <c r="K63" s="20">
        <f t="shared" si="4"/>
        <v>1</v>
      </c>
      <c r="L63" s="4">
        <f>VLOOKUP($A63,'0.0001'!$A$1:$AE$133,13, FALSE)</f>
        <v>1</v>
      </c>
      <c r="M63">
        <f>VLOOKUP($A63,'0.0001'!$A$1:$AE$133,15, FALSE)</f>
        <v>0</v>
      </c>
      <c r="N63">
        <f>VLOOKUP($A63,'0.0001'!$A$1:$AE$133,19, FALSE)</f>
        <v>8.1</v>
      </c>
      <c r="O63" s="5">
        <f t="shared" si="5"/>
        <v>1</v>
      </c>
      <c r="P63">
        <f t="shared" si="6"/>
        <v>1</v>
      </c>
      <c r="Q63" s="4">
        <f>VLOOKUP($A63,'0.00001'!$A$1:$AE$133,13, FALSE)</f>
        <v>1</v>
      </c>
      <c r="R63">
        <f>VLOOKUP($A63,'0.00001'!$A$1:$AE$133,15, FALSE)</f>
        <v>0</v>
      </c>
      <c r="S63">
        <f>VLOOKUP($A63,'0.00001'!$A$1:$AE$133,19, FALSE)</f>
        <v>8.3000000000000007</v>
      </c>
      <c r="T63" s="5">
        <f t="shared" si="7"/>
        <v>1</v>
      </c>
      <c r="U63">
        <f t="shared" si="8"/>
        <v>1</v>
      </c>
    </row>
    <row r="64" spans="1:21" x14ac:dyDescent="0.25">
      <c r="A64" s="9" t="s">
        <v>127</v>
      </c>
      <c r="B64" s="19">
        <f>VLOOKUP($A64,'0.001'!$A$1:$AE$133,13, FALSE)</f>
        <v>1</v>
      </c>
      <c r="C64" s="20">
        <f>VLOOKUP($A64,'0.001'!$A$1:$AE$133,15, FALSE)</f>
        <v>0</v>
      </c>
      <c r="D64" s="20">
        <f>VLOOKUP($A64,'0.001'!$A$1:$AE$133,19, FALSE)</f>
        <v>108.2</v>
      </c>
      <c r="E64" s="21">
        <f t="shared" si="1"/>
        <v>1</v>
      </c>
      <c r="F64" s="20">
        <f t="shared" si="2"/>
        <v>1</v>
      </c>
      <c r="G64" s="19">
        <f>VLOOKUP($A64,'0.0005'!$A$1:$AE$133,11, FALSE)</f>
        <v>1</v>
      </c>
      <c r="H64" s="20">
        <f>VLOOKUP($A64,'0.0005'!$A$1:$AE$133,13, FALSE)</f>
        <v>0</v>
      </c>
      <c r="I64" s="20">
        <f>VLOOKUP($A64,'0.0005'!$A$1:$AE$133,17, FALSE)</f>
        <v>105.3</v>
      </c>
      <c r="J64" s="21">
        <f t="shared" si="3"/>
        <v>1</v>
      </c>
      <c r="K64" s="20">
        <f t="shared" si="4"/>
        <v>1</v>
      </c>
      <c r="L64" s="4">
        <f>VLOOKUP($A64,'0.0001'!$A$1:$AE$133,13, FALSE)</f>
        <v>1</v>
      </c>
      <c r="M64">
        <f>VLOOKUP($A64,'0.0001'!$A$1:$AE$133,15, FALSE)</f>
        <v>0</v>
      </c>
      <c r="N64">
        <f>VLOOKUP($A64,'0.0001'!$A$1:$AE$133,19, FALSE)</f>
        <v>115</v>
      </c>
      <c r="O64" s="5">
        <f t="shared" si="5"/>
        <v>1</v>
      </c>
      <c r="P64">
        <f t="shared" si="6"/>
        <v>1</v>
      </c>
      <c r="Q64" s="4">
        <f>VLOOKUP($A64,'0.00001'!$A$1:$AE$133,13, FALSE)</f>
        <v>1</v>
      </c>
      <c r="R64">
        <f>VLOOKUP($A64,'0.00001'!$A$1:$AE$133,15, FALSE)</f>
        <v>0</v>
      </c>
      <c r="S64">
        <f>VLOOKUP($A64,'0.00001'!$A$1:$AE$133,19, FALSE)</f>
        <v>116.4</v>
      </c>
      <c r="T64" s="5">
        <f t="shared" si="7"/>
        <v>1</v>
      </c>
      <c r="U64">
        <f t="shared" si="8"/>
        <v>1</v>
      </c>
    </row>
    <row r="65" spans="1:21" x14ac:dyDescent="0.25">
      <c r="A65" s="9" t="s">
        <v>134</v>
      </c>
      <c r="B65" s="19">
        <f>VLOOKUP($A65,'0.001'!$A$1:$AE$133,13, FALSE)</f>
        <v>0.99287800000000004</v>
      </c>
      <c r="C65" s="20">
        <f>VLOOKUP($A65,'0.001'!$A$1:$AE$133,15, FALSE)</f>
        <v>4.1098999999999997E-3</v>
      </c>
      <c r="D65" s="20">
        <f>VLOOKUP($A65,'0.001'!$A$1:$AE$133,19, FALSE)</f>
        <v>1202.2</v>
      </c>
      <c r="E65" s="21">
        <f t="shared" si="1"/>
        <v>0</v>
      </c>
      <c r="F65" s="20">
        <f t="shared" si="2"/>
        <v>0</v>
      </c>
      <c r="G65" s="19">
        <f>VLOOKUP($A65,'0.0005'!$A$1:$AE$133,11, FALSE)</f>
        <v>0.99975999999999998</v>
      </c>
      <c r="H65" s="20">
        <f>VLOOKUP($A65,'0.0005'!$A$1:$AE$133,13, FALSE)</f>
        <v>7.5440000000000001E-4</v>
      </c>
      <c r="I65" s="20">
        <f>VLOOKUP($A65,'0.0005'!$A$1:$AE$133,17, FALSE)</f>
        <v>1200.5999999999999</v>
      </c>
      <c r="J65" s="21">
        <f t="shared" si="3"/>
        <v>0</v>
      </c>
      <c r="K65" s="20">
        <f t="shared" si="4"/>
        <v>1</v>
      </c>
      <c r="L65" s="4">
        <f>VLOOKUP($A65,'0.0001'!$A$1:$AE$133,13, FALSE)</f>
        <v>1</v>
      </c>
      <c r="M65">
        <f>VLOOKUP($A65,'0.0001'!$A$1:$AE$133,15, FALSE)</f>
        <v>0</v>
      </c>
      <c r="N65">
        <f>VLOOKUP($A65,'0.0001'!$A$1:$AE$133,19, FALSE)</f>
        <v>418.7</v>
      </c>
      <c r="O65" s="5">
        <f t="shared" si="5"/>
        <v>1</v>
      </c>
      <c r="P65">
        <f t="shared" si="6"/>
        <v>1</v>
      </c>
      <c r="Q65" s="4">
        <f>VLOOKUP($A65,'0.00001'!$A$1:$AE$133,13, FALSE)</f>
        <v>1</v>
      </c>
      <c r="R65">
        <f>VLOOKUP($A65,'0.00001'!$A$1:$AE$133,15, FALSE)</f>
        <v>0</v>
      </c>
      <c r="S65">
        <f>VLOOKUP($A65,'0.00001'!$A$1:$AE$133,19, FALSE)</f>
        <v>500</v>
      </c>
      <c r="T65" s="5">
        <f t="shared" si="7"/>
        <v>1</v>
      </c>
      <c r="U65">
        <f t="shared" si="8"/>
        <v>1</v>
      </c>
    </row>
    <row r="66" spans="1:21" x14ac:dyDescent="0.25">
      <c r="A66" s="9" t="s">
        <v>49</v>
      </c>
      <c r="B66" s="19">
        <f>VLOOKUP($A66,'0.001'!$A$1:$AE$133,13, FALSE)</f>
        <v>0.99997159999999996</v>
      </c>
      <c r="C66" s="20">
        <f>VLOOKUP($A66,'0.001'!$A$1:$AE$133,15, FALSE)</f>
        <v>4.5903999999999997E-3</v>
      </c>
      <c r="D66" s="20">
        <f>VLOOKUP($A66,'0.001'!$A$1:$AE$133,19, FALSE)</f>
        <v>1201.3</v>
      </c>
      <c r="E66" s="21">
        <f t="shared" si="1"/>
        <v>0</v>
      </c>
      <c r="F66" s="20">
        <f t="shared" si="2"/>
        <v>1</v>
      </c>
      <c r="G66" s="19">
        <f>VLOOKUP($A66,'0.0005'!$A$1:$AE$133,11, FALSE)</f>
        <v>0.99997130000000001</v>
      </c>
      <c r="H66" s="20">
        <f>VLOOKUP($A66,'0.0005'!$A$1:$AE$133,13, FALSE)</f>
        <v>4.6153000000000001E-3</v>
      </c>
      <c r="I66" s="20">
        <f>VLOOKUP($A66,'0.0005'!$A$1:$AE$133,17, FALSE)</f>
        <v>1202.3</v>
      </c>
      <c r="J66" s="21">
        <f t="shared" si="3"/>
        <v>0</v>
      </c>
      <c r="K66" s="20">
        <f t="shared" si="4"/>
        <v>1</v>
      </c>
      <c r="L66" s="4">
        <f>VLOOKUP($A66,'0.0001'!$A$1:$AE$133,13, FALSE)</f>
        <v>0.99999939999999998</v>
      </c>
      <c r="M66">
        <f>VLOOKUP($A66,'0.0001'!$A$1:$AE$133,15, FALSE)</f>
        <v>6.5510000000000004E-4</v>
      </c>
      <c r="N66">
        <f>VLOOKUP($A66,'0.0001'!$A$1:$AE$133,19, FALSE)</f>
        <v>1201</v>
      </c>
      <c r="O66" s="5">
        <f t="shared" si="5"/>
        <v>0</v>
      </c>
      <c r="P66">
        <f t="shared" si="6"/>
        <v>1</v>
      </c>
      <c r="Q66" s="4">
        <f>VLOOKUP($A66,'0.00001'!$A$1:$AE$133,13, FALSE)</f>
        <v>0.99999990000000005</v>
      </c>
      <c r="R66">
        <f>VLOOKUP($A66,'0.00001'!$A$1:$AE$133,15, FALSE)</f>
        <v>2.253E-4</v>
      </c>
      <c r="S66">
        <f>VLOOKUP($A66,'0.00001'!$A$1:$AE$133,19, FALSE)</f>
        <v>1200.2</v>
      </c>
      <c r="T66" s="5">
        <f t="shared" si="7"/>
        <v>0</v>
      </c>
      <c r="U66">
        <f t="shared" si="8"/>
        <v>1</v>
      </c>
    </row>
    <row r="67" spans="1:21" x14ac:dyDescent="0.25">
      <c r="A67" s="9" t="s">
        <v>79</v>
      </c>
      <c r="B67" s="19">
        <f>VLOOKUP($A67,'0.001'!$A$1:$AE$133,13, FALSE)</f>
        <v>1</v>
      </c>
      <c r="C67" s="20">
        <f>VLOOKUP($A67,'0.001'!$A$1:$AE$133,15, FALSE)</f>
        <v>0</v>
      </c>
      <c r="D67" s="20">
        <f>VLOOKUP($A67,'0.001'!$A$1:$AE$133,19, FALSE)</f>
        <v>36.6</v>
      </c>
      <c r="E67" s="21">
        <f t="shared" si="1"/>
        <v>1</v>
      </c>
      <c r="F67" s="20">
        <f t="shared" si="2"/>
        <v>1</v>
      </c>
      <c r="G67" s="19">
        <f>VLOOKUP($A67,'0.0005'!$A$1:$AE$133,11, FALSE)</f>
        <v>1</v>
      </c>
      <c r="H67" s="20">
        <f>VLOOKUP($A67,'0.0005'!$A$1:$AE$133,13, FALSE)</f>
        <v>0</v>
      </c>
      <c r="I67" s="20">
        <f>VLOOKUP($A67,'0.0005'!$A$1:$AE$133,17, FALSE)</f>
        <v>34.299999999999997</v>
      </c>
      <c r="J67" s="21">
        <f t="shared" si="3"/>
        <v>1</v>
      </c>
      <c r="K67" s="20">
        <f t="shared" si="4"/>
        <v>1</v>
      </c>
      <c r="L67" s="4">
        <f>VLOOKUP($A67,'0.0001'!$A$1:$AE$133,13, FALSE)</f>
        <v>1</v>
      </c>
      <c r="M67">
        <f>VLOOKUP($A67,'0.0001'!$A$1:$AE$133,15, FALSE)</f>
        <v>0</v>
      </c>
      <c r="N67">
        <f>VLOOKUP($A67,'0.0001'!$A$1:$AE$133,19, FALSE)</f>
        <v>34.200000000000003</v>
      </c>
      <c r="O67" s="5">
        <f t="shared" si="5"/>
        <v>1</v>
      </c>
      <c r="P67">
        <f t="shared" si="6"/>
        <v>1</v>
      </c>
      <c r="Q67" s="4">
        <f>VLOOKUP($A67,'0.00001'!$A$1:$AE$133,13, FALSE)</f>
        <v>1</v>
      </c>
      <c r="R67">
        <f>VLOOKUP($A67,'0.00001'!$A$1:$AE$133,15, FALSE)</f>
        <v>0</v>
      </c>
      <c r="S67">
        <f>VLOOKUP($A67,'0.00001'!$A$1:$AE$133,19, FALSE)</f>
        <v>39</v>
      </c>
      <c r="T67" s="5">
        <f t="shared" si="7"/>
        <v>1</v>
      </c>
      <c r="U67">
        <f t="shared" si="8"/>
        <v>1</v>
      </c>
    </row>
    <row r="68" spans="1:21" x14ac:dyDescent="0.25">
      <c r="A68" s="9" t="s">
        <v>43</v>
      </c>
      <c r="B68" s="19">
        <f>VLOOKUP($A68,'0.001'!$A$1:$AE$133,13, FALSE)</f>
        <v>1</v>
      </c>
      <c r="C68" s="20">
        <f>VLOOKUP($A68,'0.001'!$A$1:$AE$133,15, FALSE)</f>
        <v>0</v>
      </c>
      <c r="D68" s="20">
        <f>VLOOKUP($A68,'0.001'!$A$1:$AE$133,19, FALSE)</f>
        <v>5.4</v>
      </c>
      <c r="E68" s="21">
        <f t="shared" ref="E68:E130" si="9">IF(AND(B68=1,C68=0),1,0)</f>
        <v>1</v>
      </c>
      <c r="F68" s="20">
        <f t="shared" ref="F68:F130" si="10">IF(B68&gt;0.999,1,0)</f>
        <v>1</v>
      </c>
      <c r="G68" s="19">
        <f>VLOOKUP($A68,'0.0005'!$A$1:$AE$133,11, FALSE)</f>
        <v>1</v>
      </c>
      <c r="H68" s="20">
        <f>VLOOKUP($A68,'0.0005'!$A$1:$AE$133,13, FALSE)</f>
        <v>0</v>
      </c>
      <c r="I68" s="20">
        <f>VLOOKUP($A68,'0.0005'!$A$1:$AE$133,17, FALSE)</f>
        <v>5.6</v>
      </c>
      <c r="J68" s="21">
        <f t="shared" si="3"/>
        <v>1</v>
      </c>
      <c r="K68" s="20">
        <f t="shared" si="4"/>
        <v>1</v>
      </c>
      <c r="L68" s="4">
        <f>VLOOKUP($A68,'0.0001'!$A$1:$AE$133,13, FALSE)</f>
        <v>1</v>
      </c>
      <c r="M68">
        <f>VLOOKUP($A68,'0.0001'!$A$1:$AE$133,15, FALSE)</f>
        <v>0</v>
      </c>
      <c r="N68">
        <f>VLOOKUP($A68,'0.0001'!$A$1:$AE$133,19, FALSE)</f>
        <v>5.9</v>
      </c>
      <c r="O68" s="5">
        <f t="shared" ref="O68:O130" si="11">IF(AND(L68=1,M68=0),1,0)</f>
        <v>1</v>
      </c>
      <c r="P68">
        <f t="shared" ref="P68:P130" si="12">IF(L68&gt;0.999,1,0)</f>
        <v>1</v>
      </c>
      <c r="Q68" s="4">
        <f>VLOOKUP($A68,'0.00001'!$A$1:$AE$133,13, FALSE)</f>
        <v>1</v>
      </c>
      <c r="R68">
        <f>VLOOKUP($A68,'0.00001'!$A$1:$AE$133,15, FALSE)</f>
        <v>0</v>
      </c>
      <c r="S68">
        <f>VLOOKUP($A68,'0.00001'!$A$1:$AE$133,19, FALSE)</f>
        <v>5.5</v>
      </c>
      <c r="T68" s="5">
        <f t="shared" ref="T68:T130" si="13">IF(AND(Q68=1,R68=0),1,0)</f>
        <v>1</v>
      </c>
      <c r="U68">
        <f t="shared" ref="U68:U130" si="14">IF(Q68&gt;0.999,1,0)</f>
        <v>1</v>
      </c>
    </row>
    <row r="69" spans="1:21" x14ac:dyDescent="0.25">
      <c r="A69" s="9" t="s">
        <v>46</v>
      </c>
      <c r="B69" s="19">
        <f>VLOOKUP($A69,'0.001'!$A$1:$AE$133,13, FALSE)</f>
        <v>1</v>
      </c>
      <c r="C69" s="20">
        <f>VLOOKUP($A69,'0.001'!$A$1:$AE$133,15, FALSE)</f>
        <v>0</v>
      </c>
      <c r="D69" s="20">
        <f>VLOOKUP($A69,'0.001'!$A$1:$AE$133,19, FALSE)</f>
        <v>5.9</v>
      </c>
      <c r="E69" s="21">
        <f t="shared" si="9"/>
        <v>1</v>
      </c>
      <c r="F69" s="20">
        <f t="shared" si="10"/>
        <v>1</v>
      </c>
      <c r="G69" s="19">
        <f>VLOOKUP($A69,'0.0005'!$A$1:$AE$133,11, FALSE)</f>
        <v>1</v>
      </c>
      <c r="H69" s="20">
        <f>VLOOKUP($A69,'0.0005'!$A$1:$AE$133,13, FALSE)</f>
        <v>0</v>
      </c>
      <c r="I69" s="20">
        <f>VLOOKUP($A69,'0.0005'!$A$1:$AE$133,17, FALSE)</f>
        <v>6.2</v>
      </c>
      <c r="J69" s="21">
        <f t="shared" si="3"/>
        <v>1</v>
      </c>
      <c r="K69" s="20">
        <f t="shared" si="4"/>
        <v>1</v>
      </c>
      <c r="L69" s="4">
        <f>VLOOKUP($A69,'0.0001'!$A$1:$AE$133,13, FALSE)</f>
        <v>1</v>
      </c>
      <c r="M69">
        <f>VLOOKUP($A69,'0.0001'!$A$1:$AE$133,15, FALSE)</f>
        <v>0</v>
      </c>
      <c r="N69">
        <f>VLOOKUP($A69,'0.0001'!$A$1:$AE$133,19, FALSE)</f>
        <v>6.6</v>
      </c>
      <c r="O69" s="5">
        <f t="shared" si="11"/>
        <v>1</v>
      </c>
      <c r="P69">
        <f t="shared" si="12"/>
        <v>1</v>
      </c>
      <c r="Q69" s="4">
        <f>VLOOKUP($A69,'0.00001'!$A$1:$AE$133,13, FALSE)</f>
        <v>1</v>
      </c>
      <c r="R69">
        <f>VLOOKUP($A69,'0.00001'!$A$1:$AE$133,15, FALSE)</f>
        <v>0</v>
      </c>
      <c r="S69">
        <f>VLOOKUP($A69,'0.00001'!$A$1:$AE$133,19, FALSE)</f>
        <v>5.6</v>
      </c>
      <c r="T69" s="5">
        <f t="shared" si="13"/>
        <v>1</v>
      </c>
      <c r="U69">
        <f t="shared" si="14"/>
        <v>1</v>
      </c>
    </row>
    <row r="70" spans="1:21" x14ac:dyDescent="0.25">
      <c r="A70" s="9" t="s">
        <v>95</v>
      </c>
      <c r="B70" s="19">
        <f>VLOOKUP($A70,'0.001'!$A$1:$AE$133,13, FALSE)</f>
        <v>1</v>
      </c>
      <c r="C70" s="20">
        <f>VLOOKUP($A70,'0.001'!$A$1:$AE$133,15, FALSE)</f>
        <v>0</v>
      </c>
      <c r="D70" s="20">
        <f>VLOOKUP($A70,'0.001'!$A$1:$AE$133,19, FALSE)</f>
        <v>15.3</v>
      </c>
      <c r="E70" s="21">
        <f t="shared" si="9"/>
        <v>1</v>
      </c>
      <c r="F70" s="20">
        <f t="shared" si="10"/>
        <v>1</v>
      </c>
      <c r="G70" s="19">
        <f>VLOOKUP($A70,'0.0005'!$A$1:$AE$133,11, FALSE)</f>
        <v>1</v>
      </c>
      <c r="H70" s="20">
        <f>VLOOKUP($A70,'0.0005'!$A$1:$AE$133,13, FALSE)</f>
        <v>0</v>
      </c>
      <c r="I70" s="20">
        <f>VLOOKUP($A70,'0.0005'!$A$1:$AE$133,17, FALSE)</f>
        <v>14.4</v>
      </c>
      <c r="J70" s="21">
        <f t="shared" ref="J70:J133" si="15">IF(AND(G70=1,H70=0),1,0)</f>
        <v>1</v>
      </c>
      <c r="K70" s="20">
        <f t="shared" ref="K70:K133" si="16">IF(G70&gt;0.999,1,0)</f>
        <v>1</v>
      </c>
      <c r="L70" s="4">
        <f>VLOOKUP($A70,'0.0001'!$A$1:$AE$133,13, FALSE)</f>
        <v>1</v>
      </c>
      <c r="M70">
        <f>VLOOKUP($A70,'0.0001'!$A$1:$AE$133,15, FALSE)</f>
        <v>0</v>
      </c>
      <c r="N70">
        <f>VLOOKUP($A70,'0.0001'!$A$1:$AE$133,19, FALSE)</f>
        <v>16.399999999999999</v>
      </c>
      <c r="O70" s="5">
        <f t="shared" si="11"/>
        <v>1</v>
      </c>
      <c r="P70">
        <f t="shared" si="12"/>
        <v>1</v>
      </c>
      <c r="Q70" s="4">
        <f>VLOOKUP($A70,'0.00001'!$A$1:$AE$133,13, FALSE)</f>
        <v>1</v>
      </c>
      <c r="R70">
        <f>VLOOKUP($A70,'0.00001'!$A$1:$AE$133,15, FALSE)</f>
        <v>0</v>
      </c>
      <c r="S70">
        <f>VLOOKUP($A70,'0.00001'!$A$1:$AE$133,19, FALSE)</f>
        <v>22.1</v>
      </c>
      <c r="T70" s="5">
        <f t="shared" si="13"/>
        <v>1</v>
      </c>
      <c r="U70">
        <f t="shared" si="14"/>
        <v>1</v>
      </c>
    </row>
    <row r="71" spans="1:21" x14ac:dyDescent="0.25">
      <c r="A71" s="9" t="s">
        <v>63</v>
      </c>
      <c r="B71" s="19">
        <f>VLOOKUP($A71,'0.001'!$A$1:$AE$133,13, FALSE)</f>
        <v>1</v>
      </c>
      <c r="C71" s="20">
        <f>VLOOKUP($A71,'0.001'!$A$1:$AE$133,15, FALSE)</f>
        <v>0</v>
      </c>
      <c r="D71" s="20">
        <f>VLOOKUP($A71,'0.001'!$A$1:$AE$133,19, FALSE)</f>
        <v>6.6</v>
      </c>
      <c r="E71" s="21">
        <f t="shared" si="9"/>
        <v>1</v>
      </c>
      <c r="F71" s="20">
        <f t="shared" si="10"/>
        <v>1</v>
      </c>
      <c r="G71" s="19">
        <f>VLOOKUP($A71,'0.0005'!$A$1:$AE$133,11, FALSE)</f>
        <v>1</v>
      </c>
      <c r="H71" s="20">
        <f>VLOOKUP($A71,'0.0005'!$A$1:$AE$133,13, FALSE)</f>
        <v>0</v>
      </c>
      <c r="I71" s="20">
        <f>VLOOKUP($A71,'0.0005'!$A$1:$AE$133,17, FALSE)</f>
        <v>6.1</v>
      </c>
      <c r="J71" s="21">
        <f t="shared" si="15"/>
        <v>1</v>
      </c>
      <c r="K71" s="20">
        <f t="shared" si="16"/>
        <v>1</v>
      </c>
      <c r="L71" s="4">
        <f>VLOOKUP($A71,'0.0001'!$A$1:$AE$133,13, FALSE)</f>
        <v>1</v>
      </c>
      <c r="M71">
        <f>VLOOKUP($A71,'0.0001'!$A$1:$AE$133,15, FALSE)</f>
        <v>0</v>
      </c>
      <c r="N71">
        <f>VLOOKUP($A71,'0.0001'!$A$1:$AE$133,19, FALSE)</f>
        <v>6.5</v>
      </c>
      <c r="O71" s="5">
        <f t="shared" si="11"/>
        <v>1</v>
      </c>
      <c r="P71">
        <f t="shared" si="12"/>
        <v>1</v>
      </c>
      <c r="Q71" s="4">
        <f>VLOOKUP($A71,'0.00001'!$A$1:$AE$133,13, FALSE)</f>
        <v>1</v>
      </c>
      <c r="R71">
        <f>VLOOKUP($A71,'0.00001'!$A$1:$AE$133,15, FALSE)</f>
        <v>0</v>
      </c>
      <c r="S71">
        <f>VLOOKUP($A71,'0.00001'!$A$1:$AE$133,19, FALSE)</f>
        <v>6.6</v>
      </c>
      <c r="T71" s="5">
        <f t="shared" si="13"/>
        <v>1</v>
      </c>
      <c r="U71">
        <f t="shared" si="14"/>
        <v>1</v>
      </c>
    </row>
    <row r="72" spans="1:21" x14ac:dyDescent="0.25">
      <c r="A72" s="9" t="s">
        <v>71</v>
      </c>
      <c r="B72" s="19">
        <f>VLOOKUP($A72,'0.001'!$A$1:$AE$133,13, FALSE)</f>
        <v>1</v>
      </c>
      <c r="C72" s="20">
        <f>VLOOKUP($A72,'0.001'!$A$1:$AE$133,15, FALSE)</f>
        <v>0</v>
      </c>
      <c r="D72" s="20">
        <f>VLOOKUP($A72,'0.001'!$A$1:$AE$133,19, FALSE)</f>
        <v>8.6</v>
      </c>
      <c r="E72" s="21">
        <f t="shared" si="9"/>
        <v>1</v>
      </c>
      <c r="F72" s="20">
        <f t="shared" si="10"/>
        <v>1</v>
      </c>
      <c r="G72" s="19">
        <f>VLOOKUP($A72,'0.0005'!$A$1:$AE$133,11, FALSE)</f>
        <v>1</v>
      </c>
      <c r="H72" s="20">
        <f>VLOOKUP($A72,'0.0005'!$A$1:$AE$133,13, FALSE)</f>
        <v>0</v>
      </c>
      <c r="I72" s="20">
        <f>VLOOKUP($A72,'0.0005'!$A$1:$AE$133,17, FALSE)</f>
        <v>7.6</v>
      </c>
      <c r="J72" s="21">
        <f t="shared" si="15"/>
        <v>1</v>
      </c>
      <c r="K72" s="20">
        <f t="shared" si="16"/>
        <v>1</v>
      </c>
      <c r="L72" s="4">
        <f>VLOOKUP($A72,'0.0001'!$A$1:$AE$133,13, FALSE)</f>
        <v>1</v>
      </c>
      <c r="M72">
        <f>VLOOKUP($A72,'0.0001'!$A$1:$AE$133,15, FALSE)</f>
        <v>0</v>
      </c>
      <c r="N72">
        <f>VLOOKUP($A72,'0.0001'!$A$1:$AE$133,19, FALSE)</f>
        <v>8.5</v>
      </c>
      <c r="O72" s="5">
        <f t="shared" si="11"/>
        <v>1</v>
      </c>
      <c r="P72">
        <f t="shared" si="12"/>
        <v>1</v>
      </c>
      <c r="Q72" s="4">
        <f>VLOOKUP($A72,'0.00001'!$A$1:$AE$133,13, FALSE)</f>
        <v>1</v>
      </c>
      <c r="R72">
        <f>VLOOKUP($A72,'0.00001'!$A$1:$AE$133,15, FALSE)</f>
        <v>0</v>
      </c>
      <c r="S72">
        <f>VLOOKUP($A72,'0.00001'!$A$1:$AE$133,19, FALSE)</f>
        <v>6.8</v>
      </c>
      <c r="T72" s="5">
        <f t="shared" si="13"/>
        <v>1</v>
      </c>
      <c r="U72">
        <f t="shared" si="14"/>
        <v>1</v>
      </c>
    </row>
    <row r="73" spans="1:21" x14ac:dyDescent="0.25">
      <c r="A73" s="9" t="s">
        <v>133</v>
      </c>
      <c r="B73" s="19">
        <f>VLOOKUP($A73,'0.001'!$A$1:$AE$133,13, FALSE)</f>
        <v>1</v>
      </c>
      <c r="C73" s="20">
        <f>VLOOKUP($A73,'0.001'!$A$1:$AE$133,15, FALSE)</f>
        <v>0</v>
      </c>
      <c r="D73" s="20">
        <f>VLOOKUP($A73,'0.001'!$A$1:$AE$133,19, FALSE)</f>
        <v>24.4</v>
      </c>
      <c r="E73" s="21">
        <f t="shared" si="9"/>
        <v>1</v>
      </c>
      <c r="F73" s="20">
        <f t="shared" si="10"/>
        <v>1</v>
      </c>
      <c r="G73" s="19">
        <f>VLOOKUP($A73,'0.0005'!$A$1:$AE$133,11, FALSE)</f>
        <v>1</v>
      </c>
      <c r="H73" s="20">
        <f>VLOOKUP($A73,'0.0005'!$A$1:$AE$133,13, FALSE)</f>
        <v>0</v>
      </c>
      <c r="I73" s="20">
        <f>VLOOKUP($A73,'0.0005'!$A$1:$AE$133,17, FALSE)</f>
        <v>24.2</v>
      </c>
      <c r="J73" s="21">
        <f t="shared" si="15"/>
        <v>1</v>
      </c>
      <c r="K73" s="20">
        <f t="shared" si="16"/>
        <v>1</v>
      </c>
      <c r="L73" s="4">
        <f>VLOOKUP($A73,'0.0001'!$A$1:$AE$133,13, FALSE)</f>
        <v>1</v>
      </c>
      <c r="M73">
        <f>VLOOKUP($A73,'0.0001'!$A$1:$AE$133,15, FALSE)</f>
        <v>0</v>
      </c>
      <c r="N73">
        <f>VLOOKUP($A73,'0.0001'!$A$1:$AE$133,19, FALSE)</f>
        <v>24.2</v>
      </c>
      <c r="O73" s="5">
        <f t="shared" si="11"/>
        <v>1</v>
      </c>
      <c r="P73">
        <f t="shared" si="12"/>
        <v>1</v>
      </c>
      <c r="Q73" s="4">
        <f>VLOOKUP($A73,'0.00001'!$A$1:$AE$133,13, FALSE)</f>
        <v>1</v>
      </c>
      <c r="R73">
        <f>VLOOKUP($A73,'0.00001'!$A$1:$AE$133,15, FALSE)</f>
        <v>0</v>
      </c>
      <c r="S73">
        <f>VLOOKUP($A73,'0.00001'!$A$1:$AE$133,19, FALSE)</f>
        <v>26.9</v>
      </c>
      <c r="T73" s="5">
        <f t="shared" si="13"/>
        <v>1</v>
      </c>
      <c r="U73">
        <f t="shared" si="14"/>
        <v>1</v>
      </c>
    </row>
    <row r="74" spans="1:21" x14ac:dyDescent="0.25">
      <c r="A74" s="9" t="s">
        <v>66</v>
      </c>
      <c r="B74" s="19">
        <f>VLOOKUP($A74,'0.001'!$A$1:$AE$133,13, FALSE)</f>
        <v>1</v>
      </c>
      <c r="C74" s="20">
        <f>VLOOKUP($A74,'0.001'!$A$1:$AE$133,15, FALSE)</f>
        <v>0</v>
      </c>
      <c r="D74" s="20">
        <f>VLOOKUP($A74,'0.001'!$A$1:$AE$133,19, FALSE)</f>
        <v>8.4</v>
      </c>
      <c r="E74" s="21">
        <f t="shared" si="9"/>
        <v>1</v>
      </c>
      <c r="F74" s="20">
        <f t="shared" si="10"/>
        <v>1</v>
      </c>
      <c r="G74" s="19">
        <f>VLOOKUP($A74,'0.0005'!$A$1:$AE$133,11, FALSE)</f>
        <v>1</v>
      </c>
      <c r="H74" s="20">
        <f>VLOOKUP($A74,'0.0005'!$A$1:$AE$133,13, FALSE)</f>
        <v>0</v>
      </c>
      <c r="I74" s="20">
        <f>VLOOKUP($A74,'0.0005'!$A$1:$AE$133,17, FALSE)</f>
        <v>7.7</v>
      </c>
      <c r="J74" s="21">
        <f t="shared" si="15"/>
        <v>1</v>
      </c>
      <c r="K74" s="20">
        <f t="shared" si="16"/>
        <v>1</v>
      </c>
      <c r="L74" s="4">
        <f>VLOOKUP($A74,'0.0001'!$A$1:$AE$133,13, FALSE)</f>
        <v>1</v>
      </c>
      <c r="M74">
        <f>VLOOKUP($A74,'0.0001'!$A$1:$AE$133,15, FALSE)</f>
        <v>0</v>
      </c>
      <c r="N74">
        <f>VLOOKUP($A74,'0.0001'!$A$1:$AE$133,19, FALSE)</f>
        <v>9.1999999999999993</v>
      </c>
      <c r="O74" s="5">
        <f t="shared" si="11"/>
        <v>1</v>
      </c>
      <c r="P74">
        <f t="shared" si="12"/>
        <v>1</v>
      </c>
      <c r="Q74" s="4">
        <f>VLOOKUP($A74,'0.00001'!$A$1:$AE$133,13, FALSE)</f>
        <v>1</v>
      </c>
      <c r="R74">
        <f>VLOOKUP($A74,'0.00001'!$A$1:$AE$133,15, FALSE)</f>
        <v>0</v>
      </c>
      <c r="S74">
        <f>VLOOKUP($A74,'0.00001'!$A$1:$AE$133,19, FALSE)</f>
        <v>7.6</v>
      </c>
      <c r="T74" s="5">
        <f t="shared" si="13"/>
        <v>1</v>
      </c>
      <c r="U74">
        <f t="shared" si="14"/>
        <v>1</v>
      </c>
    </row>
    <row r="75" spans="1:21" x14ac:dyDescent="0.25">
      <c r="A75" s="9" t="s">
        <v>120</v>
      </c>
      <c r="B75" s="19">
        <f>VLOOKUP($A75,'0.001'!$A$1:$AE$133,13, FALSE)</f>
        <v>0.99991830000000004</v>
      </c>
      <c r="C75" s="20">
        <f>VLOOKUP($A75,'0.001'!$A$1:$AE$133,15, FALSE)</f>
        <v>2.8616000000000002E-3</v>
      </c>
      <c r="D75" s="20">
        <f>VLOOKUP($A75,'0.001'!$A$1:$AE$133,19, FALSE)</f>
        <v>1201.9000000000001</v>
      </c>
      <c r="E75" s="21">
        <f t="shared" si="9"/>
        <v>0</v>
      </c>
      <c r="F75" s="20">
        <f t="shared" si="10"/>
        <v>1</v>
      </c>
      <c r="G75" s="19">
        <f>VLOOKUP($A75,'0.0005'!$A$1:$AE$133,11, FALSE)</f>
        <v>0.99860559999999998</v>
      </c>
      <c r="H75" s="20">
        <f>VLOOKUP($A75,'0.0005'!$A$1:$AE$133,13, FALSE)</f>
        <v>1.1824599999999999E-2</v>
      </c>
      <c r="I75" s="20">
        <f>VLOOKUP($A75,'0.0005'!$A$1:$AE$133,17, FALSE)</f>
        <v>1200.2</v>
      </c>
      <c r="J75" s="21">
        <f t="shared" si="15"/>
        <v>0</v>
      </c>
      <c r="K75" s="20">
        <f t="shared" si="16"/>
        <v>0</v>
      </c>
      <c r="L75" s="4">
        <f>VLOOKUP($A75,'0.0001'!$A$1:$AE$133,13, FALSE)</f>
        <v>0.98112900000000003</v>
      </c>
      <c r="M75">
        <f>VLOOKUP($A75,'0.0001'!$A$1:$AE$133,15, FALSE)</f>
        <v>4.3499999999999997E-2</v>
      </c>
      <c r="N75">
        <f>VLOOKUP($A75,'0.0001'!$A$1:$AE$133,19, FALSE)</f>
        <v>1202</v>
      </c>
      <c r="O75" s="5">
        <f t="shared" si="11"/>
        <v>0</v>
      </c>
      <c r="P75">
        <f t="shared" si="12"/>
        <v>0</v>
      </c>
      <c r="Q75" s="4">
        <f>VLOOKUP($A75,'0.00001'!$A$1:$AE$133,13, FALSE)</f>
        <v>0.98336199999999996</v>
      </c>
      <c r="R75">
        <f>VLOOKUP($A75,'0.00001'!$A$1:$AE$133,15, FALSE)</f>
        <v>4.0845399999999997E-2</v>
      </c>
      <c r="S75">
        <f>VLOOKUP($A75,'0.00001'!$A$1:$AE$133,19, FALSE)</f>
        <v>1200.3</v>
      </c>
      <c r="T75" s="5">
        <f t="shared" si="13"/>
        <v>0</v>
      </c>
      <c r="U75">
        <f t="shared" si="14"/>
        <v>0</v>
      </c>
    </row>
    <row r="76" spans="1:21" x14ac:dyDescent="0.25">
      <c r="A76" s="9" t="s">
        <v>121</v>
      </c>
      <c r="B76" s="19">
        <f>VLOOKUP($A76,'0.001'!$A$1:$AE$133,13, FALSE)</f>
        <v>0.98782749999999997</v>
      </c>
      <c r="C76" s="20">
        <f>VLOOKUP($A76,'0.001'!$A$1:$AE$133,15, FALSE)</f>
        <v>0.55589869999999997</v>
      </c>
      <c r="D76" s="20">
        <f>VLOOKUP($A76,'0.001'!$A$1:$AE$133,19, FALSE)</f>
        <v>1201.5</v>
      </c>
      <c r="E76" s="21">
        <f t="shared" si="9"/>
        <v>0</v>
      </c>
      <c r="F76" s="20">
        <f t="shared" si="10"/>
        <v>0</v>
      </c>
      <c r="G76" s="19">
        <f>VLOOKUP($A76,'0.0005'!$A$1:$AE$133,11, FALSE)</f>
        <v>0.99378809999999995</v>
      </c>
      <c r="H76" s="20">
        <f>VLOOKUP($A76,'0.0005'!$A$1:$AE$133,13, FALSE)</f>
        <v>0.3971171</v>
      </c>
      <c r="I76" s="20">
        <f>VLOOKUP($A76,'0.0005'!$A$1:$AE$133,17, FALSE)</f>
        <v>1202</v>
      </c>
      <c r="J76" s="21">
        <f t="shared" si="15"/>
        <v>0</v>
      </c>
      <c r="K76" s="20">
        <f t="shared" si="16"/>
        <v>0</v>
      </c>
      <c r="L76" s="4">
        <f>VLOOKUP($A76,'0.0001'!$A$1:$AE$133,13, FALSE)</f>
        <v>0.99688339999999998</v>
      </c>
      <c r="M76">
        <f>VLOOKUP($A76,'0.0001'!$A$1:$AE$133,15, FALSE)</f>
        <v>0.28128639999999999</v>
      </c>
      <c r="N76">
        <f>VLOOKUP($A76,'0.0001'!$A$1:$AE$133,19, FALSE)</f>
        <v>1201</v>
      </c>
      <c r="O76" s="5">
        <f t="shared" si="11"/>
        <v>0</v>
      </c>
      <c r="P76">
        <f t="shared" si="12"/>
        <v>0</v>
      </c>
      <c r="Q76" s="4">
        <f>VLOOKUP($A76,'0.00001'!$A$1:$AE$133,13, FALSE)</f>
        <v>0.99577629999999995</v>
      </c>
      <c r="R76">
        <f>VLOOKUP($A76,'0.00001'!$A$1:$AE$133,15, FALSE)</f>
        <v>0.32745459999999998</v>
      </c>
      <c r="S76">
        <f>VLOOKUP($A76,'0.00001'!$A$1:$AE$133,19, FALSE)</f>
        <v>1201.7</v>
      </c>
      <c r="T76" s="5">
        <f t="shared" si="13"/>
        <v>0</v>
      </c>
      <c r="U76">
        <f t="shared" si="14"/>
        <v>0</v>
      </c>
    </row>
    <row r="77" spans="1:21" x14ac:dyDescent="0.25">
      <c r="A77" s="9" t="s">
        <v>149</v>
      </c>
      <c r="B77" s="19">
        <f>VLOOKUP($A77,'0.001'!$A$1:$AE$133,13, FALSE)</f>
        <v>1</v>
      </c>
      <c r="C77" s="20">
        <f>VLOOKUP($A77,'0.001'!$A$1:$AE$133,15, FALSE)</f>
        <v>0</v>
      </c>
      <c r="D77" s="20">
        <f>VLOOKUP($A77,'0.001'!$A$1:$AE$133,19, FALSE)</f>
        <v>305.7</v>
      </c>
      <c r="E77" s="21">
        <f t="shared" si="9"/>
        <v>1</v>
      </c>
      <c r="F77" s="20">
        <f t="shared" si="10"/>
        <v>1</v>
      </c>
      <c r="G77" s="19">
        <f>VLOOKUP($A77,'0.0005'!$A$1:$AE$133,11, FALSE)</f>
        <v>1</v>
      </c>
      <c r="H77" s="20">
        <f>VLOOKUP($A77,'0.0005'!$A$1:$AE$133,13, FALSE)</f>
        <v>0</v>
      </c>
      <c r="I77" s="20">
        <f>VLOOKUP($A77,'0.0005'!$A$1:$AE$133,17, FALSE)</f>
        <v>287.2</v>
      </c>
      <c r="J77" s="21">
        <f t="shared" si="15"/>
        <v>1</v>
      </c>
      <c r="K77" s="20">
        <f t="shared" si="16"/>
        <v>1</v>
      </c>
      <c r="L77" s="4">
        <f>VLOOKUP($A77,'0.0001'!$A$1:$AE$133,13, FALSE)</f>
        <v>1</v>
      </c>
      <c r="M77">
        <f>VLOOKUP($A77,'0.0001'!$A$1:$AE$133,15, FALSE)</f>
        <v>0</v>
      </c>
      <c r="N77">
        <f>VLOOKUP($A77,'0.0001'!$A$1:$AE$133,19, FALSE)</f>
        <v>343.4</v>
      </c>
      <c r="O77" s="5">
        <f t="shared" si="11"/>
        <v>1</v>
      </c>
      <c r="P77">
        <f t="shared" si="12"/>
        <v>1</v>
      </c>
      <c r="Q77" s="4">
        <f>VLOOKUP($A77,'0.00001'!$A$1:$AE$133,13, FALSE)</f>
        <v>1</v>
      </c>
      <c r="R77">
        <f>VLOOKUP($A77,'0.00001'!$A$1:$AE$133,15, FALSE)</f>
        <v>0</v>
      </c>
      <c r="S77">
        <f>VLOOKUP($A77,'0.00001'!$A$1:$AE$133,19, FALSE)</f>
        <v>288.89999999999998</v>
      </c>
      <c r="T77" s="5">
        <f t="shared" si="13"/>
        <v>1</v>
      </c>
      <c r="U77">
        <f t="shared" si="14"/>
        <v>1</v>
      </c>
    </row>
    <row r="78" spans="1:21" x14ac:dyDescent="0.25">
      <c r="A78" s="9" t="s">
        <v>75</v>
      </c>
      <c r="B78" s="19">
        <f>VLOOKUP($A78,'0.001'!$A$1:$AE$133,13, FALSE)</f>
        <v>1</v>
      </c>
      <c r="C78" s="20">
        <f>VLOOKUP($A78,'0.001'!$A$1:$AE$133,15, FALSE)</f>
        <v>0</v>
      </c>
      <c r="D78" s="20">
        <f>VLOOKUP($A78,'0.001'!$A$1:$AE$133,19, FALSE)</f>
        <v>9.9</v>
      </c>
      <c r="E78" s="21">
        <f t="shared" si="9"/>
        <v>1</v>
      </c>
      <c r="F78" s="20">
        <f t="shared" si="10"/>
        <v>1</v>
      </c>
      <c r="G78" s="19">
        <f>VLOOKUP($A78,'0.0005'!$A$1:$AE$133,11, FALSE)</f>
        <v>1</v>
      </c>
      <c r="H78" s="20">
        <f>VLOOKUP($A78,'0.0005'!$A$1:$AE$133,13, FALSE)</f>
        <v>0</v>
      </c>
      <c r="I78" s="20">
        <f>VLOOKUP($A78,'0.0005'!$A$1:$AE$133,17, FALSE)</f>
        <v>9.1</v>
      </c>
      <c r="J78" s="21">
        <f t="shared" si="15"/>
        <v>1</v>
      </c>
      <c r="K78" s="20">
        <f t="shared" si="16"/>
        <v>1</v>
      </c>
      <c r="L78" s="4">
        <f>VLOOKUP($A78,'0.0001'!$A$1:$AE$133,13, FALSE)</f>
        <v>1</v>
      </c>
      <c r="M78">
        <f>VLOOKUP($A78,'0.0001'!$A$1:$AE$133,15, FALSE)</f>
        <v>0</v>
      </c>
      <c r="N78">
        <f>VLOOKUP($A78,'0.0001'!$A$1:$AE$133,19, FALSE)</f>
        <v>11.1</v>
      </c>
      <c r="O78" s="5">
        <f t="shared" si="11"/>
        <v>1</v>
      </c>
      <c r="P78">
        <f t="shared" si="12"/>
        <v>1</v>
      </c>
      <c r="Q78" s="4">
        <f>VLOOKUP($A78,'0.00001'!$A$1:$AE$133,13, FALSE)</f>
        <v>1</v>
      </c>
      <c r="R78">
        <f>VLOOKUP($A78,'0.00001'!$A$1:$AE$133,15, FALSE)</f>
        <v>0</v>
      </c>
      <c r="S78">
        <f>VLOOKUP($A78,'0.00001'!$A$1:$AE$133,19, FALSE)</f>
        <v>9.1</v>
      </c>
      <c r="T78" s="5">
        <f t="shared" si="13"/>
        <v>1</v>
      </c>
      <c r="U78">
        <f t="shared" si="14"/>
        <v>1</v>
      </c>
    </row>
    <row r="79" spans="1:21" x14ac:dyDescent="0.25">
      <c r="A79" s="9" t="s">
        <v>40</v>
      </c>
      <c r="B79" s="19">
        <f>VLOOKUP($A79,'0.001'!$A$1:$AE$133,13, FALSE)</f>
        <v>1</v>
      </c>
      <c r="C79" s="20">
        <f>VLOOKUP($A79,'0.001'!$A$1:$AE$133,15, FALSE)</f>
        <v>0</v>
      </c>
      <c r="D79" s="20">
        <f>VLOOKUP($A79,'0.001'!$A$1:$AE$133,19, FALSE)</f>
        <v>8.1999999999999993</v>
      </c>
      <c r="E79" s="21">
        <f t="shared" si="9"/>
        <v>1</v>
      </c>
      <c r="F79" s="20">
        <f t="shared" si="10"/>
        <v>1</v>
      </c>
      <c r="G79" s="19">
        <f>VLOOKUP($A79,'0.0005'!$A$1:$AE$133,11, FALSE)</f>
        <v>1</v>
      </c>
      <c r="H79" s="20">
        <f>VLOOKUP($A79,'0.0005'!$A$1:$AE$133,13, FALSE)</f>
        <v>0</v>
      </c>
      <c r="I79" s="20">
        <f>VLOOKUP($A79,'0.0005'!$A$1:$AE$133,17, FALSE)</f>
        <v>7.7</v>
      </c>
      <c r="J79" s="21">
        <f t="shared" si="15"/>
        <v>1</v>
      </c>
      <c r="K79" s="20">
        <f t="shared" si="16"/>
        <v>1</v>
      </c>
      <c r="L79" s="4">
        <f>VLOOKUP($A79,'0.0001'!$A$1:$AE$133,13, FALSE)</f>
        <v>1</v>
      </c>
      <c r="M79">
        <f>VLOOKUP($A79,'0.0001'!$A$1:$AE$133,15, FALSE)</f>
        <v>0</v>
      </c>
      <c r="N79">
        <f>VLOOKUP($A79,'0.0001'!$A$1:$AE$133,19, FALSE)</f>
        <v>7.4</v>
      </c>
      <c r="O79" s="5">
        <f t="shared" si="11"/>
        <v>1</v>
      </c>
      <c r="P79">
        <f t="shared" si="12"/>
        <v>1</v>
      </c>
      <c r="Q79" s="4">
        <f>VLOOKUP($A79,'0.00001'!$A$1:$AE$133,13, FALSE)</f>
        <v>1</v>
      </c>
      <c r="R79">
        <f>VLOOKUP($A79,'0.00001'!$A$1:$AE$133,15, FALSE)</f>
        <v>0</v>
      </c>
      <c r="S79">
        <f>VLOOKUP($A79,'0.00001'!$A$1:$AE$133,19, FALSE)</f>
        <v>7.2</v>
      </c>
      <c r="T79" s="5">
        <f t="shared" si="13"/>
        <v>1</v>
      </c>
      <c r="U79">
        <f t="shared" si="14"/>
        <v>1</v>
      </c>
    </row>
    <row r="80" spans="1:21" x14ac:dyDescent="0.25">
      <c r="A80" s="9" t="s">
        <v>101</v>
      </c>
      <c r="B80" s="19">
        <f>VLOOKUP($A80,'0.001'!$A$1:$AE$133,13, FALSE)</f>
        <v>1</v>
      </c>
      <c r="C80" s="20">
        <f>VLOOKUP($A80,'0.001'!$A$1:$AE$133,15, FALSE)</f>
        <v>0</v>
      </c>
      <c r="D80" s="20">
        <f>VLOOKUP($A80,'0.001'!$A$1:$AE$133,19, FALSE)</f>
        <v>15.7</v>
      </c>
      <c r="E80" s="21">
        <f t="shared" si="9"/>
        <v>1</v>
      </c>
      <c r="F80" s="20">
        <f t="shared" si="10"/>
        <v>1</v>
      </c>
      <c r="G80" s="19">
        <f>VLOOKUP($A80,'0.0005'!$A$1:$AE$133,11, FALSE)</f>
        <v>1</v>
      </c>
      <c r="H80" s="20">
        <f>VLOOKUP($A80,'0.0005'!$A$1:$AE$133,13, FALSE)</f>
        <v>0</v>
      </c>
      <c r="I80" s="20">
        <f>VLOOKUP($A80,'0.0005'!$A$1:$AE$133,17, FALSE)</f>
        <v>14.6</v>
      </c>
      <c r="J80" s="21">
        <f t="shared" si="15"/>
        <v>1</v>
      </c>
      <c r="K80" s="20">
        <f t="shared" si="16"/>
        <v>1</v>
      </c>
      <c r="L80" s="4">
        <f>VLOOKUP($A80,'0.0001'!$A$1:$AE$133,13, FALSE)</f>
        <v>1</v>
      </c>
      <c r="M80">
        <f>VLOOKUP($A80,'0.0001'!$A$1:$AE$133,15, FALSE)</f>
        <v>0</v>
      </c>
      <c r="N80">
        <f>VLOOKUP($A80,'0.0001'!$A$1:$AE$133,19, FALSE)</f>
        <v>16.2</v>
      </c>
      <c r="O80" s="5">
        <f t="shared" si="11"/>
        <v>1</v>
      </c>
      <c r="P80">
        <f t="shared" si="12"/>
        <v>1</v>
      </c>
      <c r="Q80" s="4">
        <f>VLOOKUP($A80,'0.00001'!$A$1:$AE$133,13, FALSE)</f>
        <v>1</v>
      </c>
      <c r="R80">
        <f>VLOOKUP($A80,'0.00001'!$A$1:$AE$133,15, FALSE)</f>
        <v>0</v>
      </c>
      <c r="S80">
        <f>VLOOKUP($A80,'0.00001'!$A$1:$AE$133,19, FALSE)</f>
        <v>20</v>
      </c>
      <c r="T80" s="5">
        <f t="shared" si="13"/>
        <v>1</v>
      </c>
      <c r="U80">
        <f t="shared" si="14"/>
        <v>1</v>
      </c>
    </row>
    <row r="81" spans="1:21" x14ac:dyDescent="0.25">
      <c r="A81" s="9" t="s">
        <v>81</v>
      </c>
      <c r="B81" s="19">
        <f>VLOOKUP($A81,'0.001'!$A$1:$AE$133,13, FALSE)</f>
        <v>1</v>
      </c>
      <c r="C81" s="20">
        <f>VLOOKUP($A81,'0.001'!$A$1:$AE$133,15, FALSE)</f>
        <v>0</v>
      </c>
      <c r="D81" s="20">
        <f>VLOOKUP($A81,'0.001'!$A$1:$AE$133,19, FALSE)</f>
        <v>10.4</v>
      </c>
      <c r="E81" s="21">
        <f t="shared" si="9"/>
        <v>1</v>
      </c>
      <c r="F81" s="20">
        <f t="shared" si="10"/>
        <v>1</v>
      </c>
      <c r="G81" s="19">
        <f>VLOOKUP($A81,'0.0005'!$A$1:$AE$133,11, FALSE)</f>
        <v>1</v>
      </c>
      <c r="H81" s="20">
        <f>VLOOKUP($A81,'0.0005'!$A$1:$AE$133,13, FALSE)</f>
        <v>0</v>
      </c>
      <c r="I81" s="20">
        <f>VLOOKUP($A81,'0.0005'!$A$1:$AE$133,17, FALSE)</f>
        <v>9.1999999999999993</v>
      </c>
      <c r="J81" s="21">
        <f t="shared" si="15"/>
        <v>1</v>
      </c>
      <c r="K81" s="20">
        <f t="shared" si="16"/>
        <v>1</v>
      </c>
      <c r="L81" s="4">
        <f>VLOOKUP($A81,'0.0001'!$A$1:$AE$133,13, FALSE)</f>
        <v>1</v>
      </c>
      <c r="M81">
        <f>VLOOKUP($A81,'0.0001'!$A$1:$AE$133,15, FALSE)</f>
        <v>0</v>
      </c>
      <c r="N81">
        <f>VLOOKUP($A81,'0.0001'!$A$1:$AE$133,19, FALSE)</f>
        <v>10.5</v>
      </c>
      <c r="O81" s="5">
        <f t="shared" si="11"/>
        <v>1</v>
      </c>
      <c r="P81">
        <f t="shared" si="12"/>
        <v>1</v>
      </c>
      <c r="Q81" s="4">
        <f>VLOOKUP($A81,'0.00001'!$A$1:$AE$133,13, FALSE)</f>
        <v>1</v>
      </c>
      <c r="R81">
        <f>VLOOKUP($A81,'0.00001'!$A$1:$AE$133,15, FALSE)</f>
        <v>0</v>
      </c>
      <c r="S81">
        <f>VLOOKUP($A81,'0.00001'!$A$1:$AE$133,19, FALSE)</f>
        <v>8.1999999999999993</v>
      </c>
      <c r="T81" s="5">
        <f t="shared" si="13"/>
        <v>1</v>
      </c>
      <c r="U81">
        <f t="shared" si="14"/>
        <v>1</v>
      </c>
    </row>
    <row r="82" spans="1:21" x14ac:dyDescent="0.25">
      <c r="A82" s="9" t="s">
        <v>116</v>
      </c>
      <c r="B82" s="19">
        <f>VLOOKUP($A82,'0.001'!$A$1:$AE$133,13, FALSE)</f>
        <v>1</v>
      </c>
      <c r="C82" s="20">
        <f>VLOOKUP($A82,'0.001'!$A$1:$AE$133,15, FALSE)</f>
        <v>0</v>
      </c>
      <c r="D82" s="20">
        <f>VLOOKUP($A82,'0.001'!$A$1:$AE$133,19, FALSE)</f>
        <v>34.700000000000003</v>
      </c>
      <c r="E82" s="21">
        <f t="shared" si="9"/>
        <v>1</v>
      </c>
      <c r="F82" s="20">
        <f t="shared" si="10"/>
        <v>1</v>
      </c>
      <c r="G82" s="19">
        <f>VLOOKUP($A82,'0.0005'!$A$1:$AE$133,11, FALSE)</f>
        <v>1</v>
      </c>
      <c r="H82" s="20">
        <f>VLOOKUP($A82,'0.0005'!$A$1:$AE$133,13, FALSE)</f>
        <v>0</v>
      </c>
      <c r="I82" s="20">
        <f>VLOOKUP($A82,'0.0005'!$A$1:$AE$133,17, FALSE)</f>
        <v>39.299999999999997</v>
      </c>
      <c r="J82" s="21">
        <f t="shared" si="15"/>
        <v>1</v>
      </c>
      <c r="K82" s="20">
        <f t="shared" si="16"/>
        <v>1</v>
      </c>
      <c r="L82" s="4">
        <f>VLOOKUP($A82,'0.0001'!$A$1:$AE$133,13, FALSE)</f>
        <v>1</v>
      </c>
      <c r="M82">
        <f>VLOOKUP($A82,'0.0001'!$A$1:$AE$133,15, FALSE)</f>
        <v>0</v>
      </c>
      <c r="N82">
        <f>VLOOKUP($A82,'0.0001'!$A$1:$AE$133,19, FALSE)</f>
        <v>45</v>
      </c>
      <c r="O82" s="5">
        <f t="shared" si="11"/>
        <v>1</v>
      </c>
      <c r="P82">
        <f t="shared" si="12"/>
        <v>1</v>
      </c>
      <c r="Q82" s="4">
        <f>VLOOKUP($A82,'0.00001'!$A$1:$AE$133,13, FALSE)</f>
        <v>1</v>
      </c>
      <c r="R82">
        <f>VLOOKUP($A82,'0.00001'!$A$1:$AE$133,15, FALSE)</f>
        <v>0</v>
      </c>
      <c r="S82">
        <f>VLOOKUP($A82,'0.00001'!$A$1:$AE$133,19, FALSE)</f>
        <v>39.5</v>
      </c>
      <c r="T82" s="5">
        <f t="shared" si="13"/>
        <v>1</v>
      </c>
      <c r="U82">
        <f t="shared" si="14"/>
        <v>1</v>
      </c>
    </row>
    <row r="83" spans="1:21" x14ac:dyDescent="0.25">
      <c r="A83" s="9" t="s">
        <v>142</v>
      </c>
      <c r="B83" s="19">
        <f>VLOOKUP($A83,'0.001'!$A$1:$AE$133,13, FALSE)</f>
        <v>0.99926400000000004</v>
      </c>
      <c r="C83" s="20">
        <f>VLOOKUP($A83,'0.001'!$A$1:$AE$133,15, FALSE)</f>
        <v>1.01137E-2</v>
      </c>
      <c r="D83" s="20">
        <f>VLOOKUP($A83,'0.001'!$A$1:$AE$133,19, FALSE)</f>
        <v>1201.5</v>
      </c>
      <c r="E83" s="21">
        <f t="shared" si="9"/>
        <v>0</v>
      </c>
      <c r="F83" s="20">
        <f t="shared" si="10"/>
        <v>1</v>
      </c>
      <c r="G83" s="19">
        <f>VLOOKUP($A83,'0.0005'!$A$1:$AE$133,11, FALSE)</f>
        <v>0.99926400000000004</v>
      </c>
      <c r="H83" s="20">
        <f>VLOOKUP($A83,'0.0005'!$A$1:$AE$133,13, FALSE)</f>
        <v>1.01137E-2</v>
      </c>
      <c r="I83" s="20">
        <f>VLOOKUP($A83,'0.0005'!$A$1:$AE$133,17, FALSE)</f>
        <v>1200.9000000000001</v>
      </c>
      <c r="J83" s="21">
        <f t="shared" si="15"/>
        <v>0</v>
      </c>
      <c r="K83" s="20">
        <f t="shared" si="16"/>
        <v>1</v>
      </c>
      <c r="L83" s="4">
        <f>VLOOKUP($A83,'0.0001'!$A$1:$AE$133,13, FALSE)</f>
        <v>0.99930399999999997</v>
      </c>
      <c r="M83">
        <f>VLOOKUP($A83,'0.0001'!$A$1:$AE$133,15, FALSE)</f>
        <v>9.835E-3</v>
      </c>
      <c r="N83">
        <f>VLOOKUP($A83,'0.0001'!$A$1:$AE$133,19, FALSE)</f>
        <v>1201.2</v>
      </c>
      <c r="O83" s="5">
        <f t="shared" si="11"/>
        <v>0</v>
      </c>
      <c r="P83">
        <f t="shared" si="12"/>
        <v>1</v>
      </c>
      <c r="Q83" s="4">
        <f>VLOOKUP($A83,'0.00001'!$A$1:$AE$133,13, FALSE)</f>
        <v>0.99999979999999999</v>
      </c>
      <c r="R83">
        <f>VLOOKUP($A83,'0.00001'!$A$1:$AE$133,15, FALSE)</f>
        <v>1.4889999999999999E-4</v>
      </c>
      <c r="S83">
        <f>VLOOKUP($A83,'0.00001'!$A$1:$AE$133,19, FALSE)</f>
        <v>1201</v>
      </c>
      <c r="T83" s="5">
        <f t="shared" si="13"/>
        <v>0</v>
      </c>
      <c r="U83">
        <f t="shared" si="14"/>
        <v>1</v>
      </c>
    </row>
    <row r="84" spans="1:21" x14ac:dyDescent="0.25">
      <c r="A84" s="9" t="s">
        <v>115</v>
      </c>
      <c r="B84" s="19">
        <f>VLOOKUP($A84,'0.001'!$A$1:$AE$133,13, FALSE)</f>
        <v>0.91569250000000002</v>
      </c>
      <c r="C84" s="20">
        <f>VLOOKUP($A84,'0.001'!$A$1:$AE$133,15, FALSE)</f>
        <v>8.6894999999999993E-3</v>
      </c>
      <c r="D84" s="20">
        <f>VLOOKUP($A84,'0.001'!$A$1:$AE$133,19, FALSE)</f>
        <v>1200.4000000000001</v>
      </c>
      <c r="E84" s="21">
        <f t="shared" si="9"/>
        <v>0</v>
      </c>
      <c r="F84" s="20">
        <f t="shared" si="10"/>
        <v>0</v>
      </c>
      <c r="G84" s="19">
        <f>VLOOKUP($A84,'0.0005'!$A$1:$AE$133,11, FALSE)</f>
        <v>0.99872340000000004</v>
      </c>
      <c r="H84" s="20">
        <f>VLOOKUP($A84,'0.0005'!$A$1:$AE$133,13, FALSE)</f>
        <v>1.0693E-3</v>
      </c>
      <c r="I84" s="20">
        <f>VLOOKUP($A84,'0.0005'!$A$1:$AE$133,17, FALSE)</f>
        <v>1200.5999999999999</v>
      </c>
      <c r="J84" s="21">
        <f t="shared" si="15"/>
        <v>0</v>
      </c>
      <c r="K84" s="20">
        <f t="shared" si="16"/>
        <v>0</v>
      </c>
      <c r="L84" s="4">
        <f>VLOOKUP($A84,'0.0001'!$A$1:$AE$133,13, FALSE)</f>
        <v>1</v>
      </c>
      <c r="M84">
        <f>VLOOKUP($A84,'0.0001'!$A$1:$AE$133,15, FALSE)</f>
        <v>0</v>
      </c>
      <c r="N84">
        <f>VLOOKUP($A84,'0.0001'!$A$1:$AE$133,19, FALSE)</f>
        <v>425.5</v>
      </c>
      <c r="O84" s="5">
        <f t="shared" si="11"/>
        <v>1</v>
      </c>
      <c r="P84">
        <f t="shared" si="12"/>
        <v>1</v>
      </c>
      <c r="Q84" s="4">
        <f>VLOOKUP($A84,'0.00001'!$A$1:$AE$133,13, FALSE)</f>
        <v>0.92137820000000004</v>
      </c>
      <c r="R84">
        <f>VLOOKUP($A84,'0.00001'!$A$1:$AE$133,15, FALSE)</f>
        <v>8.3914000000000002E-3</v>
      </c>
      <c r="S84">
        <f>VLOOKUP($A84,'0.00001'!$A$1:$AE$133,19, FALSE)</f>
        <v>1202.0999999999999</v>
      </c>
      <c r="T84" s="5">
        <f t="shared" si="13"/>
        <v>0</v>
      </c>
      <c r="U84">
        <f t="shared" si="14"/>
        <v>0</v>
      </c>
    </row>
    <row r="85" spans="1:21" x14ac:dyDescent="0.25">
      <c r="A85" s="9" t="s">
        <v>42</v>
      </c>
      <c r="B85" s="19">
        <f>VLOOKUP($A85,'0.001'!$A$1:$AE$133,13, FALSE)</f>
        <v>1</v>
      </c>
      <c r="C85" s="20">
        <f>VLOOKUP($A85,'0.001'!$A$1:$AE$133,15, FALSE)</f>
        <v>0</v>
      </c>
      <c r="D85" s="20">
        <f>VLOOKUP($A85,'0.001'!$A$1:$AE$133,19, FALSE)</f>
        <v>5.6</v>
      </c>
      <c r="E85" s="21">
        <f t="shared" si="9"/>
        <v>1</v>
      </c>
      <c r="F85" s="20">
        <f t="shared" si="10"/>
        <v>1</v>
      </c>
      <c r="G85" s="19">
        <f>VLOOKUP($A85,'0.0005'!$A$1:$AE$133,11, FALSE)</f>
        <v>1</v>
      </c>
      <c r="H85" s="20">
        <f>VLOOKUP($A85,'0.0005'!$A$1:$AE$133,13, FALSE)</f>
        <v>0</v>
      </c>
      <c r="I85" s="20">
        <f>VLOOKUP($A85,'0.0005'!$A$1:$AE$133,17, FALSE)</f>
        <v>5.3</v>
      </c>
      <c r="J85" s="21">
        <f t="shared" si="15"/>
        <v>1</v>
      </c>
      <c r="K85" s="20">
        <f t="shared" si="16"/>
        <v>1</v>
      </c>
      <c r="L85" s="4">
        <f>VLOOKUP($A85,'0.0001'!$A$1:$AE$133,13, FALSE)</f>
        <v>1</v>
      </c>
      <c r="M85">
        <f>VLOOKUP($A85,'0.0001'!$A$1:$AE$133,15, FALSE)</f>
        <v>0</v>
      </c>
      <c r="N85">
        <f>VLOOKUP($A85,'0.0001'!$A$1:$AE$133,19, FALSE)</f>
        <v>7.1</v>
      </c>
      <c r="O85" s="5">
        <f t="shared" si="11"/>
        <v>1</v>
      </c>
      <c r="P85">
        <f t="shared" si="12"/>
        <v>1</v>
      </c>
      <c r="Q85" s="4">
        <f>VLOOKUP($A85,'0.00001'!$A$1:$AE$133,13, FALSE)</f>
        <v>1</v>
      </c>
      <c r="R85">
        <f>VLOOKUP($A85,'0.00001'!$A$1:$AE$133,15, FALSE)</f>
        <v>0</v>
      </c>
      <c r="S85">
        <f>VLOOKUP($A85,'0.00001'!$A$1:$AE$133,19, FALSE)</f>
        <v>4.9000000000000004</v>
      </c>
      <c r="T85" s="5">
        <f t="shared" si="13"/>
        <v>1</v>
      </c>
      <c r="U85">
        <f t="shared" si="14"/>
        <v>1</v>
      </c>
    </row>
    <row r="86" spans="1:21" x14ac:dyDescent="0.25">
      <c r="A86" s="9" t="s">
        <v>80</v>
      </c>
      <c r="B86" s="19">
        <f>VLOOKUP($A86,'0.001'!$A$1:$AE$133,13, FALSE)</f>
        <v>1</v>
      </c>
      <c r="C86" s="20">
        <f>VLOOKUP($A86,'0.001'!$A$1:$AE$133,15, FALSE)</f>
        <v>0</v>
      </c>
      <c r="D86" s="20">
        <f>VLOOKUP($A86,'0.001'!$A$1:$AE$133,19, FALSE)</f>
        <v>17.100000000000001</v>
      </c>
      <c r="E86" s="21">
        <f t="shared" si="9"/>
        <v>1</v>
      </c>
      <c r="F86" s="20">
        <f t="shared" si="10"/>
        <v>1</v>
      </c>
      <c r="G86" s="19">
        <f>VLOOKUP($A86,'0.0005'!$A$1:$AE$133,11, FALSE)</f>
        <v>1</v>
      </c>
      <c r="H86" s="20">
        <f>VLOOKUP($A86,'0.0005'!$A$1:$AE$133,13, FALSE)</f>
        <v>0</v>
      </c>
      <c r="I86" s="20">
        <f>VLOOKUP($A86,'0.0005'!$A$1:$AE$133,17, FALSE)</f>
        <v>16</v>
      </c>
      <c r="J86" s="21">
        <f t="shared" si="15"/>
        <v>1</v>
      </c>
      <c r="K86" s="20">
        <f t="shared" si="16"/>
        <v>1</v>
      </c>
      <c r="L86" s="4">
        <f>VLOOKUP($A86,'0.0001'!$A$1:$AE$133,13, FALSE)</f>
        <v>1</v>
      </c>
      <c r="M86">
        <f>VLOOKUP($A86,'0.0001'!$A$1:$AE$133,15, FALSE)</f>
        <v>0</v>
      </c>
      <c r="N86">
        <f>VLOOKUP($A86,'0.0001'!$A$1:$AE$133,19, FALSE)</f>
        <v>19.5</v>
      </c>
      <c r="O86" s="5">
        <f t="shared" si="11"/>
        <v>1</v>
      </c>
      <c r="P86">
        <f t="shared" si="12"/>
        <v>1</v>
      </c>
      <c r="Q86" s="4">
        <f>VLOOKUP($A86,'0.00001'!$A$1:$AE$133,13, FALSE)</f>
        <v>1</v>
      </c>
      <c r="R86">
        <f>VLOOKUP($A86,'0.00001'!$A$1:$AE$133,15, FALSE)</f>
        <v>0</v>
      </c>
      <c r="S86">
        <f>VLOOKUP($A86,'0.00001'!$A$1:$AE$133,19, FALSE)</f>
        <v>16.8</v>
      </c>
      <c r="T86" s="5">
        <f t="shared" si="13"/>
        <v>1</v>
      </c>
      <c r="U86">
        <f t="shared" si="14"/>
        <v>1</v>
      </c>
    </row>
    <row r="87" spans="1:21" x14ac:dyDescent="0.25">
      <c r="A87" s="9" t="s">
        <v>103</v>
      </c>
      <c r="B87" s="19">
        <f>VLOOKUP($A87,'0.001'!$A$1:$AE$133,13, FALSE)</f>
        <v>0.99975979999999998</v>
      </c>
      <c r="C87" s="20">
        <f>VLOOKUP($A87,'0.001'!$A$1:$AE$133,15, FALSE)</f>
        <v>0.1126648</v>
      </c>
      <c r="D87" s="20">
        <f>VLOOKUP($A87,'0.001'!$A$1:$AE$133,19, FALSE)</f>
        <v>1200.9000000000001</v>
      </c>
      <c r="E87" s="21">
        <f t="shared" si="9"/>
        <v>0</v>
      </c>
      <c r="F87" s="20">
        <f t="shared" si="10"/>
        <v>1</v>
      </c>
      <c r="G87" s="19">
        <f>VLOOKUP($A87,'0.0005'!$A$1:$AE$133,11, FALSE)</f>
        <v>0.99979739999999995</v>
      </c>
      <c r="H87" s="20">
        <f>VLOOKUP($A87,'0.0005'!$A$1:$AE$133,13, FALSE)</f>
        <v>0.103459</v>
      </c>
      <c r="I87" s="20">
        <f>VLOOKUP($A87,'0.0005'!$A$1:$AE$133,17, FALSE)</f>
        <v>1201.4000000000001</v>
      </c>
      <c r="J87" s="21">
        <f t="shared" si="15"/>
        <v>0</v>
      </c>
      <c r="K87" s="20">
        <f t="shared" si="16"/>
        <v>1</v>
      </c>
      <c r="L87" s="4">
        <f>VLOOKUP($A87,'0.0001'!$A$1:$AE$133,13, FALSE)</f>
        <v>0.99997689999999995</v>
      </c>
      <c r="M87">
        <f>VLOOKUP($A87,'0.0001'!$A$1:$AE$133,15, FALSE)</f>
        <v>3.4974900000000003E-2</v>
      </c>
      <c r="N87">
        <f>VLOOKUP($A87,'0.0001'!$A$1:$AE$133,19, FALSE)</f>
        <v>1201.7</v>
      </c>
      <c r="O87" s="5">
        <f t="shared" si="11"/>
        <v>0</v>
      </c>
      <c r="P87">
        <f t="shared" si="12"/>
        <v>1</v>
      </c>
      <c r="Q87" s="4">
        <f>VLOOKUP($A87,'0.00001'!$A$1:$AE$133,13, FALSE)</f>
        <v>0.99997749999999996</v>
      </c>
      <c r="R87">
        <f>VLOOKUP($A87,'0.00001'!$A$1:$AE$133,15, FALSE)</f>
        <v>3.4514900000000001E-2</v>
      </c>
      <c r="S87">
        <f>VLOOKUP($A87,'0.00001'!$A$1:$AE$133,19, FALSE)</f>
        <v>1202.5</v>
      </c>
      <c r="T87" s="5">
        <f t="shared" si="13"/>
        <v>0</v>
      </c>
      <c r="U87">
        <f t="shared" si="14"/>
        <v>1</v>
      </c>
    </row>
    <row r="88" spans="1:21" x14ac:dyDescent="0.25">
      <c r="A88" s="9" t="s">
        <v>33</v>
      </c>
      <c r="B88" s="19">
        <f>VLOOKUP($A88,'0.001'!$A$1:$AE$133,13, FALSE)</f>
        <v>1</v>
      </c>
      <c r="C88" s="20">
        <f>VLOOKUP($A88,'0.001'!$A$1:$AE$133,15, FALSE)</f>
        <v>0</v>
      </c>
      <c r="D88" s="20">
        <f>VLOOKUP($A88,'0.001'!$A$1:$AE$133,19, FALSE)</f>
        <v>2.8</v>
      </c>
      <c r="E88" s="21">
        <f t="shared" si="9"/>
        <v>1</v>
      </c>
      <c r="F88" s="20">
        <f t="shared" si="10"/>
        <v>1</v>
      </c>
      <c r="G88" s="19">
        <f>VLOOKUP($A88,'0.0005'!$A$1:$AE$133,11, FALSE)</f>
        <v>1</v>
      </c>
      <c r="H88" s="20">
        <f>VLOOKUP($A88,'0.0005'!$A$1:$AE$133,13, FALSE)</f>
        <v>0</v>
      </c>
      <c r="I88" s="20">
        <f>VLOOKUP($A88,'0.0005'!$A$1:$AE$133,17, FALSE)</f>
        <v>2.7</v>
      </c>
      <c r="J88" s="21">
        <f t="shared" si="15"/>
        <v>1</v>
      </c>
      <c r="K88" s="20">
        <f t="shared" si="16"/>
        <v>1</v>
      </c>
      <c r="L88" s="4">
        <f>VLOOKUP($A88,'0.0001'!$A$1:$AE$133,13, FALSE)</f>
        <v>1</v>
      </c>
      <c r="M88">
        <f>VLOOKUP($A88,'0.0001'!$A$1:$AE$133,15, FALSE)</f>
        <v>0</v>
      </c>
      <c r="N88">
        <f>VLOOKUP($A88,'0.0001'!$A$1:$AE$133,19, FALSE)</f>
        <v>2.8</v>
      </c>
      <c r="O88" s="5">
        <f t="shared" si="11"/>
        <v>1</v>
      </c>
      <c r="P88">
        <f t="shared" si="12"/>
        <v>1</v>
      </c>
      <c r="Q88" s="4">
        <f>VLOOKUP($A88,'0.00001'!$A$1:$AE$133,13, FALSE)</f>
        <v>1</v>
      </c>
      <c r="R88">
        <f>VLOOKUP($A88,'0.00001'!$A$1:$AE$133,15, FALSE)</f>
        <v>0</v>
      </c>
      <c r="S88">
        <f>VLOOKUP($A88,'0.00001'!$A$1:$AE$133,19, FALSE)</f>
        <v>2.7</v>
      </c>
      <c r="T88" s="5">
        <f t="shared" si="13"/>
        <v>1</v>
      </c>
      <c r="U88">
        <f t="shared" si="14"/>
        <v>1</v>
      </c>
    </row>
    <row r="89" spans="1:21" x14ac:dyDescent="0.25">
      <c r="A89" s="9" t="s">
        <v>114</v>
      </c>
      <c r="B89" s="19">
        <f>VLOOKUP($A89,'0.001'!$A$1:$AE$133,13, FALSE)</f>
        <v>1</v>
      </c>
      <c r="C89" s="20">
        <f>VLOOKUP($A89,'0.001'!$A$1:$AE$133,15, FALSE)</f>
        <v>0</v>
      </c>
      <c r="D89" s="20">
        <f>VLOOKUP($A89,'0.001'!$A$1:$AE$133,19, FALSE)</f>
        <v>29.9</v>
      </c>
      <c r="E89" s="21">
        <f t="shared" si="9"/>
        <v>1</v>
      </c>
      <c r="F89" s="20">
        <f t="shared" si="10"/>
        <v>1</v>
      </c>
      <c r="G89" s="19">
        <f>VLOOKUP($A89,'0.0005'!$A$1:$AE$133,11, FALSE)</f>
        <v>1</v>
      </c>
      <c r="H89" s="20">
        <f>VLOOKUP($A89,'0.0005'!$A$1:$AE$133,13, FALSE)</f>
        <v>0</v>
      </c>
      <c r="I89" s="20">
        <f>VLOOKUP($A89,'0.0005'!$A$1:$AE$133,17, FALSE)</f>
        <v>23.7</v>
      </c>
      <c r="J89" s="21">
        <f t="shared" si="15"/>
        <v>1</v>
      </c>
      <c r="K89" s="20">
        <f t="shared" si="16"/>
        <v>1</v>
      </c>
      <c r="L89" s="4">
        <f>VLOOKUP($A89,'0.0001'!$A$1:$AE$133,13, FALSE)</f>
        <v>1</v>
      </c>
      <c r="M89">
        <f>VLOOKUP($A89,'0.0001'!$A$1:$AE$133,15, FALSE)</f>
        <v>0</v>
      </c>
      <c r="N89">
        <f>VLOOKUP($A89,'0.0001'!$A$1:$AE$133,19, FALSE)</f>
        <v>26.5</v>
      </c>
      <c r="O89" s="5">
        <f t="shared" si="11"/>
        <v>1</v>
      </c>
      <c r="P89">
        <f t="shared" si="12"/>
        <v>1</v>
      </c>
      <c r="Q89" s="4">
        <f>VLOOKUP($A89,'0.00001'!$A$1:$AE$133,13, FALSE)</f>
        <v>1</v>
      </c>
      <c r="R89">
        <f>VLOOKUP($A89,'0.00001'!$A$1:$AE$133,15, FALSE)</f>
        <v>0</v>
      </c>
      <c r="S89">
        <f>VLOOKUP($A89,'0.00001'!$A$1:$AE$133,19, FALSE)</f>
        <v>31.2</v>
      </c>
      <c r="T89" s="5">
        <f t="shared" si="13"/>
        <v>1</v>
      </c>
      <c r="U89">
        <f t="shared" si="14"/>
        <v>1</v>
      </c>
    </row>
    <row r="90" spans="1:21" x14ac:dyDescent="0.25">
      <c r="A90" s="9" t="s">
        <v>119</v>
      </c>
      <c r="B90" s="19">
        <f>VLOOKUP($A90,'0.001'!$A$1:$AE$133,13, FALSE)</f>
        <v>0.99088620000000005</v>
      </c>
      <c r="C90" s="20">
        <f>VLOOKUP($A90,'0.001'!$A$1:$AE$133,15, FALSE)</f>
        <v>0.65471760000000001</v>
      </c>
      <c r="D90" s="20">
        <f>VLOOKUP($A90,'0.001'!$A$1:$AE$133,19, FALSE)</f>
        <v>1201.9000000000001</v>
      </c>
      <c r="E90" s="21">
        <f t="shared" si="9"/>
        <v>0</v>
      </c>
      <c r="F90" s="20">
        <f t="shared" si="10"/>
        <v>0</v>
      </c>
      <c r="G90" s="19">
        <f>VLOOKUP($A90,'0.0005'!$A$1:$AE$133,11, FALSE)</f>
        <v>0.99325149999999995</v>
      </c>
      <c r="H90" s="20">
        <f>VLOOKUP($A90,'0.0005'!$A$1:$AE$133,13, FALSE)</f>
        <v>0.56338759999999999</v>
      </c>
      <c r="I90" s="20">
        <f>VLOOKUP($A90,'0.0005'!$A$1:$AE$133,17, FALSE)</f>
        <v>1200.2</v>
      </c>
      <c r="J90" s="21">
        <f t="shared" si="15"/>
        <v>0</v>
      </c>
      <c r="K90" s="20">
        <f t="shared" si="16"/>
        <v>0</v>
      </c>
      <c r="L90" s="4">
        <f>VLOOKUP($A90,'0.0001'!$A$1:$AE$133,13, FALSE)</f>
        <v>-164250.7477073</v>
      </c>
      <c r="M90">
        <f>VLOOKUP($A90,'0.0001'!$A$1:$AE$133,15, FALSE)</f>
        <v>2779.4515396000002</v>
      </c>
      <c r="N90">
        <f>VLOOKUP($A90,'0.0001'!$A$1:$AE$133,19, FALSE)</f>
        <v>1203.5</v>
      </c>
      <c r="O90" s="5">
        <f t="shared" si="11"/>
        <v>0</v>
      </c>
      <c r="P90">
        <f t="shared" si="12"/>
        <v>0</v>
      </c>
      <c r="Q90" s="4">
        <f>VLOOKUP($A90,'0.00001'!$A$1:$AE$133,13, FALSE)</f>
        <v>-105.9249575</v>
      </c>
      <c r="R90">
        <f>VLOOKUP($A90,'0.00001'!$A$1:$AE$133,15, FALSE)</f>
        <v>70.915904999999995</v>
      </c>
      <c r="S90">
        <f>VLOOKUP($A90,'0.00001'!$A$1:$AE$133,19, FALSE)</f>
        <v>1202.8</v>
      </c>
      <c r="T90" s="5">
        <f t="shared" si="13"/>
        <v>0</v>
      </c>
      <c r="U90">
        <f t="shared" si="14"/>
        <v>0</v>
      </c>
    </row>
    <row r="91" spans="1:21" x14ac:dyDescent="0.25">
      <c r="A91" s="9" t="s">
        <v>67</v>
      </c>
      <c r="B91" s="19">
        <f>VLOOKUP($A91,'0.001'!$A$1:$AE$133,13, FALSE)</f>
        <v>1</v>
      </c>
      <c r="C91" s="20">
        <f>VLOOKUP($A91,'0.001'!$A$1:$AE$133,15, FALSE)</f>
        <v>0</v>
      </c>
      <c r="D91" s="20">
        <f>VLOOKUP($A91,'0.001'!$A$1:$AE$133,19, FALSE)</f>
        <v>512</v>
      </c>
      <c r="E91" s="21">
        <f t="shared" si="9"/>
        <v>1</v>
      </c>
      <c r="F91" s="20">
        <f t="shared" si="10"/>
        <v>1</v>
      </c>
      <c r="G91" s="19">
        <f>VLOOKUP($A91,'0.0005'!$A$1:$AE$133,11, FALSE)</f>
        <v>0.81969130000000001</v>
      </c>
      <c r="H91" s="20">
        <f>VLOOKUP($A91,'0.0005'!$A$1:$AE$133,13, FALSE)</f>
        <v>2.1717979999999999</v>
      </c>
      <c r="I91" s="20">
        <f>VLOOKUP($A91,'0.0005'!$A$1:$AE$133,17, FALSE)</f>
        <v>1202</v>
      </c>
      <c r="J91" s="21">
        <f t="shared" si="15"/>
        <v>0</v>
      </c>
      <c r="K91" s="20">
        <f t="shared" si="16"/>
        <v>0</v>
      </c>
      <c r="L91" s="4">
        <f>VLOOKUP($A91,'0.0001'!$A$1:$AE$133,13, FALSE)</f>
        <v>0.86183699999999996</v>
      </c>
      <c r="M91">
        <f>VLOOKUP($A91,'0.0001'!$A$1:$AE$133,15, FALSE)</f>
        <v>1.9011087</v>
      </c>
      <c r="N91">
        <f>VLOOKUP($A91,'0.0001'!$A$1:$AE$133,19, FALSE)</f>
        <v>1200.5999999999999</v>
      </c>
      <c r="O91" s="5">
        <f t="shared" si="11"/>
        <v>0</v>
      </c>
      <c r="P91">
        <f t="shared" si="12"/>
        <v>0</v>
      </c>
      <c r="Q91" s="4">
        <f>VLOOKUP($A91,'0.00001'!$A$1:$AE$133,13, FALSE)</f>
        <v>0.8582999</v>
      </c>
      <c r="R91">
        <f>VLOOKUP($A91,'0.00001'!$A$1:$AE$133,15, FALSE)</f>
        <v>1.9252901</v>
      </c>
      <c r="S91">
        <f>VLOOKUP($A91,'0.00001'!$A$1:$AE$133,19, FALSE)</f>
        <v>1201.0999999999999</v>
      </c>
      <c r="T91" s="5">
        <f t="shared" si="13"/>
        <v>0</v>
      </c>
      <c r="U91">
        <f t="shared" si="14"/>
        <v>0</v>
      </c>
    </row>
    <row r="92" spans="1:21" x14ac:dyDescent="0.25">
      <c r="A92" s="9" t="s">
        <v>84</v>
      </c>
      <c r="B92" s="19">
        <f>VLOOKUP($A92,'0.001'!$A$1:$AE$133,13, FALSE)</f>
        <v>1</v>
      </c>
      <c r="C92" s="20">
        <f>VLOOKUP($A92,'0.001'!$A$1:$AE$133,15, FALSE)</f>
        <v>0</v>
      </c>
      <c r="D92" s="20">
        <f>VLOOKUP($A92,'0.001'!$A$1:$AE$133,19, FALSE)</f>
        <v>20.9</v>
      </c>
      <c r="E92" s="21">
        <f t="shared" si="9"/>
        <v>1</v>
      </c>
      <c r="F92" s="20">
        <f t="shared" si="10"/>
        <v>1</v>
      </c>
      <c r="G92" s="19">
        <f>VLOOKUP($A92,'0.0005'!$A$1:$AE$133,11, FALSE)</f>
        <v>1</v>
      </c>
      <c r="H92" s="20">
        <f>VLOOKUP($A92,'0.0005'!$A$1:$AE$133,13, FALSE)</f>
        <v>0</v>
      </c>
      <c r="I92" s="20">
        <f>VLOOKUP($A92,'0.0005'!$A$1:$AE$133,17, FALSE)</f>
        <v>20.3</v>
      </c>
      <c r="J92" s="21">
        <f t="shared" si="15"/>
        <v>1</v>
      </c>
      <c r="K92" s="20">
        <f t="shared" si="16"/>
        <v>1</v>
      </c>
      <c r="L92" s="4">
        <f>VLOOKUP($A92,'0.0001'!$A$1:$AE$133,13, FALSE)</f>
        <v>1</v>
      </c>
      <c r="M92">
        <f>VLOOKUP($A92,'0.0001'!$A$1:$AE$133,15, FALSE)</f>
        <v>0</v>
      </c>
      <c r="N92">
        <f>VLOOKUP($A92,'0.0001'!$A$1:$AE$133,19, FALSE)</f>
        <v>22.9</v>
      </c>
      <c r="O92" s="5">
        <f t="shared" si="11"/>
        <v>1</v>
      </c>
      <c r="P92">
        <f t="shared" si="12"/>
        <v>1</v>
      </c>
      <c r="Q92" s="4">
        <f>VLOOKUP($A92,'0.00001'!$A$1:$AE$133,13, FALSE)</f>
        <v>1</v>
      </c>
      <c r="R92">
        <f>VLOOKUP($A92,'0.00001'!$A$1:$AE$133,15, FALSE)</f>
        <v>0</v>
      </c>
      <c r="S92">
        <f>VLOOKUP($A92,'0.00001'!$A$1:$AE$133,19, FALSE)</f>
        <v>27.5</v>
      </c>
      <c r="T92" s="5">
        <f t="shared" si="13"/>
        <v>1</v>
      </c>
      <c r="U92">
        <f t="shared" si="14"/>
        <v>1</v>
      </c>
    </row>
    <row r="93" spans="1:21" x14ac:dyDescent="0.25">
      <c r="A93" s="9" t="s">
        <v>59</v>
      </c>
      <c r="B93" s="19">
        <f>VLOOKUP($A93,'0.001'!$A$1:$AE$133,13, FALSE)</f>
        <v>1</v>
      </c>
      <c r="C93" s="20">
        <f>VLOOKUP($A93,'0.001'!$A$1:$AE$133,15, FALSE)</f>
        <v>0</v>
      </c>
      <c r="D93" s="20">
        <f>VLOOKUP($A93,'0.001'!$A$1:$AE$133,19, FALSE)</f>
        <v>10.1</v>
      </c>
      <c r="E93" s="21">
        <f t="shared" si="9"/>
        <v>1</v>
      </c>
      <c r="F93" s="20">
        <f t="shared" si="10"/>
        <v>1</v>
      </c>
      <c r="G93" s="19">
        <f>VLOOKUP($A93,'0.0005'!$A$1:$AE$133,11, FALSE)</f>
        <v>1</v>
      </c>
      <c r="H93" s="20">
        <f>VLOOKUP($A93,'0.0005'!$A$1:$AE$133,13, FALSE)</f>
        <v>0</v>
      </c>
      <c r="I93" s="20">
        <f>VLOOKUP($A93,'0.0005'!$A$1:$AE$133,17, FALSE)</f>
        <v>10.9</v>
      </c>
      <c r="J93" s="21">
        <f t="shared" si="15"/>
        <v>1</v>
      </c>
      <c r="K93" s="20">
        <f t="shared" si="16"/>
        <v>1</v>
      </c>
      <c r="L93" s="4">
        <f>VLOOKUP($A93,'0.0001'!$A$1:$AE$133,13, FALSE)</f>
        <v>1</v>
      </c>
      <c r="M93">
        <f>VLOOKUP($A93,'0.0001'!$A$1:$AE$133,15, FALSE)</f>
        <v>0</v>
      </c>
      <c r="N93">
        <f>VLOOKUP($A93,'0.0001'!$A$1:$AE$133,19, FALSE)</f>
        <v>8.9</v>
      </c>
      <c r="O93" s="5">
        <f t="shared" si="11"/>
        <v>1</v>
      </c>
      <c r="P93">
        <f t="shared" si="12"/>
        <v>1</v>
      </c>
      <c r="Q93" s="4">
        <f>VLOOKUP($A93,'0.00001'!$A$1:$AE$133,13, FALSE)</f>
        <v>1</v>
      </c>
      <c r="R93">
        <f>VLOOKUP($A93,'0.00001'!$A$1:$AE$133,15, FALSE)</f>
        <v>0</v>
      </c>
      <c r="S93">
        <f>VLOOKUP($A93,'0.00001'!$A$1:$AE$133,19, FALSE)</f>
        <v>10</v>
      </c>
      <c r="T93" s="5">
        <f t="shared" si="13"/>
        <v>1</v>
      </c>
      <c r="U93">
        <f t="shared" si="14"/>
        <v>1</v>
      </c>
    </row>
    <row r="94" spans="1:21" x14ac:dyDescent="0.25">
      <c r="A94" s="9" t="s">
        <v>77</v>
      </c>
      <c r="B94" s="19">
        <f>VLOOKUP($A94,'0.001'!$A$1:$AE$133,13, FALSE)</f>
        <v>1</v>
      </c>
      <c r="C94" s="20">
        <f>VLOOKUP($A94,'0.001'!$A$1:$AE$133,15, FALSE)</f>
        <v>0</v>
      </c>
      <c r="D94" s="20">
        <f>VLOOKUP($A94,'0.001'!$A$1:$AE$133,19, FALSE)</f>
        <v>19</v>
      </c>
      <c r="E94" s="21">
        <f t="shared" si="9"/>
        <v>1</v>
      </c>
      <c r="F94" s="20">
        <f t="shared" si="10"/>
        <v>1</v>
      </c>
      <c r="G94" s="19">
        <f>VLOOKUP($A94,'0.0005'!$A$1:$AE$133,11, FALSE)</f>
        <v>1</v>
      </c>
      <c r="H94" s="20">
        <f>VLOOKUP($A94,'0.0005'!$A$1:$AE$133,13, FALSE)</f>
        <v>0</v>
      </c>
      <c r="I94" s="20">
        <f>VLOOKUP($A94,'0.0005'!$A$1:$AE$133,17, FALSE)</f>
        <v>17.7</v>
      </c>
      <c r="J94" s="21">
        <f t="shared" si="15"/>
        <v>1</v>
      </c>
      <c r="K94" s="20">
        <f t="shared" si="16"/>
        <v>1</v>
      </c>
      <c r="L94" s="4">
        <f>VLOOKUP($A94,'0.0001'!$A$1:$AE$133,13, FALSE)</f>
        <v>1</v>
      </c>
      <c r="M94">
        <f>VLOOKUP($A94,'0.0001'!$A$1:$AE$133,15, FALSE)</f>
        <v>0</v>
      </c>
      <c r="N94">
        <f>VLOOKUP($A94,'0.0001'!$A$1:$AE$133,19, FALSE)</f>
        <v>19.5</v>
      </c>
      <c r="O94" s="5">
        <f t="shared" si="11"/>
        <v>1</v>
      </c>
      <c r="P94">
        <f t="shared" si="12"/>
        <v>1</v>
      </c>
      <c r="Q94" s="4">
        <f>VLOOKUP($A94,'0.00001'!$A$1:$AE$133,13, FALSE)</f>
        <v>1</v>
      </c>
      <c r="R94">
        <f>VLOOKUP($A94,'0.00001'!$A$1:$AE$133,15, FALSE)</f>
        <v>0</v>
      </c>
      <c r="S94">
        <f>VLOOKUP($A94,'0.00001'!$A$1:$AE$133,19, FALSE)</f>
        <v>23.4</v>
      </c>
      <c r="T94" s="5">
        <f t="shared" si="13"/>
        <v>1</v>
      </c>
      <c r="U94">
        <f t="shared" si="14"/>
        <v>1</v>
      </c>
    </row>
    <row r="95" spans="1:21" x14ac:dyDescent="0.25">
      <c r="A95" s="9" t="s">
        <v>135</v>
      </c>
      <c r="B95" s="19">
        <f>VLOOKUP($A95,'0.001'!$A$1:$AE$133,13, FALSE)</f>
        <v>1</v>
      </c>
      <c r="C95" s="20">
        <f>VLOOKUP($A95,'0.001'!$A$1:$AE$133,15, FALSE)</f>
        <v>0</v>
      </c>
      <c r="D95" s="20">
        <f>VLOOKUP($A95,'0.001'!$A$1:$AE$133,19, FALSE)</f>
        <v>202</v>
      </c>
      <c r="E95" s="21">
        <f t="shared" si="9"/>
        <v>1</v>
      </c>
      <c r="F95" s="20">
        <f t="shared" si="10"/>
        <v>1</v>
      </c>
      <c r="G95" s="19">
        <f>VLOOKUP($A95,'0.0005'!$A$1:$AE$133,11, FALSE)</f>
        <v>1</v>
      </c>
      <c r="H95" s="20">
        <f>VLOOKUP($A95,'0.0005'!$A$1:$AE$133,13, FALSE)</f>
        <v>0</v>
      </c>
      <c r="I95" s="20">
        <f>VLOOKUP($A95,'0.0005'!$A$1:$AE$133,17, FALSE)</f>
        <v>184.9</v>
      </c>
      <c r="J95" s="21">
        <f t="shared" si="15"/>
        <v>1</v>
      </c>
      <c r="K95" s="20">
        <f t="shared" si="16"/>
        <v>1</v>
      </c>
      <c r="L95" s="4">
        <f>VLOOKUP($A95,'0.0001'!$A$1:$AE$133,13, FALSE)</f>
        <v>1</v>
      </c>
      <c r="M95">
        <f>VLOOKUP($A95,'0.0001'!$A$1:$AE$133,15, FALSE)</f>
        <v>0</v>
      </c>
      <c r="N95">
        <f>VLOOKUP($A95,'0.0001'!$A$1:$AE$133,19, FALSE)</f>
        <v>704.5</v>
      </c>
      <c r="O95" s="5">
        <f t="shared" si="11"/>
        <v>1</v>
      </c>
      <c r="P95">
        <f t="shared" si="12"/>
        <v>1</v>
      </c>
      <c r="Q95" s="4">
        <f>VLOOKUP($A95,'0.00001'!$A$1:$AE$133,13, FALSE)</f>
        <v>0.99976690000000001</v>
      </c>
      <c r="R95">
        <f>VLOOKUP($A95,'0.00001'!$A$1:$AE$133,15, FALSE)</f>
        <v>3.2987200000000001E-2</v>
      </c>
      <c r="S95">
        <f>VLOOKUP($A95,'0.00001'!$A$1:$AE$133,19, FALSE)</f>
        <v>1201.0999999999999</v>
      </c>
      <c r="T95" s="5">
        <f t="shared" si="13"/>
        <v>0</v>
      </c>
      <c r="U95">
        <f t="shared" si="14"/>
        <v>1</v>
      </c>
    </row>
    <row r="96" spans="1:21" x14ac:dyDescent="0.25">
      <c r="A96" s="9" t="s">
        <v>109</v>
      </c>
      <c r="B96" s="19">
        <f>VLOOKUP($A96,'0.001'!$A$1:$AE$133,13, FALSE)</f>
        <v>1</v>
      </c>
      <c r="C96" s="20">
        <f>VLOOKUP($A96,'0.001'!$A$1:$AE$133,15, FALSE)</f>
        <v>0</v>
      </c>
      <c r="D96" s="20">
        <f>VLOOKUP($A96,'0.001'!$A$1:$AE$133,19, FALSE)</f>
        <v>15.4</v>
      </c>
      <c r="E96" s="21">
        <f t="shared" si="9"/>
        <v>1</v>
      </c>
      <c r="F96" s="20">
        <f t="shared" si="10"/>
        <v>1</v>
      </c>
      <c r="G96" s="19">
        <f>VLOOKUP($A96,'0.0005'!$A$1:$AE$133,11, FALSE)</f>
        <v>1</v>
      </c>
      <c r="H96" s="20">
        <f>VLOOKUP($A96,'0.0005'!$A$1:$AE$133,13, FALSE)</f>
        <v>0</v>
      </c>
      <c r="I96" s="20">
        <f>VLOOKUP($A96,'0.0005'!$A$1:$AE$133,17, FALSE)</f>
        <v>14</v>
      </c>
      <c r="J96" s="21">
        <f t="shared" si="15"/>
        <v>1</v>
      </c>
      <c r="K96" s="20">
        <f t="shared" si="16"/>
        <v>1</v>
      </c>
      <c r="L96" s="4">
        <f>VLOOKUP($A96,'0.0001'!$A$1:$AE$133,13, FALSE)</f>
        <v>1</v>
      </c>
      <c r="M96">
        <f>VLOOKUP($A96,'0.0001'!$A$1:$AE$133,15, FALSE)</f>
        <v>0</v>
      </c>
      <c r="N96">
        <f>VLOOKUP($A96,'0.0001'!$A$1:$AE$133,19, FALSE)</f>
        <v>14.5</v>
      </c>
      <c r="O96" s="5">
        <f t="shared" si="11"/>
        <v>1</v>
      </c>
      <c r="P96">
        <f t="shared" si="12"/>
        <v>1</v>
      </c>
      <c r="Q96" s="4">
        <f>VLOOKUP($A96,'0.00001'!$A$1:$AE$133,13, FALSE)</f>
        <v>1</v>
      </c>
      <c r="R96">
        <f>VLOOKUP($A96,'0.00001'!$A$1:$AE$133,15, FALSE)</f>
        <v>0</v>
      </c>
      <c r="S96">
        <f>VLOOKUP($A96,'0.00001'!$A$1:$AE$133,19, FALSE)</f>
        <v>14.9</v>
      </c>
      <c r="T96" s="5">
        <f t="shared" si="13"/>
        <v>1</v>
      </c>
      <c r="U96">
        <f t="shared" si="14"/>
        <v>1</v>
      </c>
    </row>
    <row r="97" spans="1:21" x14ac:dyDescent="0.25">
      <c r="A97" s="9" t="s">
        <v>98</v>
      </c>
      <c r="B97" s="19">
        <f>VLOOKUP($A97,'0.001'!$A$1:$AE$133,13, FALSE)</f>
        <v>0.99999689999999997</v>
      </c>
      <c r="C97" s="20">
        <f>VLOOKUP($A97,'0.001'!$A$1:$AE$133,15, FALSE)</f>
        <v>1.6266699999999999E-2</v>
      </c>
      <c r="D97" s="20">
        <f>VLOOKUP($A97,'0.001'!$A$1:$AE$133,19, FALSE)</f>
        <v>1201.9000000000001</v>
      </c>
      <c r="E97" s="21">
        <f t="shared" si="9"/>
        <v>0</v>
      </c>
      <c r="F97" s="20">
        <f t="shared" si="10"/>
        <v>1</v>
      </c>
      <c r="G97" s="19">
        <f>VLOOKUP($A97,'0.0005'!$A$1:$AE$133,11, FALSE)</f>
        <v>0.99999689999999997</v>
      </c>
      <c r="H97" s="20">
        <f>VLOOKUP($A97,'0.0005'!$A$1:$AE$133,13, FALSE)</f>
        <v>1.6266699999999999E-2</v>
      </c>
      <c r="I97" s="20">
        <f>VLOOKUP($A97,'0.0005'!$A$1:$AE$133,17, FALSE)</f>
        <v>1200.5</v>
      </c>
      <c r="J97" s="21">
        <f t="shared" si="15"/>
        <v>0</v>
      </c>
      <c r="K97" s="20">
        <f t="shared" si="16"/>
        <v>1</v>
      </c>
      <c r="L97" s="4">
        <f>VLOOKUP($A97,'0.0001'!$A$1:$AE$133,13, FALSE)</f>
        <v>1</v>
      </c>
      <c r="M97">
        <f>VLOOKUP($A97,'0.0001'!$A$1:$AE$133,15, FALSE)</f>
        <v>5.0589999999999999E-4</v>
      </c>
      <c r="N97">
        <f>VLOOKUP($A97,'0.0001'!$A$1:$AE$133,19, FALSE)</f>
        <v>1201.5</v>
      </c>
      <c r="O97" s="5">
        <f t="shared" si="11"/>
        <v>0</v>
      </c>
      <c r="P97">
        <f t="shared" si="12"/>
        <v>1</v>
      </c>
      <c r="Q97" s="4">
        <f>VLOOKUP($A97,'0.00001'!$A$1:$AE$133,13, FALSE)</f>
        <v>1</v>
      </c>
      <c r="R97">
        <f>VLOOKUP($A97,'0.00001'!$A$1:$AE$133,15, FALSE)</f>
        <v>5.0699999999999996E-4</v>
      </c>
      <c r="S97">
        <f>VLOOKUP($A97,'0.00001'!$A$1:$AE$133,19, FALSE)</f>
        <v>1201.5999999999999</v>
      </c>
      <c r="T97" s="5">
        <f t="shared" si="13"/>
        <v>0</v>
      </c>
      <c r="U97">
        <f t="shared" si="14"/>
        <v>1</v>
      </c>
    </row>
    <row r="98" spans="1:21" x14ac:dyDescent="0.25">
      <c r="A98" s="9" t="s">
        <v>96</v>
      </c>
      <c r="B98" s="19">
        <f>VLOOKUP($A98,'0.001'!$A$1:$AE$133,13, FALSE)</f>
        <v>0.99995769999999995</v>
      </c>
      <c r="C98" s="20">
        <f>VLOOKUP($A98,'0.001'!$A$1:$AE$133,15, FALSE)</f>
        <v>3.3102399999999997E-2</v>
      </c>
      <c r="D98" s="20">
        <f>VLOOKUP($A98,'0.001'!$A$1:$AE$133,19, FALSE)</f>
        <v>1202.8</v>
      </c>
      <c r="E98" s="21">
        <f t="shared" si="9"/>
        <v>0</v>
      </c>
      <c r="F98" s="20">
        <f t="shared" si="10"/>
        <v>1</v>
      </c>
      <c r="G98" s="19">
        <f>VLOOKUP($A98,'0.0005'!$A$1:$AE$133,11, FALSE)</f>
        <v>0.99999990000000005</v>
      </c>
      <c r="H98" s="20">
        <f>VLOOKUP($A98,'0.0005'!$A$1:$AE$133,13, FALSE)</f>
        <v>1.2324E-3</v>
      </c>
      <c r="I98" s="20">
        <f>VLOOKUP($A98,'0.0005'!$A$1:$AE$133,17, FALSE)</f>
        <v>1202.9000000000001</v>
      </c>
      <c r="J98" s="21">
        <f t="shared" si="15"/>
        <v>0</v>
      </c>
      <c r="K98" s="20">
        <f t="shared" si="16"/>
        <v>1</v>
      </c>
      <c r="L98" s="4">
        <f>VLOOKUP($A98,'0.0001'!$A$1:$AE$133,13, FALSE)</f>
        <v>0.99999990000000005</v>
      </c>
      <c r="M98">
        <f>VLOOKUP($A98,'0.0001'!$A$1:$AE$133,15, FALSE)</f>
        <v>1.2324E-3</v>
      </c>
      <c r="N98">
        <f>VLOOKUP($A98,'0.0001'!$A$1:$AE$133,19, FALSE)</f>
        <v>1201.5999999999999</v>
      </c>
      <c r="O98" s="5">
        <f t="shared" si="11"/>
        <v>0</v>
      </c>
      <c r="P98">
        <f t="shared" si="12"/>
        <v>1</v>
      </c>
      <c r="Q98" s="4">
        <f>VLOOKUP($A98,'0.00001'!$A$1:$AE$133,13, FALSE)</f>
        <v>1</v>
      </c>
      <c r="R98">
        <f>VLOOKUP($A98,'0.00001'!$A$1:$AE$133,15, FALSE)</f>
        <v>3.2660000000000002E-4</v>
      </c>
      <c r="S98">
        <f>VLOOKUP($A98,'0.00001'!$A$1:$AE$133,19, FALSE)</f>
        <v>1200.7</v>
      </c>
      <c r="T98" s="5">
        <f t="shared" si="13"/>
        <v>0</v>
      </c>
      <c r="U98">
        <f t="shared" si="14"/>
        <v>1</v>
      </c>
    </row>
    <row r="99" spans="1:21" x14ac:dyDescent="0.25">
      <c r="A99" s="9" t="s">
        <v>76</v>
      </c>
      <c r="B99" s="19">
        <f>VLOOKUP($A99,'0.001'!$A$1:$AE$133,13, FALSE)</f>
        <v>1</v>
      </c>
      <c r="C99" s="20">
        <f>VLOOKUP($A99,'0.001'!$A$1:$AE$133,15, FALSE)</f>
        <v>0</v>
      </c>
      <c r="D99" s="20">
        <f>VLOOKUP($A99,'0.001'!$A$1:$AE$133,19, FALSE)</f>
        <v>8.3000000000000007</v>
      </c>
      <c r="E99" s="21">
        <f t="shared" si="9"/>
        <v>1</v>
      </c>
      <c r="F99" s="20">
        <f t="shared" si="10"/>
        <v>1</v>
      </c>
      <c r="G99" s="19">
        <f>VLOOKUP($A99,'0.0005'!$A$1:$AE$133,11, FALSE)</f>
        <v>1</v>
      </c>
      <c r="H99" s="20">
        <f>VLOOKUP($A99,'0.0005'!$A$1:$AE$133,13, FALSE)</f>
        <v>0</v>
      </c>
      <c r="I99" s="20">
        <f>VLOOKUP($A99,'0.0005'!$A$1:$AE$133,17, FALSE)</f>
        <v>7.8</v>
      </c>
      <c r="J99" s="21">
        <f t="shared" si="15"/>
        <v>1</v>
      </c>
      <c r="K99" s="20">
        <f t="shared" si="16"/>
        <v>1</v>
      </c>
      <c r="L99" s="4">
        <f>VLOOKUP($A99,'0.0001'!$A$1:$AE$133,13, FALSE)</f>
        <v>1</v>
      </c>
      <c r="M99">
        <f>VLOOKUP($A99,'0.0001'!$A$1:$AE$133,15, FALSE)</f>
        <v>0</v>
      </c>
      <c r="N99">
        <f>VLOOKUP($A99,'0.0001'!$A$1:$AE$133,19, FALSE)</f>
        <v>9.4</v>
      </c>
      <c r="O99" s="5">
        <f t="shared" si="11"/>
        <v>1</v>
      </c>
      <c r="P99">
        <f t="shared" si="12"/>
        <v>1</v>
      </c>
      <c r="Q99" s="4">
        <f>VLOOKUP($A99,'0.00001'!$A$1:$AE$133,13, FALSE)</f>
        <v>1</v>
      </c>
      <c r="R99">
        <f>VLOOKUP($A99,'0.00001'!$A$1:$AE$133,15, FALSE)</f>
        <v>0</v>
      </c>
      <c r="S99">
        <f>VLOOKUP($A99,'0.00001'!$A$1:$AE$133,19, FALSE)</f>
        <v>7.5</v>
      </c>
      <c r="T99" s="5">
        <f t="shared" si="13"/>
        <v>1</v>
      </c>
      <c r="U99">
        <f t="shared" si="14"/>
        <v>1</v>
      </c>
    </row>
    <row r="100" spans="1:21" x14ac:dyDescent="0.25">
      <c r="A100" s="9" t="s">
        <v>74</v>
      </c>
      <c r="B100" s="19">
        <f>VLOOKUP($A100,'0.001'!$A$1:$AE$133,13, FALSE)</f>
        <v>0.47607500000000003</v>
      </c>
      <c r="C100" s="20">
        <f>VLOOKUP($A100,'0.001'!$A$1:$AE$133,15, FALSE)</f>
        <v>0.25547619999999999</v>
      </c>
      <c r="D100" s="20">
        <f>VLOOKUP($A100,'0.001'!$A$1:$AE$133,19, FALSE)</f>
        <v>1200.8</v>
      </c>
      <c r="E100" s="21">
        <f t="shared" si="9"/>
        <v>0</v>
      </c>
      <c r="F100" s="20">
        <f t="shared" si="10"/>
        <v>0</v>
      </c>
      <c r="G100" s="19">
        <f>VLOOKUP($A100,'0.0005'!$A$1:$AE$133,11, FALSE)</f>
        <v>0.40166629999999998</v>
      </c>
      <c r="H100" s="20">
        <f>VLOOKUP($A100,'0.0005'!$A$1:$AE$133,13, FALSE)</f>
        <v>0.27301569999999997</v>
      </c>
      <c r="I100" s="20">
        <f>VLOOKUP($A100,'0.0005'!$A$1:$AE$133,17, FALSE)</f>
        <v>1200.5999999999999</v>
      </c>
      <c r="J100" s="21">
        <f t="shared" si="15"/>
        <v>0</v>
      </c>
      <c r="K100" s="20">
        <f t="shared" si="16"/>
        <v>0</v>
      </c>
      <c r="L100" s="4">
        <f>VLOOKUP($A100,'0.0001'!$A$1:$AE$133,13, FALSE)</f>
        <v>0.51998750000000005</v>
      </c>
      <c r="M100">
        <f>VLOOKUP($A100,'0.0001'!$A$1:$AE$133,15, FALSE)</f>
        <v>0.24453569999999999</v>
      </c>
      <c r="N100">
        <f>VLOOKUP($A100,'0.0001'!$A$1:$AE$133,19, FALSE)</f>
        <v>1200.5</v>
      </c>
      <c r="O100" s="5">
        <f t="shared" si="11"/>
        <v>0</v>
      </c>
      <c r="P100">
        <f t="shared" si="12"/>
        <v>0</v>
      </c>
      <c r="Q100" s="4">
        <f>VLOOKUP($A100,'0.00001'!$A$1:$AE$133,13, FALSE)</f>
        <v>0.50551060000000003</v>
      </c>
      <c r="R100">
        <f>VLOOKUP($A100,'0.00001'!$A$1:$AE$133,15, FALSE)</f>
        <v>0.24819579999999999</v>
      </c>
      <c r="S100">
        <f>VLOOKUP($A100,'0.00001'!$A$1:$AE$133,19, FALSE)</f>
        <v>1203.2</v>
      </c>
      <c r="T100" s="5">
        <f t="shared" si="13"/>
        <v>0</v>
      </c>
      <c r="U100">
        <f t="shared" si="14"/>
        <v>0</v>
      </c>
    </row>
    <row r="101" spans="1:21" x14ac:dyDescent="0.25">
      <c r="A101" s="9" t="s">
        <v>141</v>
      </c>
      <c r="B101" s="19">
        <f>VLOOKUP($A101,'0.001'!$A$1:$AE$133,13, FALSE)</f>
        <v>0.33341110000000002</v>
      </c>
      <c r="C101" s="20">
        <f>VLOOKUP($A101,'0.001'!$A$1:$AE$133,15, FALSE)</f>
        <v>11.6947753</v>
      </c>
      <c r="D101" s="20">
        <f>VLOOKUP($A101,'0.001'!$A$1:$AE$133,19, FALSE)</f>
        <v>1200.3</v>
      </c>
      <c r="E101" s="21">
        <f t="shared" si="9"/>
        <v>0</v>
      </c>
      <c r="F101" s="20">
        <f t="shared" si="10"/>
        <v>0</v>
      </c>
      <c r="G101" s="19">
        <f>VLOOKUP($A101,'0.0005'!$A$1:$AE$133,11, FALSE)</f>
        <v>0.99410639999999995</v>
      </c>
      <c r="H101" s="20">
        <f>VLOOKUP($A101,'0.0005'!$A$1:$AE$133,13, FALSE)</f>
        <v>1.0996459999999999</v>
      </c>
      <c r="I101" s="20">
        <f>VLOOKUP($A101,'0.0005'!$A$1:$AE$133,17, FALSE)</f>
        <v>1202.4000000000001</v>
      </c>
      <c r="J101" s="21">
        <f t="shared" si="15"/>
        <v>0</v>
      </c>
      <c r="K101" s="20">
        <f t="shared" si="16"/>
        <v>0</v>
      </c>
      <c r="L101" s="4">
        <f>VLOOKUP($A101,'0.0001'!$A$1:$AE$133,13, FALSE)</f>
        <v>0.99418229999999996</v>
      </c>
      <c r="M101">
        <f>VLOOKUP($A101,'0.0001'!$A$1:$AE$133,15, FALSE)</f>
        <v>1.0925473000000001</v>
      </c>
      <c r="N101">
        <f>VLOOKUP($A101,'0.0001'!$A$1:$AE$133,19, FALSE)</f>
        <v>1201</v>
      </c>
      <c r="O101" s="5">
        <f t="shared" si="11"/>
        <v>0</v>
      </c>
      <c r="P101">
        <f t="shared" si="12"/>
        <v>0</v>
      </c>
      <c r="Q101" s="4">
        <f>VLOOKUP($A101,'0.00001'!$A$1:$AE$133,13, FALSE)</f>
        <v>0.99412880000000003</v>
      </c>
      <c r="R101">
        <f>VLOOKUP($A101,'0.00001'!$A$1:$AE$133,15, FALSE)</f>
        <v>1.0975542</v>
      </c>
      <c r="S101">
        <f>VLOOKUP($A101,'0.00001'!$A$1:$AE$133,19, FALSE)</f>
        <v>1202.5999999999999</v>
      </c>
      <c r="T101" s="5">
        <f t="shared" si="13"/>
        <v>0</v>
      </c>
      <c r="U101">
        <f t="shared" si="14"/>
        <v>0</v>
      </c>
    </row>
    <row r="102" spans="1:21" x14ac:dyDescent="0.25">
      <c r="A102" s="9" t="s">
        <v>147</v>
      </c>
      <c r="B102" s="19">
        <f>VLOOKUP($A102,'0.001'!$A$1:$AE$133,13, FALSE)</f>
        <v>0.9995425</v>
      </c>
      <c r="C102" s="20">
        <f>VLOOKUP($A102,'0.001'!$A$1:$AE$133,15, FALSE)</f>
        <v>0.2531429</v>
      </c>
      <c r="D102" s="20">
        <f>VLOOKUP($A102,'0.001'!$A$1:$AE$133,19, FALSE)</f>
        <v>1200.7</v>
      </c>
      <c r="E102" s="21">
        <f t="shared" si="9"/>
        <v>0</v>
      </c>
      <c r="F102" s="20">
        <f t="shared" si="10"/>
        <v>1</v>
      </c>
      <c r="G102" s="19">
        <f>VLOOKUP($A102,'0.0005'!$A$1:$AE$133,11, FALSE)</f>
        <v>0.99983900000000003</v>
      </c>
      <c r="H102" s="20">
        <f>VLOOKUP($A102,'0.0005'!$A$1:$AE$133,13, FALSE)</f>
        <v>0.15016470000000001</v>
      </c>
      <c r="I102" s="20">
        <f>VLOOKUP($A102,'0.0005'!$A$1:$AE$133,17, FALSE)</f>
        <v>1201</v>
      </c>
      <c r="J102" s="21">
        <f t="shared" si="15"/>
        <v>0</v>
      </c>
      <c r="K102" s="20">
        <f t="shared" si="16"/>
        <v>1</v>
      </c>
      <c r="L102" s="4">
        <f>VLOOKUP($A102,'0.0001'!$A$1:$AE$133,13, FALSE)</f>
        <v>0.99983489999999997</v>
      </c>
      <c r="M102">
        <f>VLOOKUP($A102,'0.0001'!$A$1:$AE$133,15, FALSE)</f>
        <v>0.1520746</v>
      </c>
      <c r="N102">
        <f>VLOOKUP($A102,'0.0001'!$A$1:$AE$133,19, FALSE)</f>
        <v>1203.8</v>
      </c>
      <c r="O102" s="5">
        <f t="shared" si="11"/>
        <v>0</v>
      </c>
      <c r="P102">
        <f t="shared" si="12"/>
        <v>1</v>
      </c>
      <c r="Q102" s="4">
        <f>VLOOKUP($A102,'0.00001'!$A$1:$AE$133,13, FALSE)</f>
        <v>0.99968069999999998</v>
      </c>
      <c r="R102">
        <f>VLOOKUP($A102,'0.00001'!$A$1:$AE$133,15, FALSE)</f>
        <v>0.21147079999999999</v>
      </c>
      <c r="S102">
        <f>VLOOKUP($A102,'0.00001'!$A$1:$AE$133,19, FALSE)</f>
        <v>1201.7</v>
      </c>
      <c r="T102" s="5">
        <f t="shared" si="13"/>
        <v>0</v>
      </c>
      <c r="U102">
        <f t="shared" si="14"/>
        <v>1</v>
      </c>
    </row>
    <row r="103" spans="1:21" x14ac:dyDescent="0.25">
      <c r="A103" s="9" t="s">
        <v>91</v>
      </c>
      <c r="B103" s="19">
        <f>VLOOKUP($A103,'0.001'!$A$1:$AE$133,13, FALSE)</f>
        <v>0.98813580000000001</v>
      </c>
      <c r="C103" s="20">
        <f>VLOOKUP($A103,'0.001'!$A$1:$AE$133,15, FALSE)</f>
        <v>0.1130864</v>
      </c>
      <c r="D103" s="20">
        <f>VLOOKUP($A103,'0.001'!$A$1:$AE$133,19, FALSE)</f>
        <v>1201</v>
      </c>
      <c r="E103" s="21">
        <f t="shared" si="9"/>
        <v>0</v>
      </c>
      <c r="F103" s="20">
        <f t="shared" si="10"/>
        <v>0</v>
      </c>
      <c r="G103" s="19">
        <f>VLOOKUP($A103,'0.0005'!$A$1:$AE$133,11, FALSE)</f>
        <v>0.99710650000000001</v>
      </c>
      <c r="H103" s="20">
        <f>VLOOKUP($A103,'0.0005'!$A$1:$AE$133,13, FALSE)</f>
        <v>5.5847500000000001E-2</v>
      </c>
      <c r="I103" s="20">
        <f>VLOOKUP($A103,'0.0005'!$A$1:$AE$133,17, FALSE)</f>
        <v>1201.8</v>
      </c>
      <c r="J103" s="21">
        <f t="shared" si="15"/>
        <v>0</v>
      </c>
      <c r="K103" s="20">
        <f t="shared" si="16"/>
        <v>0</v>
      </c>
      <c r="L103" s="4">
        <f>VLOOKUP($A103,'0.0001'!$A$1:$AE$133,13, FALSE)</f>
        <v>0.99370780000000003</v>
      </c>
      <c r="M103">
        <f>VLOOKUP($A103,'0.0001'!$A$1:$AE$133,15, FALSE)</f>
        <v>8.2355100000000001E-2</v>
      </c>
      <c r="N103">
        <f>VLOOKUP($A103,'0.0001'!$A$1:$AE$133,19, FALSE)</f>
        <v>1202.4000000000001</v>
      </c>
      <c r="O103" s="5">
        <f t="shared" si="11"/>
        <v>0</v>
      </c>
      <c r="P103">
        <f t="shared" si="12"/>
        <v>0</v>
      </c>
      <c r="Q103" s="4">
        <f>VLOOKUP($A103,'0.00001'!$A$1:$AE$133,13, FALSE)</f>
        <v>0.99216720000000003</v>
      </c>
      <c r="R103">
        <f>VLOOKUP($A103,'0.00001'!$A$1:$AE$133,15, FALSE)</f>
        <v>9.1885900000000006E-2</v>
      </c>
      <c r="S103">
        <f>VLOOKUP($A103,'0.00001'!$A$1:$AE$133,19, FALSE)</f>
        <v>1203.5999999999999</v>
      </c>
      <c r="T103" s="5">
        <f t="shared" si="13"/>
        <v>0</v>
      </c>
      <c r="U103">
        <f t="shared" si="14"/>
        <v>0</v>
      </c>
    </row>
    <row r="104" spans="1:21" x14ac:dyDescent="0.25">
      <c r="A104" s="9" t="s">
        <v>124</v>
      </c>
      <c r="B104" s="19">
        <f>VLOOKUP($A104,'0.001'!$A$1:$AE$133,13, FALSE)</f>
        <v>0.99999890000000002</v>
      </c>
      <c r="C104" s="20">
        <f>VLOOKUP($A104,'0.001'!$A$1:$AE$133,15, FALSE)</f>
        <v>1.5486E-2</v>
      </c>
      <c r="D104" s="20">
        <f>VLOOKUP($A104,'0.001'!$A$1:$AE$133,19, FALSE)</f>
        <v>1201.5</v>
      </c>
      <c r="E104" s="21">
        <f t="shared" si="9"/>
        <v>0</v>
      </c>
      <c r="F104" s="20">
        <f t="shared" si="10"/>
        <v>1</v>
      </c>
      <c r="G104" s="19">
        <f>VLOOKUP($A104,'0.0005'!$A$1:$AE$133,11, FALSE)</f>
        <v>0.99999919999999998</v>
      </c>
      <c r="H104" s="20">
        <f>VLOOKUP($A104,'0.0005'!$A$1:$AE$133,13, FALSE)</f>
        <v>1.2997399999999999E-2</v>
      </c>
      <c r="I104" s="20">
        <f>VLOOKUP($A104,'0.0005'!$A$1:$AE$133,17, FALSE)</f>
        <v>1202</v>
      </c>
      <c r="J104" s="21">
        <f t="shared" si="15"/>
        <v>0</v>
      </c>
      <c r="K104" s="20">
        <f t="shared" si="16"/>
        <v>1</v>
      </c>
      <c r="L104" s="4">
        <f>VLOOKUP($A104,'0.0001'!$A$1:$AE$133,13, FALSE)</f>
        <v>0.99982009999999999</v>
      </c>
      <c r="M104">
        <f>VLOOKUP($A104,'0.0001'!$A$1:$AE$133,15, FALSE)</f>
        <v>0.19531519999999999</v>
      </c>
      <c r="N104">
        <f>VLOOKUP($A104,'0.0001'!$A$1:$AE$133,19, FALSE)</f>
        <v>1200.5</v>
      </c>
      <c r="O104" s="5">
        <f t="shared" si="11"/>
        <v>0</v>
      </c>
      <c r="P104">
        <f t="shared" si="12"/>
        <v>1</v>
      </c>
      <c r="Q104" s="4">
        <f>VLOOKUP($A104,'0.00001'!$A$1:$AE$133,13, FALSE)</f>
        <v>0.99976180000000003</v>
      </c>
      <c r="R104">
        <f>VLOOKUP($A104,'0.00001'!$A$1:$AE$133,15, FALSE)</f>
        <v>0.22477259999999999</v>
      </c>
      <c r="S104">
        <f>VLOOKUP($A104,'0.00001'!$A$1:$AE$133,19, FALSE)</f>
        <v>1203.0999999999999</v>
      </c>
      <c r="T104" s="5">
        <f t="shared" si="13"/>
        <v>0</v>
      </c>
      <c r="U104">
        <f t="shared" si="14"/>
        <v>1</v>
      </c>
    </row>
    <row r="105" spans="1:21" x14ac:dyDescent="0.25">
      <c r="A105" s="9" t="s">
        <v>132</v>
      </c>
      <c r="B105" s="19">
        <f>VLOOKUP($A105,'0.001'!$A$1:$AE$133,13, FALSE)</f>
        <v>0.95518840000000005</v>
      </c>
      <c r="C105" s="20">
        <f>VLOOKUP($A105,'0.001'!$A$1:$AE$133,15, FALSE)</f>
        <v>3.2540999999999998E-3</v>
      </c>
      <c r="D105" s="20">
        <f>VLOOKUP($A105,'0.001'!$A$1:$AE$133,19, FALSE)</f>
        <v>1200.9000000000001</v>
      </c>
      <c r="E105" s="21">
        <f t="shared" si="9"/>
        <v>0</v>
      </c>
      <c r="F105" s="20">
        <f t="shared" si="10"/>
        <v>0</v>
      </c>
      <c r="G105" s="19">
        <f>VLOOKUP($A105,'0.0005'!$A$1:$AE$133,11, FALSE)</f>
        <v>0.95841989999999999</v>
      </c>
      <c r="H105" s="20">
        <f>VLOOKUP($A105,'0.0005'!$A$1:$AE$133,13, FALSE)</f>
        <v>3.1346E-3</v>
      </c>
      <c r="I105" s="20">
        <f>VLOOKUP($A105,'0.0005'!$A$1:$AE$133,17, FALSE)</f>
        <v>1200.5</v>
      </c>
      <c r="J105" s="21">
        <f t="shared" si="15"/>
        <v>0</v>
      </c>
      <c r="K105" s="20">
        <f t="shared" si="16"/>
        <v>0</v>
      </c>
      <c r="L105" s="4">
        <f>VLOOKUP($A105,'0.0001'!$A$1:$AE$133,13, FALSE)</f>
        <v>0.91982779999999997</v>
      </c>
      <c r="M105">
        <f>VLOOKUP($A105,'0.0001'!$A$1:$AE$133,15, FALSE)</f>
        <v>4.3525999999999999E-3</v>
      </c>
      <c r="N105">
        <f>VLOOKUP($A105,'0.0001'!$A$1:$AE$133,19, FALSE)</f>
        <v>1200.2</v>
      </c>
      <c r="O105" s="5">
        <f t="shared" si="11"/>
        <v>0</v>
      </c>
      <c r="P105">
        <f t="shared" si="12"/>
        <v>0</v>
      </c>
      <c r="Q105" s="4">
        <f>VLOOKUP($A105,'0.00001'!$A$1:$AE$133,13, FALSE)</f>
        <v>0.97494670000000005</v>
      </c>
      <c r="R105">
        <f>VLOOKUP($A105,'0.00001'!$A$1:$AE$133,15, FALSE)</f>
        <v>2.4331000000000001E-3</v>
      </c>
      <c r="S105">
        <f>VLOOKUP($A105,'0.00001'!$A$1:$AE$133,19, FALSE)</f>
        <v>1201.0999999999999</v>
      </c>
      <c r="T105" s="5">
        <f t="shared" si="13"/>
        <v>0</v>
      </c>
      <c r="U105">
        <f t="shared" si="14"/>
        <v>0</v>
      </c>
    </row>
    <row r="106" spans="1:21" x14ac:dyDescent="0.25">
      <c r="A106" s="9" t="s">
        <v>131</v>
      </c>
      <c r="B106" s="19">
        <f>VLOOKUP($A106,'0.001'!$A$1:$AE$133,13, FALSE)</f>
        <v>-1.1851634</v>
      </c>
      <c r="C106" s="20">
        <f>VLOOKUP($A106,'0.001'!$A$1:$AE$133,15, FALSE)</f>
        <v>19.4102788</v>
      </c>
      <c r="D106" s="20">
        <f>VLOOKUP($A106,'0.001'!$A$1:$AE$133,19, FALSE)</f>
        <v>1201.7</v>
      </c>
      <c r="E106" s="21">
        <f t="shared" si="9"/>
        <v>0</v>
      </c>
      <c r="F106" s="20">
        <f t="shared" si="10"/>
        <v>0</v>
      </c>
      <c r="G106" s="19">
        <f>VLOOKUP($A106,'0.0005'!$A$1:$AE$133,11, FALSE)</f>
        <v>0.31414130000000001</v>
      </c>
      <c r="H106" s="20">
        <f>VLOOKUP($A106,'0.0005'!$A$1:$AE$133,13, FALSE)</f>
        <v>10.874446300000001</v>
      </c>
      <c r="I106" s="20">
        <f>VLOOKUP($A106,'0.0005'!$A$1:$AE$133,17, FALSE)</f>
        <v>1200.5</v>
      </c>
      <c r="J106" s="21">
        <f t="shared" si="15"/>
        <v>0</v>
      </c>
      <c r="K106" s="20">
        <f t="shared" si="16"/>
        <v>0</v>
      </c>
      <c r="L106" s="4">
        <f>VLOOKUP($A106,'0.0001'!$A$1:$AE$133,13, FALSE)</f>
        <v>-15.268095600000001</v>
      </c>
      <c r="M106">
        <f>VLOOKUP($A106,'0.0001'!$A$1:$AE$133,15, FALSE)</f>
        <v>52.961243699999997</v>
      </c>
      <c r="N106">
        <f>VLOOKUP($A106,'0.0001'!$A$1:$AE$133,19, FALSE)</f>
        <v>1201.7</v>
      </c>
      <c r="O106" s="5">
        <f t="shared" si="11"/>
        <v>0</v>
      </c>
      <c r="P106">
        <f t="shared" si="12"/>
        <v>0</v>
      </c>
      <c r="Q106" s="4">
        <f>VLOOKUP($A106,'0.00001'!$A$1:$AE$133,13, FALSE)</f>
        <v>-21.0303778</v>
      </c>
      <c r="R106">
        <f>VLOOKUP($A106,'0.00001'!$A$1:$AE$133,15, FALSE)</f>
        <v>61.631223400000003</v>
      </c>
      <c r="S106">
        <f>VLOOKUP($A106,'0.00001'!$A$1:$AE$133,19, FALSE)</f>
        <v>1203.5999999999999</v>
      </c>
      <c r="T106" s="5">
        <f t="shared" si="13"/>
        <v>0</v>
      </c>
      <c r="U106">
        <f t="shared" si="14"/>
        <v>0</v>
      </c>
    </row>
    <row r="107" spans="1:21" x14ac:dyDescent="0.25">
      <c r="A107" s="9" t="s">
        <v>97</v>
      </c>
      <c r="B107" s="19">
        <f>VLOOKUP($A107,'0.001'!$A$1:$AE$133,13, FALSE)</f>
        <v>0.99548099999999995</v>
      </c>
      <c r="C107" s="20">
        <f>VLOOKUP($A107,'0.001'!$A$1:$AE$133,15, FALSE)</f>
        <v>8.4892200000000001E-2</v>
      </c>
      <c r="D107" s="20">
        <f>VLOOKUP($A107,'0.001'!$A$1:$AE$133,19, FALSE)</f>
        <v>1203.5</v>
      </c>
      <c r="E107" s="21">
        <f t="shared" si="9"/>
        <v>0</v>
      </c>
      <c r="F107" s="20">
        <f t="shared" si="10"/>
        <v>0</v>
      </c>
      <c r="G107" s="19">
        <f>VLOOKUP($A107,'0.0005'!$A$1:$AE$133,11, FALSE)</f>
        <v>0.99548099999999995</v>
      </c>
      <c r="H107" s="20">
        <f>VLOOKUP($A107,'0.0005'!$A$1:$AE$133,13, FALSE)</f>
        <v>8.4892200000000001E-2</v>
      </c>
      <c r="I107" s="20">
        <f>VLOOKUP($A107,'0.0005'!$A$1:$AE$133,17, FALSE)</f>
        <v>1200.7</v>
      </c>
      <c r="J107" s="21">
        <f t="shared" si="15"/>
        <v>0</v>
      </c>
      <c r="K107" s="20">
        <f t="shared" si="16"/>
        <v>0</v>
      </c>
      <c r="L107" s="4">
        <f>VLOOKUP($A107,'0.0001'!$A$1:$AE$133,13, FALSE)</f>
        <v>0.99971840000000001</v>
      </c>
      <c r="M107">
        <f>VLOOKUP($A107,'0.0001'!$A$1:$AE$133,15, FALSE)</f>
        <v>2.1190299999999999E-2</v>
      </c>
      <c r="N107">
        <f>VLOOKUP($A107,'0.0001'!$A$1:$AE$133,19, FALSE)</f>
        <v>1202.0999999999999</v>
      </c>
      <c r="O107" s="5">
        <f t="shared" si="11"/>
        <v>0</v>
      </c>
      <c r="P107">
        <f t="shared" si="12"/>
        <v>1</v>
      </c>
      <c r="Q107" s="4"/>
      <c r="R107" t="str">
        <f>VLOOKUP($A107,'0.00001'!$A$1:$AE$133,15, FALSE)</f>
        <v>inf</v>
      </c>
      <c r="S107">
        <f>VLOOKUP($A107,'0.00001'!$A$1:$AE$133,19, FALSE)</f>
        <v>1201.3</v>
      </c>
      <c r="T107" s="5">
        <f t="shared" si="13"/>
        <v>0</v>
      </c>
      <c r="U107">
        <f t="shared" si="14"/>
        <v>0</v>
      </c>
    </row>
    <row r="108" spans="1:21" x14ac:dyDescent="0.25">
      <c r="A108" s="9" t="s">
        <v>140</v>
      </c>
      <c r="B108" s="19">
        <f>VLOOKUP($A108,'0.001'!$A$1:$AE$133,13, FALSE)</f>
        <v>0.99795809999999996</v>
      </c>
      <c r="C108" s="20">
        <f>VLOOKUP($A108,'0.001'!$A$1:$AE$133,15, FALSE)</f>
        <v>1.2937521999999999</v>
      </c>
      <c r="D108" s="20">
        <f>VLOOKUP($A108,'0.001'!$A$1:$AE$133,19, FALSE)</f>
        <v>1201</v>
      </c>
      <c r="E108" s="21">
        <f t="shared" si="9"/>
        <v>0</v>
      </c>
      <c r="F108" s="20">
        <f t="shared" si="10"/>
        <v>0</v>
      </c>
      <c r="G108" s="19">
        <f>VLOOKUP($A108,'0.0005'!$A$1:$AE$133,11, FALSE)</f>
        <v>0.99801709999999999</v>
      </c>
      <c r="H108" s="20">
        <f>VLOOKUP($A108,'0.0005'!$A$1:$AE$133,13, FALSE)</f>
        <v>1.274926</v>
      </c>
      <c r="I108" s="20">
        <f>VLOOKUP($A108,'0.0005'!$A$1:$AE$133,17, FALSE)</f>
        <v>1202</v>
      </c>
      <c r="J108" s="21">
        <f t="shared" si="15"/>
        <v>0</v>
      </c>
      <c r="K108" s="20">
        <f t="shared" si="16"/>
        <v>0</v>
      </c>
      <c r="L108" s="4">
        <f>VLOOKUP($A108,'0.0001'!$A$1:$AE$133,13, FALSE)</f>
        <v>0.99848729999999997</v>
      </c>
      <c r="M108">
        <f>VLOOKUP($A108,'0.0001'!$A$1:$AE$133,15, FALSE)</f>
        <v>1.1135442</v>
      </c>
      <c r="N108">
        <f>VLOOKUP($A108,'0.0001'!$A$1:$AE$133,19, FALSE)</f>
        <v>1203.5999999999999</v>
      </c>
      <c r="O108" s="5">
        <f t="shared" si="11"/>
        <v>0</v>
      </c>
      <c r="P108">
        <f t="shared" si="12"/>
        <v>0</v>
      </c>
      <c r="Q108" s="4">
        <f>VLOOKUP($A108,'0.00001'!$A$1:$AE$133,13, FALSE)</f>
        <v>0.99780000000000002</v>
      </c>
      <c r="R108">
        <f>VLOOKUP($A108,'0.00001'!$A$1:$AE$133,15, FALSE)</f>
        <v>1.3429021000000001</v>
      </c>
      <c r="S108">
        <f>VLOOKUP($A108,'0.00001'!$A$1:$AE$133,19, FALSE)</f>
        <v>1200.9000000000001</v>
      </c>
      <c r="T108" s="5">
        <f t="shared" si="13"/>
        <v>0</v>
      </c>
      <c r="U108">
        <f t="shared" si="14"/>
        <v>0</v>
      </c>
    </row>
    <row r="109" spans="1:21" x14ac:dyDescent="0.25">
      <c r="A109" s="9" t="s">
        <v>145</v>
      </c>
      <c r="B109" s="19">
        <f>VLOOKUP($A109,'0.001'!$A$1:$AE$133,13, FALSE)</f>
        <v>1</v>
      </c>
      <c r="C109" s="20">
        <f>VLOOKUP($A109,'0.001'!$A$1:$AE$133,15, FALSE)</f>
        <v>0</v>
      </c>
      <c r="D109" s="20">
        <f>VLOOKUP($A109,'0.001'!$A$1:$AE$133,19, FALSE)</f>
        <v>193.3</v>
      </c>
      <c r="E109" s="21">
        <f t="shared" si="9"/>
        <v>1</v>
      </c>
      <c r="F109" s="20">
        <f t="shared" si="10"/>
        <v>1</v>
      </c>
      <c r="G109" s="19">
        <f>VLOOKUP($A109,'0.0005'!$A$1:$AE$133,11, FALSE)</f>
        <v>1</v>
      </c>
      <c r="H109" s="20">
        <f>VLOOKUP($A109,'0.0005'!$A$1:$AE$133,13, FALSE)</f>
        <v>0</v>
      </c>
      <c r="I109" s="20">
        <f>VLOOKUP($A109,'0.0005'!$A$1:$AE$133,17, FALSE)</f>
        <v>179.8</v>
      </c>
      <c r="J109" s="21">
        <f t="shared" si="15"/>
        <v>1</v>
      </c>
      <c r="K109" s="20">
        <f t="shared" si="16"/>
        <v>1</v>
      </c>
      <c r="L109" s="4">
        <f>VLOOKUP($A109,'0.0001'!$A$1:$AE$133,13, FALSE)</f>
        <v>1</v>
      </c>
      <c r="M109">
        <f>VLOOKUP($A109,'0.0001'!$A$1:$AE$133,15, FALSE)</f>
        <v>0</v>
      </c>
      <c r="N109">
        <f>VLOOKUP($A109,'0.0001'!$A$1:$AE$133,19, FALSE)</f>
        <v>193.7</v>
      </c>
      <c r="O109" s="5">
        <f t="shared" si="11"/>
        <v>1</v>
      </c>
      <c r="P109">
        <f t="shared" si="12"/>
        <v>1</v>
      </c>
      <c r="Q109" s="4">
        <f>VLOOKUP($A109,'0.00001'!$A$1:$AE$133,13, FALSE)</f>
        <v>1</v>
      </c>
      <c r="R109">
        <f>VLOOKUP($A109,'0.00001'!$A$1:$AE$133,15, FALSE)</f>
        <v>0</v>
      </c>
      <c r="S109">
        <f>VLOOKUP($A109,'0.00001'!$A$1:$AE$133,19, FALSE)</f>
        <v>245.5</v>
      </c>
      <c r="T109" s="5">
        <f t="shared" si="13"/>
        <v>1</v>
      </c>
      <c r="U109">
        <f t="shared" si="14"/>
        <v>1</v>
      </c>
    </row>
    <row r="110" spans="1:21" x14ac:dyDescent="0.25">
      <c r="A110" s="9" t="s">
        <v>123</v>
      </c>
      <c r="B110" s="19">
        <f>VLOOKUP($A110,'0.001'!$A$1:$AE$133,13, FALSE)</f>
        <v>1</v>
      </c>
      <c r="C110" s="20">
        <f>VLOOKUP($A110,'0.001'!$A$1:$AE$133,15, FALSE)</f>
        <v>0</v>
      </c>
      <c r="D110" s="20">
        <f>VLOOKUP($A110,'0.001'!$A$1:$AE$133,19, FALSE)</f>
        <v>236.6</v>
      </c>
      <c r="E110" s="21">
        <f t="shared" si="9"/>
        <v>1</v>
      </c>
      <c r="F110" s="20">
        <f t="shared" si="10"/>
        <v>1</v>
      </c>
      <c r="G110" s="19">
        <f>VLOOKUP($A110,'0.0005'!$A$1:$AE$133,11, FALSE)</f>
        <v>1</v>
      </c>
      <c r="H110" s="20">
        <f>VLOOKUP($A110,'0.0005'!$A$1:$AE$133,13, FALSE)</f>
        <v>0</v>
      </c>
      <c r="I110" s="20">
        <f>VLOOKUP($A110,'0.0005'!$A$1:$AE$133,17, FALSE)</f>
        <v>224.5</v>
      </c>
      <c r="J110" s="21">
        <f t="shared" si="15"/>
        <v>1</v>
      </c>
      <c r="K110" s="20">
        <f t="shared" si="16"/>
        <v>1</v>
      </c>
      <c r="L110" s="4">
        <f>VLOOKUP($A110,'0.0001'!$A$1:$AE$133,13, FALSE)</f>
        <v>1</v>
      </c>
      <c r="M110">
        <f>VLOOKUP($A110,'0.0001'!$A$1:$AE$133,15, FALSE)</f>
        <v>0</v>
      </c>
      <c r="N110">
        <f>VLOOKUP($A110,'0.0001'!$A$1:$AE$133,19, FALSE)</f>
        <v>306.7</v>
      </c>
      <c r="O110" s="5">
        <f t="shared" si="11"/>
        <v>1</v>
      </c>
      <c r="P110">
        <f t="shared" si="12"/>
        <v>1</v>
      </c>
      <c r="Q110" s="4">
        <f>VLOOKUP($A110,'0.00001'!$A$1:$AE$133,13, FALSE)</f>
        <v>1</v>
      </c>
      <c r="R110">
        <f>VLOOKUP($A110,'0.00001'!$A$1:$AE$133,15, FALSE)</f>
        <v>0</v>
      </c>
      <c r="S110">
        <f>VLOOKUP($A110,'0.00001'!$A$1:$AE$133,19, FALSE)</f>
        <v>338.3</v>
      </c>
      <c r="T110" s="5">
        <f t="shared" si="13"/>
        <v>1</v>
      </c>
      <c r="U110">
        <f t="shared" si="14"/>
        <v>1</v>
      </c>
    </row>
    <row r="111" spans="1:21" x14ac:dyDescent="0.25">
      <c r="A111" s="9" t="s">
        <v>139</v>
      </c>
      <c r="B111" s="19">
        <f>VLOOKUP($A111,'0.001'!$A$1:$AE$133,13, FALSE)</f>
        <v>1</v>
      </c>
      <c r="C111" s="20">
        <f>VLOOKUP($A111,'0.001'!$A$1:$AE$133,15, FALSE)</f>
        <v>0</v>
      </c>
      <c r="D111" s="20">
        <f>VLOOKUP($A111,'0.001'!$A$1:$AE$133,19, FALSE)</f>
        <v>309.5</v>
      </c>
      <c r="E111" s="21">
        <f t="shared" si="9"/>
        <v>1</v>
      </c>
      <c r="F111" s="20">
        <f t="shared" si="10"/>
        <v>1</v>
      </c>
      <c r="G111" s="19">
        <f>VLOOKUP($A111,'0.0005'!$A$1:$AE$133,11, FALSE)</f>
        <v>1</v>
      </c>
      <c r="H111" s="20">
        <f>VLOOKUP($A111,'0.0005'!$A$1:$AE$133,13, FALSE)</f>
        <v>0</v>
      </c>
      <c r="I111" s="20">
        <f>VLOOKUP($A111,'0.0005'!$A$1:$AE$133,17, FALSE)</f>
        <v>289.10000000000002</v>
      </c>
      <c r="J111" s="21">
        <f t="shared" si="15"/>
        <v>1</v>
      </c>
      <c r="K111" s="20">
        <f t="shared" si="16"/>
        <v>1</v>
      </c>
      <c r="L111" s="4">
        <f>VLOOKUP($A111,'0.0001'!$A$1:$AE$133,13, FALSE)</f>
        <v>1</v>
      </c>
      <c r="M111">
        <f>VLOOKUP($A111,'0.0001'!$A$1:$AE$133,15, FALSE)</f>
        <v>0</v>
      </c>
      <c r="N111">
        <f>VLOOKUP($A111,'0.0001'!$A$1:$AE$133,19, FALSE)</f>
        <v>339.3</v>
      </c>
      <c r="O111" s="5">
        <f t="shared" si="11"/>
        <v>1</v>
      </c>
      <c r="P111">
        <f t="shared" si="12"/>
        <v>1</v>
      </c>
      <c r="Q111" s="4">
        <f>VLOOKUP($A111,'0.00001'!$A$1:$AE$133,13, FALSE)</f>
        <v>1</v>
      </c>
      <c r="R111">
        <f>VLOOKUP($A111,'0.00001'!$A$1:$AE$133,15, FALSE)</f>
        <v>0</v>
      </c>
      <c r="S111">
        <f>VLOOKUP($A111,'0.00001'!$A$1:$AE$133,19, FALSE)</f>
        <v>286.10000000000002</v>
      </c>
      <c r="T111" s="5">
        <f t="shared" si="13"/>
        <v>1</v>
      </c>
      <c r="U111">
        <f t="shared" si="14"/>
        <v>1</v>
      </c>
    </row>
    <row r="112" spans="1:21" x14ac:dyDescent="0.25">
      <c r="A112" s="9" t="s">
        <v>143</v>
      </c>
      <c r="B112" s="19">
        <f>VLOOKUP($A112,'0.001'!$A$1:$AE$133,13, FALSE)</f>
        <v>0.68298369999999997</v>
      </c>
      <c r="C112" s="20">
        <f>VLOOKUP($A112,'0.001'!$A$1:$AE$133,15, FALSE)</f>
        <v>1.1375565000000001</v>
      </c>
      <c r="D112" s="20">
        <f>VLOOKUP($A112,'0.001'!$A$1:$AE$133,19, FALSE)</f>
        <v>1200.0999999999999</v>
      </c>
      <c r="E112" s="21">
        <f t="shared" si="9"/>
        <v>0</v>
      </c>
      <c r="F112" s="20">
        <f t="shared" si="10"/>
        <v>0</v>
      </c>
      <c r="G112" s="19">
        <f>VLOOKUP($A112,'0.0005'!$A$1:$AE$133,11, FALSE)</f>
        <v>0.6702323</v>
      </c>
      <c r="H112" s="20">
        <f>VLOOKUP($A112,'0.0005'!$A$1:$AE$133,13, FALSE)</f>
        <v>1.160209</v>
      </c>
      <c r="I112" s="20">
        <f>VLOOKUP($A112,'0.0005'!$A$1:$AE$133,17, FALSE)</f>
        <v>1200.9000000000001</v>
      </c>
      <c r="J112" s="21">
        <f t="shared" si="15"/>
        <v>0</v>
      </c>
      <c r="K112" s="20">
        <f t="shared" si="16"/>
        <v>0</v>
      </c>
      <c r="L112" s="4">
        <f>VLOOKUP($A112,'0.0001'!$A$1:$AE$133,13, FALSE)</f>
        <v>0.70051180000000002</v>
      </c>
      <c r="M112">
        <f>VLOOKUP($A112,'0.0001'!$A$1:$AE$133,15, FALSE)</f>
        <v>1.105661</v>
      </c>
      <c r="N112">
        <f>VLOOKUP($A112,'0.0001'!$A$1:$AE$133,19, FALSE)</f>
        <v>1200.8</v>
      </c>
      <c r="O112" s="5">
        <f t="shared" si="11"/>
        <v>0</v>
      </c>
      <c r="P112">
        <f t="shared" si="12"/>
        <v>0</v>
      </c>
      <c r="Q112" s="4">
        <f>VLOOKUP($A112,'0.00001'!$A$1:$AE$133,13, FALSE)</f>
        <v>0.70051180000000002</v>
      </c>
      <c r="R112">
        <f>VLOOKUP($A112,'0.00001'!$A$1:$AE$133,15, FALSE)</f>
        <v>1.105661</v>
      </c>
      <c r="S112">
        <f>VLOOKUP($A112,'0.00001'!$A$1:$AE$133,19, FALSE)</f>
        <v>1202.8</v>
      </c>
      <c r="T112" s="5">
        <f t="shared" si="13"/>
        <v>0</v>
      </c>
      <c r="U112">
        <f t="shared" si="14"/>
        <v>0</v>
      </c>
    </row>
    <row r="113" spans="1:21" x14ac:dyDescent="0.25">
      <c r="A113" s="9" t="s">
        <v>148</v>
      </c>
      <c r="B113" s="19">
        <f>VLOOKUP($A113,'0.001'!$A$1:$AE$133,13, FALSE)</f>
        <v>0.98491379999999995</v>
      </c>
      <c r="C113" s="20">
        <f>VLOOKUP($A113,'0.001'!$A$1:$AE$133,15, FALSE)</f>
        <v>1.9266247000000001</v>
      </c>
      <c r="D113" s="20">
        <f>VLOOKUP($A113,'0.001'!$A$1:$AE$133,19, FALSE)</f>
        <v>1200.3</v>
      </c>
      <c r="E113" s="21">
        <f t="shared" si="9"/>
        <v>0</v>
      </c>
      <c r="F113" s="20">
        <f t="shared" si="10"/>
        <v>0</v>
      </c>
      <c r="G113" s="19">
        <f>VLOOKUP($A113,'0.0005'!$A$1:$AE$133,11, FALSE)</f>
        <v>0.93648450000000005</v>
      </c>
      <c r="H113" s="20">
        <f>VLOOKUP($A113,'0.0005'!$A$1:$AE$133,13, FALSE)</f>
        <v>3.9531784999999999</v>
      </c>
      <c r="I113" s="20">
        <f>VLOOKUP($A113,'0.0005'!$A$1:$AE$133,17, FALSE)</f>
        <v>1200.7</v>
      </c>
      <c r="J113" s="21">
        <f t="shared" si="15"/>
        <v>0</v>
      </c>
      <c r="K113" s="20">
        <f t="shared" si="16"/>
        <v>0</v>
      </c>
      <c r="L113" s="4">
        <f>VLOOKUP($A113,'0.0001'!$A$1:$AE$133,13, FALSE)</f>
        <v>0.93281890000000001</v>
      </c>
      <c r="M113">
        <f>VLOOKUP($A113,'0.0001'!$A$1:$AE$133,15, FALSE)</f>
        <v>4.0656508000000002</v>
      </c>
      <c r="N113">
        <f>VLOOKUP($A113,'0.0001'!$A$1:$AE$133,19, FALSE)</f>
        <v>1202.4000000000001</v>
      </c>
      <c r="O113" s="5">
        <f t="shared" si="11"/>
        <v>0</v>
      </c>
      <c r="P113">
        <f t="shared" si="12"/>
        <v>0</v>
      </c>
      <c r="Q113" s="4">
        <f>VLOOKUP($A113,'0.00001'!$A$1:$AE$133,13, FALSE)</f>
        <v>0.93371099999999996</v>
      </c>
      <c r="R113">
        <f>VLOOKUP($A113,'0.00001'!$A$1:$AE$133,15, FALSE)</f>
        <v>4.0385666000000002</v>
      </c>
      <c r="S113">
        <f>VLOOKUP($A113,'0.00001'!$A$1:$AE$133,19, FALSE)</f>
        <v>1202.5999999999999</v>
      </c>
      <c r="T113" s="5">
        <f t="shared" si="13"/>
        <v>0</v>
      </c>
      <c r="U113">
        <f t="shared" si="14"/>
        <v>0</v>
      </c>
    </row>
    <row r="114" spans="1:21" x14ac:dyDescent="0.25">
      <c r="A114" s="9" t="s">
        <v>86</v>
      </c>
      <c r="B114" s="19">
        <f>VLOOKUP($A114,'0.001'!$A$1:$AE$133,13, FALSE)</f>
        <v>0.95109460000000001</v>
      </c>
      <c r="C114" s="20">
        <f>VLOOKUP($A114,'0.001'!$A$1:$AE$133,15, FALSE)</f>
        <v>0.4072828</v>
      </c>
      <c r="D114" s="20">
        <f>VLOOKUP($A114,'0.001'!$A$1:$AE$133,19, FALSE)</f>
        <v>1200.5</v>
      </c>
      <c r="E114" s="21">
        <f t="shared" si="9"/>
        <v>0</v>
      </c>
      <c r="F114" s="20">
        <f t="shared" si="10"/>
        <v>0</v>
      </c>
      <c r="G114" s="19">
        <f>VLOOKUP($A114,'0.0005'!$A$1:$AE$133,11, FALSE)</f>
        <v>0.99999119999999997</v>
      </c>
      <c r="H114" s="20">
        <f>VLOOKUP($A114,'0.0005'!$A$1:$AE$133,13, FALSE)</f>
        <v>5.4771000000000004E-3</v>
      </c>
      <c r="I114" s="20">
        <f>VLOOKUP($A114,'0.0005'!$A$1:$AE$133,17, FALSE)</f>
        <v>1201.4000000000001</v>
      </c>
      <c r="J114" s="21">
        <f t="shared" si="15"/>
        <v>0</v>
      </c>
      <c r="K114" s="20">
        <f t="shared" si="16"/>
        <v>1</v>
      </c>
      <c r="L114" s="4">
        <f>VLOOKUP($A114,'0.0001'!$A$1:$AE$133,13, FALSE)</f>
        <v>0.99994450000000001</v>
      </c>
      <c r="M114">
        <f>VLOOKUP($A114,'0.0001'!$A$1:$AE$133,15, FALSE)</f>
        <v>1.3718599999999999E-2</v>
      </c>
      <c r="N114">
        <f>VLOOKUP($A114,'0.0001'!$A$1:$AE$133,19, FALSE)</f>
        <v>1201</v>
      </c>
      <c r="O114" s="5">
        <f t="shared" si="11"/>
        <v>0</v>
      </c>
      <c r="P114">
        <f t="shared" si="12"/>
        <v>1</v>
      </c>
      <c r="Q114" s="4">
        <f>VLOOKUP($A114,'0.00001'!$A$1:$AE$133,13, FALSE)</f>
        <v>0.99999899999999997</v>
      </c>
      <c r="R114">
        <f>VLOOKUP($A114,'0.00001'!$A$1:$AE$133,15, FALSE)</f>
        <v>1.8239E-3</v>
      </c>
      <c r="S114">
        <f>VLOOKUP($A114,'0.00001'!$A$1:$AE$133,19, FALSE)</f>
        <v>1201.4000000000001</v>
      </c>
      <c r="T114" s="5">
        <f t="shared" si="13"/>
        <v>0</v>
      </c>
      <c r="U114">
        <f t="shared" si="14"/>
        <v>1</v>
      </c>
    </row>
    <row r="115" spans="1:21" x14ac:dyDescent="0.25">
      <c r="A115" s="9" t="s">
        <v>117</v>
      </c>
      <c r="B115" s="19">
        <f>VLOOKUP($A115,'0.001'!$A$1:$AE$133,13, FALSE)</f>
        <v>0.99949180000000004</v>
      </c>
      <c r="C115" s="20">
        <f>VLOOKUP($A115,'0.001'!$A$1:$AE$133,15, FALSE)</f>
        <v>1.1239300000000001E-2</v>
      </c>
      <c r="D115" s="20">
        <f>VLOOKUP($A115,'0.001'!$A$1:$AE$133,19, FALSE)</f>
        <v>1201.2</v>
      </c>
      <c r="E115" s="21">
        <f t="shared" si="9"/>
        <v>0</v>
      </c>
      <c r="F115" s="20">
        <f t="shared" si="10"/>
        <v>1</v>
      </c>
      <c r="G115" s="19">
        <f>VLOOKUP($A115,'0.0005'!$A$1:$AE$133,11, FALSE)</f>
        <v>0.99949180000000004</v>
      </c>
      <c r="H115" s="20">
        <f>VLOOKUP($A115,'0.0005'!$A$1:$AE$133,13, FALSE)</f>
        <v>1.1239300000000001E-2</v>
      </c>
      <c r="I115" s="20">
        <f>VLOOKUP($A115,'0.0005'!$A$1:$AE$133,17, FALSE)</f>
        <v>1201.2</v>
      </c>
      <c r="J115" s="21">
        <f t="shared" si="15"/>
        <v>0</v>
      </c>
      <c r="K115" s="20">
        <f t="shared" si="16"/>
        <v>1</v>
      </c>
      <c r="L115" s="4">
        <f>VLOOKUP($A115,'0.0001'!$A$1:$AE$133,13, FALSE)</f>
        <v>0.99955799999999995</v>
      </c>
      <c r="M115">
        <f>VLOOKUP($A115,'0.0001'!$A$1:$AE$133,15, FALSE)</f>
        <v>1.0482099999999999E-2</v>
      </c>
      <c r="N115">
        <f>VLOOKUP($A115,'0.0001'!$A$1:$AE$133,19, FALSE)</f>
        <v>1201.8</v>
      </c>
      <c r="O115" s="5">
        <f t="shared" si="11"/>
        <v>0</v>
      </c>
      <c r="P115">
        <f t="shared" si="12"/>
        <v>1</v>
      </c>
      <c r="Q115" s="4">
        <f>VLOOKUP($A115,'0.00001'!$A$1:$AE$133,13, FALSE)</f>
        <v>0.9999538</v>
      </c>
      <c r="R115">
        <f>VLOOKUP($A115,'0.00001'!$A$1:$AE$133,15, FALSE)</f>
        <v>3.3876000000000002E-3</v>
      </c>
      <c r="S115">
        <f>VLOOKUP($A115,'0.00001'!$A$1:$AE$133,19, FALSE)</f>
        <v>1201.7</v>
      </c>
      <c r="T115" s="5">
        <f t="shared" si="13"/>
        <v>0</v>
      </c>
      <c r="U115">
        <f t="shared" si="14"/>
        <v>1</v>
      </c>
    </row>
    <row r="116" spans="1:21" x14ac:dyDescent="0.25">
      <c r="A116" s="9" t="s">
        <v>94</v>
      </c>
      <c r="B116" s="19">
        <f>VLOOKUP($A116,'0.001'!$A$1:$AE$133,13, FALSE)</f>
        <v>0.99980420000000003</v>
      </c>
      <c r="C116" s="20">
        <f>VLOOKUP($A116,'0.001'!$A$1:$AE$133,15, FALSE)</f>
        <v>4.4626699999999998E-2</v>
      </c>
      <c r="D116" s="20">
        <f>VLOOKUP($A116,'0.001'!$A$1:$AE$133,19, FALSE)</f>
        <v>1201.4000000000001</v>
      </c>
      <c r="E116" s="21">
        <f t="shared" si="9"/>
        <v>0</v>
      </c>
      <c r="F116" s="20">
        <f t="shared" si="10"/>
        <v>1</v>
      </c>
      <c r="G116" s="19">
        <f>VLOOKUP($A116,'0.0005'!$A$1:$AE$133,11, FALSE)</f>
        <v>0.99994989999999995</v>
      </c>
      <c r="H116" s="20">
        <f>VLOOKUP($A116,'0.0005'!$A$1:$AE$133,13, FALSE)</f>
        <v>2.2583599999999999E-2</v>
      </c>
      <c r="I116" s="20">
        <f>VLOOKUP($A116,'0.0005'!$A$1:$AE$133,17, FALSE)</f>
        <v>1201.0999999999999</v>
      </c>
      <c r="J116" s="21">
        <f t="shared" si="15"/>
        <v>0</v>
      </c>
      <c r="K116" s="20">
        <f t="shared" si="16"/>
        <v>1</v>
      </c>
      <c r="L116" s="4">
        <f>VLOOKUP($A116,'0.0001'!$A$1:$AE$133,13, FALSE)</f>
        <v>0.99995460000000003</v>
      </c>
      <c r="M116">
        <f>VLOOKUP($A116,'0.0001'!$A$1:$AE$133,15, FALSE)</f>
        <v>2.14799E-2</v>
      </c>
      <c r="N116">
        <f>VLOOKUP($A116,'0.0001'!$A$1:$AE$133,19, FALSE)</f>
        <v>1200.5999999999999</v>
      </c>
      <c r="O116" s="5">
        <f t="shared" si="11"/>
        <v>0</v>
      </c>
      <c r="P116">
        <f t="shared" si="12"/>
        <v>1</v>
      </c>
      <c r="Q116" s="4">
        <f>VLOOKUP($A116,'0.00001'!$A$1:$AE$133,13, FALSE)</f>
        <v>0.99998330000000002</v>
      </c>
      <c r="R116">
        <f>VLOOKUP($A116,'0.00001'!$A$1:$AE$133,15, FALSE)</f>
        <v>1.3051200000000001E-2</v>
      </c>
      <c r="S116">
        <f>VLOOKUP($A116,'0.00001'!$A$1:$AE$133,19, FALSE)</f>
        <v>1203.0999999999999</v>
      </c>
      <c r="T116" s="5">
        <f t="shared" si="13"/>
        <v>0</v>
      </c>
      <c r="U116">
        <f t="shared" si="14"/>
        <v>1</v>
      </c>
    </row>
    <row r="117" spans="1:21" x14ac:dyDescent="0.25">
      <c r="A117" s="9" t="s">
        <v>146</v>
      </c>
      <c r="B117" s="19">
        <f>VLOOKUP($A117,'0.001'!$A$1:$AE$133,13, FALSE)</f>
        <v>0.9896665</v>
      </c>
      <c r="C117" s="20">
        <f>VLOOKUP($A117,'0.001'!$A$1:$AE$133,15, FALSE)</f>
        <v>4.6103100000000001E-2</v>
      </c>
      <c r="D117" s="20">
        <f>VLOOKUP($A117,'0.001'!$A$1:$AE$133,19, FALSE)</f>
        <v>1201.8</v>
      </c>
      <c r="E117" s="21">
        <f t="shared" si="9"/>
        <v>0</v>
      </c>
      <c r="F117" s="20">
        <f t="shared" si="10"/>
        <v>0</v>
      </c>
      <c r="G117" s="19">
        <f>VLOOKUP($A117,'0.0005'!$A$1:$AE$133,11, FALSE)</f>
        <v>0.9920795</v>
      </c>
      <c r="H117" s="20">
        <f>VLOOKUP($A117,'0.0005'!$A$1:$AE$133,13, FALSE)</f>
        <v>4.0363099999999999E-2</v>
      </c>
      <c r="I117" s="20">
        <f>VLOOKUP($A117,'0.0005'!$A$1:$AE$133,17, FALSE)</f>
        <v>1200.2</v>
      </c>
      <c r="J117" s="21">
        <f t="shared" si="15"/>
        <v>0</v>
      </c>
      <c r="K117" s="20">
        <f t="shared" si="16"/>
        <v>0</v>
      </c>
      <c r="L117" s="4">
        <f>VLOOKUP($A117,'0.0001'!$A$1:$AE$133,13, FALSE)</f>
        <v>0.9970985</v>
      </c>
      <c r="M117">
        <f>VLOOKUP($A117,'0.0001'!$A$1:$AE$133,15, FALSE)</f>
        <v>2.4429699999999999E-2</v>
      </c>
      <c r="N117">
        <f>VLOOKUP($A117,'0.0001'!$A$1:$AE$133,19, FALSE)</f>
        <v>1201.9000000000001</v>
      </c>
      <c r="O117" s="5">
        <f t="shared" si="11"/>
        <v>0</v>
      </c>
      <c r="P117">
        <f t="shared" si="12"/>
        <v>0</v>
      </c>
      <c r="Q117" s="4">
        <f>VLOOKUP($A117,'0.00001'!$A$1:$AE$133,13, FALSE)</f>
        <v>0.99769989999999997</v>
      </c>
      <c r="R117">
        <f>VLOOKUP($A117,'0.00001'!$A$1:$AE$133,15, FALSE)</f>
        <v>2.17509E-2</v>
      </c>
      <c r="S117">
        <f>VLOOKUP($A117,'0.00001'!$A$1:$AE$133,19, FALSE)</f>
        <v>1200.4000000000001</v>
      </c>
      <c r="T117" s="5">
        <f t="shared" si="13"/>
        <v>0</v>
      </c>
      <c r="U117">
        <f t="shared" si="14"/>
        <v>0</v>
      </c>
    </row>
    <row r="118" spans="1:21" x14ac:dyDescent="0.25">
      <c r="A118" s="9" t="s">
        <v>118</v>
      </c>
      <c r="B118" s="19">
        <f>VLOOKUP($A118,'0.001'!$A$1:$AE$133,13, FALSE)</f>
        <v>0.99959019999999998</v>
      </c>
      <c r="C118" s="20">
        <f>VLOOKUP($A118,'0.001'!$A$1:$AE$133,15, FALSE)</f>
        <v>2.49705E-2</v>
      </c>
      <c r="D118" s="20">
        <f>VLOOKUP($A118,'0.001'!$A$1:$AE$133,19, FALSE)</f>
        <v>1200.2</v>
      </c>
      <c r="E118" s="21">
        <f t="shared" si="9"/>
        <v>0</v>
      </c>
      <c r="F118" s="20">
        <f t="shared" si="10"/>
        <v>1</v>
      </c>
      <c r="G118" s="19">
        <f>VLOOKUP($A118,'0.0005'!$A$1:$AE$133,11, FALSE)</f>
        <v>0.99958599999999997</v>
      </c>
      <c r="H118" s="20">
        <f>VLOOKUP($A118,'0.0005'!$A$1:$AE$133,13, FALSE)</f>
        <v>2.5097999999999999E-2</v>
      </c>
      <c r="I118" s="20">
        <f>VLOOKUP($A118,'0.0005'!$A$1:$AE$133,17, FALSE)</f>
        <v>1200.3</v>
      </c>
      <c r="J118" s="21">
        <f t="shared" si="15"/>
        <v>0</v>
      </c>
      <c r="K118" s="20">
        <f t="shared" si="16"/>
        <v>1</v>
      </c>
      <c r="L118" s="4">
        <f>VLOOKUP($A118,'0.0001'!$A$1:$AE$133,13, FALSE)</f>
        <v>0.99991909999999995</v>
      </c>
      <c r="M118">
        <f>VLOOKUP($A118,'0.0001'!$A$1:$AE$133,15, FALSE)</f>
        <v>1.10928E-2</v>
      </c>
      <c r="N118">
        <f>VLOOKUP($A118,'0.0001'!$A$1:$AE$133,19, FALSE)</f>
        <v>1201.7</v>
      </c>
      <c r="O118" s="5">
        <f t="shared" si="11"/>
        <v>0</v>
      </c>
      <c r="P118">
        <f t="shared" si="12"/>
        <v>1</v>
      </c>
      <c r="Q118" s="4">
        <f>VLOOKUP($A118,'0.00001'!$A$1:$AE$133,13, FALSE)</f>
        <v>0.99998220000000004</v>
      </c>
      <c r="R118">
        <f>VLOOKUP($A118,'0.00001'!$A$1:$AE$133,15, FALSE)</f>
        <v>5.2100000000000002E-3</v>
      </c>
      <c r="S118">
        <f>VLOOKUP($A118,'0.00001'!$A$1:$AE$133,19, FALSE)</f>
        <v>1201.3</v>
      </c>
      <c r="T118" s="5">
        <f t="shared" si="13"/>
        <v>0</v>
      </c>
      <c r="U118">
        <f t="shared" si="14"/>
        <v>1</v>
      </c>
    </row>
    <row r="119" spans="1:21" x14ac:dyDescent="0.25">
      <c r="A119" s="9" t="s">
        <v>87</v>
      </c>
      <c r="B119" s="19">
        <f>VLOOKUP($A119,'0.001'!$A$1:$AE$133,13, FALSE)</f>
        <v>0.99280829999999998</v>
      </c>
      <c r="C119" s="20">
        <f>VLOOKUP($A119,'0.001'!$A$1:$AE$133,15, FALSE)</f>
        <v>3.8160399999999997E-2</v>
      </c>
      <c r="D119" s="20">
        <f>VLOOKUP($A119,'0.001'!$A$1:$AE$133,19, FALSE)</f>
        <v>1201.3</v>
      </c>
      <c r="E119" s="21">
        <f t="shared" si="9"/>
        <v>0</v>
      </c>
      <c r="F119" s="20">
        <f t="shared" si="10"/>
        <v>0</v>
      </c>
      <c r="G119" s="19">
        <f>VLOOKUP($A119,'0.0005'!$A$1:$AE$133,11, FALSE)</f>
        <v>0.99422569999999999</v>
      </c>
      <c r="H119" s="20">
        <f>VLOOKUP($A119,'0.0005'!$A$1:$AE$133,13, FALSE)</f>
        <v>3.4193800000000003E-2</v>
      </c>
      <c r="I119" s="20">
        <f>VLOOKUP($A119,'0.0005'!$A$1:$AE$133,17, FALSE)</f>
        <v>1202.0999999999999</v>
      </c>
      <c r="J119" s="21">
        <f t="shared" si="15"/>
        <v>0</v>
      </c>
      <c r="K119" s="20">
        <f t="shared" si="16"/>
        <v>0</v>
      </c>
      <c r="L119" s="4">
        <f>VLOOKUP($A119,'0.0001'!$A$1:$AE$133,13, FALSE)</f>
        <v>0.99754299999999996</v>
      </c>
      <c r="M119">
        <f>VLOOKUP($A119,'0.0001'!$A$1:$AE$133,15, FALSE)</f>
        <v>2.2304999999999998E-2</v>
      </c>
      <c r="N119">
        <f>VLOOKUP($A119,'0.0001'!$A$1:$AE$133,19, FALSE)</f>
        <v>1200.0999999999999</v>
      </c>
      <c r="O119" s="5">
        <f t="shared" si="11"/>
        <v>0</v>
      </c>
      <c r="P119">
        <f t="shared" si="12"/>
        <v>0</v>
      </c>
      <c r="Q119" s="4">
        <f>VLOOKUP($A119,'0.00001'!$A$1:$AE$133,13, FALSE)</f>
        <v>0.99847240000000004</v>
      </c>
      <c r="R119">
        <f>VLOOKUP($A119,'0.00001'!$A$1:$AE$133,15, FALSE)</f>
        <v>1.7587599999999998E-2</v>
      </c>
      <c r="S119">
        <f>VLOOKUP($A119,'0.00001'!$A$1:$AE$133,19, FALSE)</f>
        <v>1201.4000000000001</v>
      </c>
      <c r="T119" s="5">
        <f t="shared" si="13"/>
        <v>0</v>
      </c>
      <c r="U119">
        <f t="shared" si="14"/>
        <v>0</v>
      </c>
    </row>
    <row r="120" spans="1:21" x14ac:dyDescent="0.25">
      <c r="A120" s="9" t="s">
        <v>136</v>
      </c>
      <c r="B120" s="19">
        <f>VLOOKUP($A120,'0.001'!$A$1:$AE$133,13, FALSE)</f>
        <v>0.99983889999999997</v>
      </c>
      <c r="C120" s="20">
        <f>VLOOKUP($A120,'0.001'!$A$1:$AE$133,15, FALSE)</f>
        <v>88.221593600000006</v>
      </c>
      <c r="D120" s="20">
        <f>VLOOKUP($A120,'0.001'!$A$1:$AE$133,19, FALSE)</f>
        <v>1201.2</v>
      </c>
      <c r="E120" s="21">
        <f t="shared" si="9"/>
        <v>0</v>
      </c>
      <c r="F120" s="20">
        <f t="shared" si="10"/>
        <v>1</v>
      </c>
      <c r="G120" s="19">
        <f>VLOOKUP($A120,'0.0005'!$A$1:$AE$133,11, FALSE)</f>
        <v>0.99983840000000002</v>
      </c>
      <c r="H120" s="20">
        <f>VLOOKUP($A120,'0.0005'!$A$1:$AE$133,13, FALSE)</f>
        <v>88.353629999999995</v>
      </c>
      <c r="I120" s="20">
        <f>VLOOKUP($A120,'0.0005'!$A$1:$AE$133,17, FALSE)</f>
        <v>1200.2</v>
      </c>
      <c r="J120" s="21">
        <f t="shared" si="15"/>
        <v>0</v>
      </c>
      <c r="K120" s="20">
        <f t="shared" si="16"/>
        <v>1</v>
      </c>
      <c r="L120" s="4">
        <f>VLOOKUP($A120,'0.0001'!$A$1:$AE$133,13, FALSE)</f>
        <v>0.99983690000000003</v>
      </c>
      <c r="M120">
        <f>VLOOKUP($A120,'0.0001'!$A$1:$AE$133,15, FALSE)</f>
        <v>88.763212600000003</v>
      </c>
      <c r="N120">
        <f>VLOOKUP($A120,'0.0001'!$A$1:$AE$133,19, FALSE)</f>
        <v>1202</v>
      </c>
      <c r="O120" s="5">
        <f t="shared" si="11"/>
        <v>0</v>
      </c>
      <c r="P120">
        <f t="shared" si="12"/>
        <v>1</v>
      </c>
      <c r="Q120" s="4">
        <f>VLOOKUP($A120,'0.00001'!$A$1:$AE$133,13, FALSE)</f>
        <v>0.99983840000000002</v>
      </c>
      <c r="R120">
        <f>VLOOKUP($A120,'0.00001'!$A$1:$AE$133,15, FALSE)</f>
        <v>88.353629999999995</v>
      </c>
      <c r="S120">
        <f>VLOOKUP($A120,'0.00001'!$A$1:$AE$133,19, FALSE)</f>
        <v>1201</v>
      </c>
      <c r="T120" s="5">
        <f t="shared" si="13"/>
        <v>0</v>
      </c>
      <c r="U120">
        <f t="shared" si="14"/>
        <v>1</v>
      </c>
    </row>
    <row r="121" spans="1:21" x14ac:dyDescent="0.25">
      <c r="A121" s="9" t="s">
        <v>26</v>
      </c>
      <c r="B121" s="19">
        <f>VLOOKUP($A121,'0.001'!$A$1:$AE$133,13, FALSE)</f>
        <v>0.99999939999999998</v>
      </c>
      <c r="C121" s="20">
        <f>VLOOKUP($A121,'0.001'!$A$1:$AE$133,15, FALSE)</f>
        <v>1.8990000000000001E-3</v>
      </c>
      <c r="D121" s="20">
        <f>VLOOKUP($A121,'0.001'!$A$1:$AE$133,19, FALSE)</f>
        <v>1200.0999999999999</v>
      </c>
      <c r="E121" s="21">
        <f t="shared" si="9"/>
        <v>0</v>
      </c>
      <c r="F121" s="20">
        <f t="shared" si="10"/>
        <v>1</v>
      </c>
      <c r="G121" s="19">
        <f>VLOOKUP($A121,'0.0005'!$A$1:$AE$133,11, FALSE)</f>
        <v>1</v>
      </c>
      <c r="H121" s="20">
        <f>VLOOKUP($A121,'0.0005'!$A$1:$AE$133,13, FALSE)</f>
        <v>4.1639999999999998E-4</v>
      </c>
      <c r="I121" s="20">
        <f>VLOOKUP($A121,'0.0005'!$A$1:$AE$133,17, FALSE)</f>
        <v>1200.7</v>
      </c>
      <c r="J121" s="21">
        <f t="shared" si="15"/>
        <v>0</v>
      </c>
      <c r="K121" s="20">
        <f t="shared" si="16"/>
        <v>1</v>
      </c>
      <c r="L121" s="4">
        <f>VLOOKUP($A121,'0.0001'!$A$1:$AE$133,13, FALSE)</f>
        <v>0.99999910000000003</v>
      </c>
      <c r="M121">
        <f>VLOOKUP($A121,'0.0001'!$A$1:$AE$133,15, FALSE)</f>
        <v>2.3800000000000002E-3</v>
      </c>
      <c r="N121">
        <f>VLOOKUP($A121,'0.0001'!$A$1:$AE$133,19, FALSE)</f>
        <v>1200.5</v>
      </c>
      <c r="O121" s="5">
        <f t="shared" si="11"/>
        <v>0</v>
      </c>
      <c r="P121">
        <f t="shared" si="12"/>
        <v>1</v>
      </c>
      <c r="Q121" s="4">
        <f>VLOOKUP($A121,'0.00001'!$A$1:$AE$133,13, FALSE)</f>
        <v>1</v>
      </c>
      <c r="R121">
        <f>VLOOKUP($A121,'0.00001'!$A$1:$AE$133,15, FALSE)</f>
        <v>3.6699999999999998E-5</v>
      </c>
      <c r="S121">
        <f>VLOOKUP($A121,'0.00001'!$A$1:$AE$133,19, FALSE)</f>
        <v>1200.4000000000001</v>
      </c>
      <c r="T121" s="5">
        <f t="shared" si="13"/>
        <v>0</v>
      </c>
      <c r="U121">
        <f t="shared" si="14"/>
        <v>1</v>
      </c>
    </row>
    <row r="122" spans="1:21" x14ac:dyDescent="0.25">
      <c r="A122" s="9" t="s">
        <v>22</v>
      </c>
      <c r="B122" s="19">
        <f>VLOOKUP($A122,'0.001'!$A$1:$AE$133,13, FALSE)</f>
        <v>0.99999899999999997</v>
      </c>
      <c r="C122" s="20">
        <f>VLOOKUP($A122,'0.001'!$A$1:$AE$133,15, FALSE)</f>
        <v>2.1359999999999999E-3</v>
      </c>
      <c r="D122" s="20">
        <f>VLOOKUP($A122,'0.001'!$A$1:$AE$133,19, FALSE)</f>
        <v>1200.0999999999999</v>
      </c>
      <c r="E122" s="21">
        <f t="shared" si="9"/>
        <v>0</v>
      </c>
      <c r="F122" s="20">
        <f t="shared" si="10"/>
        <v>1</v>
      </c>
      <c r="G122" s="19">
        <f>VLOOKUP($A122,'0.0005'!$A$1:$AE$133,11, FALSE)</f>
        <v>0.99999879999999997</v>
      </c>
      <c r="H122" s="20">
        <f>VLOOKUP($A122,'0.0005'!$A$1:$AE$133,13, FALSE)</f>
        <v>2.3241E-3</v>
      </c>
      <c r="I122" s="20">
        <f>VLOOKUP($A122,'0.0005'!$A$1:$AE$133,17, FALSE)</f>
        <v>1200.2</v>
      </c>
      <c r="J122" s="21">
        <f t="shared" si="15"/>
        <v>0</v>
      </c>
      <c r="K122" s="20">
        <f t="shared" si="16"/>
        <v>1</v>
      </c>
      <c r="L122" s="4">
        <f>VLOOKUP($A122,'0.0001'!$A$1:$AE$133,13, FALSE)</f>
        <v>1</v>
      </c>
      <c r="M122">
        <f>VLOOKUP($A122,'0.0001'!$A$1:$AE$133,15, FALSE)</f>
        <v>2.9250000000000001E-4</v>
      </c>
      <c r="N122">
        <f>VLOOKUP($A122,'0.0001'!$A$1:$AE$133,19, FALSE)</f>
        <v>1200.4000000000001</v>
      </c>
      <c r="O122" s="5">
        <f t="shared" si="11"/>
        <v>0</v>
      </c>
      <c r="P122">
        <f t="shared" si="12"/>
        <v>1</v>
      </c>
      <c r="Q122" s="4">
        <f>VLOOKUP($A122,'0.00001'!$A$1:$AE$133,13, FALSE)</f>
        <v>1</v>
      </c>
      <c r="R122">
        <f>VLOOKUP($A122,'0.00001'!$A$1:$AE$133,15, FALSE)</f>
        <v>3.15E-5</v>
      </c>
      <c r="S122">
        <f>VLOOKUP($A122,'0.00001'!$A$1:$AE$133,19, FALSE)</f>
        <v>1200.2</v>
      </c>
      <c r="T122" s="5">
        <f t="shared" si="13"/>
        <v>0</v>
      </c>
      <c r="U122">
        <f t="shared" si="14"/>
        <v>1</v>
      </c>
    </row>
    <row r="123" spans="1:21" x14ac:dyDescent="0.25">
      <c r="A123" s="9" t="s">
        <v>21</v>
      </c>
      <c r="B123" s="19">
        <f>VLOOKUP($A123,'0.001'!$A$1:$AE$133,13, FALSE)</f>
        <v>1</v>
      </c>
      <c r="C123" s="20">
        <f>VLOOKUP($A123,'0.001'!$A$1:$AE$133,15, FALSE)</f>
        <v>0</v>
      </c>
      <c r="D123" s="20">
        <f>VLOOKUP($A123,'0.001'!$A$1:$AE$133,19, FALSE)</f>
        <v>40.4</v>
      </c>
      <c r="E123" s="21">
        <f t="shared" si="9"/>
        <v>1</v>
      </c>
      <c r="F123" s="20">
        <f t="shared" si="10"/>
        <v>1</v>
      </c>
      <c r="G123" s="19">
        <f>VLOOKUP($A123,'0.0005'!$A$1:$AE$133,11, FALSE)</f>
        <v>0.96883750000000002</v>
      </c>
      <c r="H123" s="20">
        <f>VLOOKUP($A123,'0.0005'!$A$1:$AE$133,13, FALSE)</f>
        <v>3.8585599999999998E-2</v>
      </c>
      <c r="I123" s="20">
        <f>VLOOKUP($A123,'0.0005'!$A$1:$AE$133,17, FALSE)</f>
        <v>1200.2</v>
      </c>
      <c r="J123" s="21">
        <f t="shared" si="15"/>
        <v>0</v>
      </c>
      <c r="K123" s="20">
        <f t="shared" si="16"/>
        <v>0</v>
      </c>
      <c r="L123" s="4">
        <f>VLOOKUP($A123,'0.0001'!$A$1:$AE$133,13, FALSE)</f>
        <v>0.99964319999999995</v>
      </c>
      <c r="M123">
        <f>VLOOKUP($A123,'0.0001'!$A$1:$AE$133,15, FALSE)</f>
        <v>4.1291000000000001E-3</v>
      </c>
      <c r="N123">
        <f>VLOOKUP($A123,'0.0001'!$A$1:$AE$133,19, FALSE)</f>
        <v>1200.2</v>
      </c>
      <c r="O123" s="5">
        <f t="shared" si="11"/>
        <v>0</v>
      </c>
      <c r="P123">
        <f t="shared" si="12"/>
        <v>1</v>
      </c>
      <c r="Q123" s="4">
        <f>VLOOKUP($A123,'0.00001'!$A$1:$AE$133,13, FALSE)</f>
        <v>-6.0600880999999998</v>
      </c>
      <c r="R123">
        <f>VLOOKUP($A123,'0.00001'!$A$1:$AE$133,15, FALSE)</f>
        <v>0.58078370000000001</v>
      </c>
      <c r="S123">
        <f>VLOOKUP($A123,'0.00001'!$A$1:$AE$133,19, FALSE)</f>
        <v>1200.0999999999999</v>
      </c>
      <c r="T123" s="5">
        <f t="shared" si="13"/>
        <v>0</v>
      </c>
      <c r="U123">
        <f t="shared" si="14"/>
        <v>0</v>
      </c>
    </row>
    <row r="124" spans="1:21" x14ac:dyDescent="0.25">
      <c r="A124" s="9" t="s">
        <v>24</v>
      </c>
      <c r="B124" s="19">
        <f>VLOOKUP($A124,'0.001'!$A$1:$AE$133,13, FALSE)</f>
        <v>1</v>
      </c>
      <c r="C124" s="20">
        <f>VLOOKUP($A124,'0.001'!$A$1:$AE$133,15, FALSE)</f>
        <v>0</v>
      </c>
      <c r="D124" s="20">
        <f>VLOOKUP($A124,'0.001'!$A$1:$AE$133,19, FALSE)</f>
        <v>30.3</v>
      </c>
      <c r="E124" s="21">
        <f t="shared" si="9"/>
        <v>1</v>
      </c>
      <c r="F124" s="20">
        <f t="shared" si="10"/>
        <v>1</v>
      </c>
      <c r="G124" s="19">
        <f>VLOOKUP($A124,'0.0005'!$A$1:$AE$133,11, FALSE)</f>
        <v>1</v>
      </c>
      <c r="H124" s="20">
        <f>VLOOKUP($A124,'0.0005'!$A$1:$AE$133,13, FALSE)</f>
        <v>0</v>
      </c>
      <c r="I124" s="20">
        <f>VLOOKUP($A124,'0.0005'!$A$1:$AE$133,17, FALSE)</f>
        <v>45.4</v>
      </c>
      <c r="J124" s="21">
        <f t="shared" si="15"/>
        <v>1</v>
      </c>
      <c r="K124" s="20">
        <f t="shared" si="16"/>
        <v>1</v>
      </c>
      <c r="L124" s="4">
        <f>VLOOKUP($A124,'0.0001'!$A$1:$AE$133,13, FALSE)</f>
        <v>1</v>
      </c>
      <c r="M124">
        <f>VLOOKUP($A124,'0.0001'!$A$1:$AE$133,15, FALSE)</f>
        <v>0</v>
      </c>
      <c r="N124">
        <f>VLOOKUP($A124,'0.0001'!$A$1:$AE$133,19, FALSE)</f>
        <v>335.8</v>
      </c>
      <c r="O124" s="5">
        <f t="shared" si="11"/>
        <v>1</v>
      </c>
      <c r="P124">
        <f t="shared" si="12"/>
        <v>1</v>
      </c>
      <c r="Q124" s="4">
        <f>VLOOKUP($A124,'0.00001'!$A$1:$AE$133,13, FALSE)</f>
        <v>1</v>
      </c>
      <c r="R124">
        <f>VLOOKUP($A124,'0.00001'!$A$1:$AE$133,15, FALSE)</f>
        <v>0</v>
      </c>
      <c r="S124">
        <f>VLOOKUP($A124,'0.00001'!$A$1:$AE$133,19, FALSE)</f>
        <v>277.10000000000002</v>
      </c>
      <c r="T124" s="5">
        <f t="shared" si="13"/>
        <v>1</v>
      </c>
      <c r="U124">
        <f t="shared" si="14"/>
        <v>1</v>
      </c>
    </row>
    <row r="125" spans="1:21" x14ac:dyDescent="0.25">
      <c r="A125" s="9" t="s">
        <v>25</v>
      </c>
      <c r="B125" s="19">
        <f>VLOOKUP($A125,'0.001'!$A$1:$AE$133,13, FALSE)</f>
        <v>1</v>
      </c>
      <c r="C125" s="20">
        <f>VLOOKUP($A125,'0.001'!$A$1:$AE$133,15, FALSE)</f>
        <v>0</v>
      </c>
      <c r="D125" s="20">
        <f>VLOOKUP($A125,'0.001'!$A$1:$AE$133,19, FALSE)</f>
        <v>9.1999999999999993</v>
      </c>
      <c r="E125" s="21">
        <f t="shared" si="9"/>
        <v>1</v>
      </c>
      <c r="F125" s="20">
        <f t="shared" si="10"/>
        <v>1</v>
      </c>
      <c r="G125" s="19">
        <f>VLOOKUP($A125,'0.0005'!$A$1:$AE$133,11, FALSE)</f>
        <v>1</v>
      </c>
      <c r="H125" s="20">
        <f>VLOOKUP($A125,'0.0005'!$A$1:$AE$133,13, FALSE)</f>
        <v>0</v>
      </c>
      <c r="I125" s="20">
        <f>VLOOKUP($A125,'0.0005'!$A$1:$AE$133,17, FALSE)</f>
        <v>9.9</v>
      </c>
      <c r="J125" s="21">
        <f t="shared" si="15"/>
        <v>1</v>
      </c>
      <c r="K125" s="20">
        <f t="shared" si="16"/>
        <v>1</v>
      </c>
      <c r="L125" s="4">
        <f>VLOOKUP($A125,'0.0001'!$A$1:$AE$133,13, FALSE)</f>
        <v>1</v>
      </c>
      <c r="M125">
        <f>VLOOKUP($A125,'0.0001'!$A$1:$AE$133,15, FALSE)</f>
        <v>0</v>
      </c>
      <c r="N125">
        <f>VLOOKUP($A125,'0.0001'!$A$1:$AE$133,19, FALSE)</f>
        <v>9</v>
      </c>
      <c r="O125" s="5">
        <f t="shared" si="11"/>
        <v>1</v>
      </c>
      <c r="P125">
        <f t="shared" si="12"/>
        <v>1</v>
      </c>
      <c r="Q125" s="4">
        <f>VLOOKUP($A125,'0.00001'!$A$1:$AE$133,13, FALSE)</f>
        <v>1</v>
      </c>
      <c r="R125">
        <f>VLOOKUP($A125,'0.00001'!$A$1:$AE$133,15, FALSE)</f>
        <v>0</v>
      </c>
      <c r="S125">
        <f>VLOOKUP($A125,'0.00001'!$A$1:$AE$133,19, FALSE)</f>
        <v>9.4</v>
      </c>
      <c r="T125" s="5">
        <f t="shared" si="13"/>
        <v>1</v>
      </c>
      <c r="U125">
        <f t="shared" si="14"/>
        <v>1</v>
      </c>
    </row>
    <row r="126" spans="1:21" x14ac:dyDescent="0.25">
      <c r="A126" s="9" t="s">
        <v>19</v>
      </c>
      <c r="B126" s="19">
        <f>VLOOKUP($A126,'0.001'!$A$1:$AE$133,13, FALSE)</f>
        <v>1</v>
      </c>
      <c r="C126" s="20">
        <f>VLOOKUP($A126,'0.001'!$A$1:$AE$133,15, FALSE)</f>
        <v>0</v>
      </c>
      <c r="D126" s="20">
        <f>VLOOKUP($A126,'0.001'!$A$1:$AE$133,19, FALSE)</f>
        <v>47.5</v>
      </c>
      <c r="E126" s="21">
        <f t="shared" si="9"/>
        <v>1</v>
      </c>
      <c r="F126" s="20">
        <f t="shared" si="10"/>
        <v>1</v>
      </c>
      <c r="G126" s="19">
        <f>VLOOKUP($A126,'0.0005'!$A$1:$AE$133,11, FALSE)</f>
        <v>1</v>
      </c>
      <c r="H126" s="20">
        <f>VLOOKUP($A126,'0.0005'!$A$1:$AE$133,13, FALSE)</f>
        <v>0</v>
      </c>
      <c r="I126" s="20">
        <f>VLOOKUP($A126,'0.0005'!$A$1:$AE$133,17, FALSE)</f>
        <v>46.7</v>
      </c>
      <c r="J126" s="21">
        <f t="shared" si="15"/>
        <v>1</v>
      </c>
      <c r="K126" s="20">
        <f t="shared" si="16"/>
        <v>1</v>
      </c>
      <c r="L126" s="4">
        <f>VLOOKUP($A126,'0.0001'!$A$1:$AE$133,13, FALSE)</f>
        <v>1</v>
      </c>
      <c r="M126">
        <f>VLOOKUP($A126,'0.0001'!$A$1:$AE$133,15, FALSE)</f>
        <v>0</v>
      </c>
      <c r="N126">
        <f>VLOOKUP($A126,'0.0001'!$A$1:$AE$133,19, FALSE)</f>
        <v>50.1</v>
      </c>
      <c r="O126" s="5">
        <f t="shared" si="11"/>
        <v>1</v>
      </c>
      <c r="P126">
        <f t="shared" si="12"/>
        <v>1</v>
      </c>
      <c r="Q126" s="4">
        <f>VLOOKUP($A126,'0.00001'!$A$1:$AE$133,13, FALSE)</f>
        <v>1</v>
      </c>
      <c r="R126">
        <f>VLOOKUP($A126,'0.00001'!$A$1:$AE$133,15, FALSE)</f>
        <v>0</v>
      </c>
      <c r="S126">
        <f>VLOOKUP($A126,'0.00001'!$A$1:$AE$133,19, FALSE)</f>
        <v>58.7</v>
      </c>
      <c r="T126" s="5">
        <f t="shared" si="13"/>
        <v>1</v>
      </c>
      <c r="U126">
        <f t="shared" si="14"/>
        <v>1</v>
      </c>
    </row>
    <row r="127" spans="1:21" x14ac:dyDescent="0.25">
      <c r="A127" s="9" t="s">
        <v>29</v>
      </c>
      <c r="B127" s="19">
        <f>VLOOKUP($A127,'0.001'!$A$1:$AE$133,13, FALSE)</f>
        <v>1</v>
      </c>
      <c r="C127" s="20">
        <f>VLOOKUP($A127,'0.001'!$A$1:$AE$133,15, FALSE)</f>
        <v>0</v>
      </c>
      <c r="D127" s="20">
        <f>VLOOKUP($A127,'0.001'!$A$1:$AE$133,19, FALSE)</f>
        <v>219.2</v>
      </c>
      <c r="E127" s="21">
        <f t="shared" si="9"/>
        <v>1</v>
      </c>
      <c r="F127" s="20">
        <f t="shared" si="10"/>
        <v>1</v>
      </c>
      <c r="G127" s="19">
        <f>VLOOKUP($A127,'0.0005'!$A$1:$AE$133,11, FALSE)</f>
        <v>1</v>
      </c>
      <c r="H127" s="20">
        <f>VLOOKUP($A127,'0.0005'!$A$1:$AE$133,13, FALSE)</f>
        <v>0</v>
      </c>
      <c r="I127" s="20">
        <f>VLOOKUP($A127,'0.0005'!$A$1:$AE$133,17, FALSE)</f>
        <v>352.4</v>
      </c>
      <c r="J127" s="21">
        <f t="shared" si="15"/>
        <v>1</v>
      </c>
      <c r="K127" s="20">
        <f t="shared" si="16"/>
        <v>1</v>
      </c>
      <c r="L127" s="4">
        <f>VLOOKUP($A127,'0.0001'!$A$1:$AE$133,13, FALSE)</f>
        <v>1</v>
      </c>
      <c r="M127">
        <f>VLOOKUP($A127,'0.0001'!$A$1:$AE$133,15, FALSE)</f>
        <v>0</v>
      </c>
      <c r="N127">
        <f>VLOOKUP($A127,'0.0001'!$A$1:$AE$133,19, FALSE)</f>
        <v>103.8</v>
      </c>
      <c r="O127" s="5">
        <f t="shared" si="11"/>
        <v>1</v>
      </c>
      <c r="P127">
        <f t="shared" si="12"/>
        <v>1</v>
      </c>
      <c r="Q127" s="4">
        <f>VLOOKUP($A127,'0.00001'!$A$1:$AE$133,13, FALSE)</f>
        <v>1</v>
      </c>
      <c r="R127">
        <f>VLOOKUP($A127,'0.00001'!$A$1:$AE$133,15, FALSE)</f>
        <v>0</v>
      </c>
      <c r="S127">
        <f>VLOOKUP($A127,'0.00001'!$A$1:$AE$133,19, FALSE)</f>
        <v>72.400000000000006</v>
      </c>
      <c r="T127" s="5">
        <f t="shared" si="13"/>
        <v>1</v>
      </c>
      <c r="U127">
        <f t="shared" si="14"/>
        <v>1</v>
      </c>
    </row>
    <row r="128" spans="1:21" x14ac:dyDescent="0.25">
      <c r="A128" s="9" t="s">
        <v>27</v>
      </c>
      <c r="B128" s="19">
        <f>VLOOKUP($A128,'0.001'!$A$1:$AE$133,13, FALSE)</f>
        <v>1</v>
      </c>
      <c r="C128" s="20">
        <f>VLOOKUP($A128,'0.001'!$A$1:$AE$133,15, FALSE)</f>
        <v>0</v>
      </c>
      <c r="D128" s="20">
        <f>VLOOKUP($A128,'0.001'!$A$1:$AE$133,19, FALSE)</f>
        <v>28.3</v>
      </c>
      <c r="E128" s="21">
        <f t="shared" si="9"/>
        <v>1</v>
      </c>
      <c r="F128" s="20">
        <f t="shared" si="10"/>
        <v>1</v>
      </c>
      <c r="G128" s="19">
        <f>VLOOKUP($A128,'0.0005'!$A$1:$AE$133,11, FALSE)</f>
        <v>1</v>
      </c>
      <c r="H128" s="20">
        <f>VLOOKUP($A128,'0.0005'!$A$1:$AE$133,13, FALSE)</f>
        <v>0</v>
      </c>
      <c r="I128" s="20">
        <f>VLOOKUP($A128,'0.0005'!$A$1:$AE$133,17, FALSE)</f>
        <v>28.4</v>
      </c>
      <c r="J128" s="21">
        <f t="shared" si="15"/>
        <v>1</v>
      </c>
      <c r="K128" s="20">
        <f t="shared" si="16"/>
        <v>1</v>
      </c>
      <c r="L128" s="4">
        <f>VLOOKUP($A128,'0.0001'!$A$1:$AE$133,13, FALSE)</f>
        <v>1</v>
      </c>
      <c r="M128">
        <f>VLOOKUP($A128,'0.0001'!$A$1:$AE$133,15, FALSE)</f>
        <v>0</v>
      </c>
      <c r="N128">
        <f>VLOOKUP($A128,'0.0001'!$A$1:$AE$133,19, FALSE)</f>
        <v>33.6</v>
      </c>
      <c r="O128" s="5">
        <f t="shared" si="11"/>
        <v>1</v>
      </c>
      <c r="P128">
        <f t="shared" si="12"/>
        <v>1</v>
      </c>
      <c r="Q128" s="4">
        <f>VLOOKUP($A128,'0.00001'!$A$1:$AE$133,13, FALSE)</f>
        <v>1</v>
      </c>
      <c r="R128">
        <f>VLOOKUP($A128,'0.00001'!$A$1:$AE$133,15, FALSE)</f>
        <v>0</v>
      </c>
      <c r="S128">
        <f>VLOOKUP($A128,'0.00001'!$A$1:$AE$133,19, FALSE)</f>
        <v>40.1</v>
      </c>
      <c r="T128" s="5">
        <f t="shared" si="13"/>
        <v>1</v>
      </c>
      <c r="U128">
        <f t="shared" si="14"/>
        <v>1</v>
      </c>
    </row>
    <row r="129" spans="1:21" x14ac:dyDescent="0.25">
      <c r="A129" s="9" t="s">
        <v>31</v>
      </c>
      <c r="B129" s="19">
        <f>VLOOKUP($A129,'0.001'!$A$1:$AE$133,13, FALSE)</f>
        <v>0.99826720000000002</v>
      </c>
      <c r="C129" s="20">
        <f>VLOOKUP($A129,'0.001'!$A$1:$AE$133,15, FALSE)</f>
        <v>9.1427800000000004E-2</v>
      </c>
      <c r="D129" s="20">
        <f>VLOOKUP($A129,'0.001'!$A$1:$AE$133,19, FALSE)</f>
        <v>1200.5999999999999</v>
      </c>
      <c r="E129" s="21">
        <f t="shared" si="9"/>
        <v>0</v>
      </c>
      <c r="F129" s="20">
        <f t="shared" si="10"/>
        <v>0</v>
      </c>
      <c r="G129" s="19">
        <f>VLOOKUP($A129,'0.0005'!$A$1:$AE$133,11, FALSE)</f>
        <v>0.99704720000000002</v>
      </c>
      <c r="H129" s="20">
        <f>VLOOKUP($A129,'0.0005'!$A$1:$AE$133,13, FALSE)</f>
        <v>0.1193488</v>
      </c>
      <c r="I129" s="20">
        <f>VLOOKUP($A129,'0.0005'!$A$1:$AE$133,17, FALSE)</f>
        <v>1201.0999999999999</v>
      </c>
      <c r="J129" s="21">
        <f t="shared" si="15"/>
        <v>0</v>
      </c>
      <c r="K129" s="20">
        <f t="shared" si="16"/>
        <v>0</v>
      </c>
      <c r="L129" s="4">
        <f>VLOOKUP($A129,'0.0001'!$A$1:$AE$133,13, FALSE)</f>
        <v>0.99903109999999995</v>
      </c>
      <c r="M129">
        <f>VLOOKUP($A129,'0.0001'!$A$1:$AE$133,15, FALSE)</f>
        <v>6.8365099999999998E-2</v>
      </c>
      <c r="N129">
        <f>VLOOKUP($A129,'0.0001'!$A$1:$AE$133,19, FALSE)</f>
        <v>1200.2</v>
      </c>
      <c r="O129" s="5">
        <f t="shared" si="11"/>
        <v>0</v>
      </c>
      <c r="P129">
        <f t="shared" si="12"/>
        <v>1</v>
      </c>
      <c r="Q129" s="4" t="str">
        <f>VLOOKUP($A129,'0.00001'!$A$1:$AE$133,13, FALSE)</f>
        <v>nan</v>
      </c>
      <c r="R129" t="str">
        <f>VLOOKUP($A129,'0.00001'!$A$1:$AE$133,15, FALSE)</f>
        <v>nan</v>
      </c>
      <c r="S129">
        <f>VLOOKUP($A129,'0.00001'!$A$1:$AE$133,19, FALSE)</f>
        <v>1201.2</v>
      </c>
      <c r="T129" s="5">
        <f t="shared" si="13"/>
        <v>0</v>
      </c>
      <c r="U129">
        <f t="shared" si="14"/>
        <v>1</v>
      </c>
    </row>
    <row r="130" spans="1:21" x14ac:dyDescent="0.25">
      <c r="A130" s="9" t="s">
        <v>28</v>
      </c>
      <c r="B130" s="19">
        <f>VLOOKUP($A130,'0.001'!$A$1:$AE$133,13, FALSE)</f>
        <v>0.99993469999999995</v>
      </c>
      <c r="C130" s="20">
        <f>VLOOKUP($A130,'0.001'!$A$1:$AE$133,15, FALSE)</f>
        <v>1.24003E-2</v>
      </c>
      <c r="D130" s="20">
        <f>VLOOKUP($A130,'0.001'!$A$1:$AE$133,19, FALSE)</f>
        <v>1200.5</v>
      </c>
      <c r="E130" s="21">
        <f t="shared" si="9"/>
        <v>0</v>
      </c>
      <c r="F130" s="20">
        <f t="shared" si="10"/>
        <v>1</v>
      </c>
      <c r="G130" s="19">
        <f>VLOOKUP($A130,'0.0005'!$A$1:$AE$133,11, FALSE)</f>
        <v>1</v>
      </c>
      <c r="H130" s="20">
        <f>VLOOKUP($A130,'0.0005'!$A$1:$AE$133,13, FALSE)</f>
        <v>0</v>
      </c>
      <c r="I130" s="20">
        <f>VLOOKUP($A130,'0.0005'!$A$1:$AE$133,17, FALSE)</f>
        <v>351.4</v>
      </c>
      <c r="J130" s="21">
        <f t="shared" si="15"/>
        <v>1</v>
      </c>
      <c r="K130" s="20">
        <f t="shared" si="16"/>
        <v>1</v>
      </c>
      <c r="L130" s="4">
        <f>VLOOKUP($A130,'0.0001'!$A$1:$AE$133,13, FALSE)</f>
        <v>0.99999919999999998</v>
      </c>
      <c r="M130">
        <f>VLOOKUP($A130,'0.0001'!$A$1:$AE$133,15, FALSE)</f>
        <v>1.3431000000000001E-3</v>
      </c>
      <c r="N130">
        <f>VLOOKUP($A130,'0.0001'!$A$1:$AE$133,19, FALSE)</f>
        <v>1200.3</v>
      </c>
      <c r="O130" s="5">
        <f t="shared" si="11"/>
        <v>0</v>
      </c>
      <c r="P130">
        <f t="shared" si="12"/>
        <v>1</v>
      </c>
      <c r="Q130" s="4">
        <f>VLOOKUP($A130,'0.00001'!$A$1:$AE$133,13, FALSE)</f>
        <v>0.99971169999999998</v>
      </c>
      <c r="R130">
        <f>VLOOKUP($A130,'0.00001'!$A$1:$AE$133,15, FALSE)</f>
        <v>2.6048700000000001E-2</v>
      </c>
      <c r="S130">
        <f>VLOOKUP($A130,'0.00001'!$A$1:$AE$133,19, FALSE)</f>
        <v>1200.7</v>
      </c>
      <c r="T130" s="5">
        <f t="shared" si="13"/>
        <v>0</v>
      </c>
      <c r="U130">
        <f t="shared" si="14"/>
        <v>1</v>
      </c>
    </row>
    <row r="131" spans="1:21" x14ac:dyDescent="0.25">
      <c r="A131" s="9" t="s">
        <v>23</v>
      </c>
      <c r="B131" s="19">
        <f>VLOOKUP($A131,'0.001'!$A$1:$AE$133,13, FALSE)</f>
        <v>0.65320900000000004</v>
      </c>
      <c r="C131" s="20">
        <f>VLOOKUP($A131,'0.001'!$A$1:$AE$133,15, FALSE)</f>
        <v>0.3402094</v>
      </c>
      <c r="D131" s="20">
        <f>VLOOKUP($A131,'0.001'!$A$1:$AE$133,19, FALSE)</f>
        <v>1200.2</v>
      </c>
      <c r="E131" s="21">
        <f t="shared" ref="E131:E134" si="17">IF(AND(B131=1,C131=0),1,0)</f>
        <v>0</v>
      </c>
      <c r="F131" s="20">
        <f t="shared" ref="F131:F134" si="18">IF(B131&gt;0.999,1,0)</f>
        <v>0</v>
      </c>
      <c r="G131" s="19">
        <f>VLOOKUP($A131,'0.0005'!$A$1:$AE$133,11, FALSE)</f>
        <v>0.8966151</v>
      </c>
      <c r="H131" s="20">
        <f>VLOOKUP($A131,'0.0005'!$A$1:$AE$133,13, FALSE)</f>
        <v>0.18575520000000001</v>
      </c>
      <c r="I131" s="20">
        <f>VLOOKUP($A131,'0.0005'!$A$1:$AE$133,17, FALSE)</f>
        <v>1200.0999999999999</v>
      </c>
      <c r="J131" s="21">
        <f t="shared" si="15"/>
        <v>0</v>
      </c>
      <c r="K131" s="20">
        <f t="shared" si="16"/>
        <v>0</v>
      </c>
      <c r="L131" s="4">
        <f>VLOOKUP($A131,'0.0001'!$A$1:$AE$133,13, FALSE)</f>
        <v>0.8470183</v>
      </c>
      <c r="M131">
        <f>VLOOKUP($A131,'0.0001'!$A$1:$AE$133,15, FALSE)</f>
        <v>0.2259603</v>
      </c>
      <c r="N131">
        <f>VLOOKUP($A131,'0.0001'!$A$1:$AE$133,19, FALSE)</f>
        <v>1200.7</v>
      </c>
      <c r="O131" s="5">
        <f t="shared" ref="O131:O134" si="19">IF(AND(L131=1,M131=0),1,0)</f>
        <v>0</v>
      </c>
      <c r="P131">
        <f t="shared" ref="P131:P134" si="20">IF(L131&gt;0.999,1,0)</f>
        <v>0</v>
      </c>
      <c r="Q131" s="4">
        <f>VLOOKUP($A131,'0.00001'!$A$1:$AE$133,13, FALSE)</f>
        <v>-2.9575033999999998</v>
      </c>
      <c r="R131">
        <f>VLOOKUP($A131,'0.00001'!$A$1:$AE$133,15, FALSE)</f>
        <v>1.1492726</v>
      </c>
      <c r="S131">
        <f>VLOOKUP($A131,'0.00001'!$A$1:$AE$133,19, FALSE)</f>
        <v>1200.3</v>
      </c>
      <c r="T131" s="5">
        <f t="shared" ref="T131:T134" si="21">IF(AND(Q131=1,R131=0),1,0)</f>
        <v>0</v>
      </c>
      <c r="U131">
        <f t="shared" ref="U131:U134" si="22">IF(Q131&gt;0.999,1,0)</f>
        <v>0</v>
      </c>
    </row>
    <row r="132" spans="1:21" x14ac:dyDescent="0.25">
      <c r="A132" s="9" t="s">
        <v>20</v>
      </c>
      <c r="B132" s="19"/>
      <c r="C132" s="20" t="str">
        <f>VLOOKUP($A132,'0.001'!$A$1:$AE$133,15, FALSE)</f>
        <v>inf</v>
      </c>
      <c r="D132" s="20">
        <f>VLOOKUP($A132,'0.001'!$A$1:$AE$133,19, FALSE)</f>
        <v>1200</v>
      </c>
      <c r="E132" s="21">
        <f t="shared" si="17"/>
        <v>0</v>
      </c>
      <c r="F132" s="20">
        <f t="shared" si="18"/>
        <v>0</v>
      </c>
      <c r="G132" s="19">
        <f>VLOOKUP($A132,'0.0005'!$A$1:$AE$133,11, FALSE)</f>
        <v>1</v>
      </c>
      <c r="H132" s="20">
        <f>VLOOKUP($A132,'0.0005'!$A$1:$AE$133,13, FALSE)</f>
        <v>0</v>
      </c>
      <c r="I132" s="20">
        <f>VLOOKUP($A132,'0.0005'!$A$1:$AE$133,17, FALSE)</f>
        <v>574.20000000000005</v>
      </c>
      <c r="J132" s="21">
        <f t="shared" si="15"/>
        <v>1</v>
      </c>
      <c r="K132" s="20">
        <f t="shared" si="16"/>
        <v>1</v>
      </c>
      <c r="L132" s="4">
        <f>VLOOKUP($A132,'0.0001'!$A$1:$AE$133,13, FALSE)</f>
        <v>1</v>
      </c>
      <c r="M132">
        <f>VLOOKUP($A132,'0.0001'!$A$1:$AE$133,15, FALSE)</f>
        <v>0</v>
      </c>
      <c r="N132">
        <f>VLOOKUP($A132,'0.0001'!$A$1:$AE$133,19, FALSE)</f>
        <v>430.9</v>
      </c>
      <c r="O132" s="5">
        <f t="shared" si="19"/>
        <v>1</v>
      </c>
      <c r="P132">
        <f t="shared" si="20"/>
        <v>1</v>
      </c>
      <c r="Q132" s="4">
        <f>VLOOKUP($A132,'0.00001'!$A$1:$AE$133,13, FALSE)</f>
        <v>-12.925242300000001</v>
      </c>
      <c r="R132">
        <f>VLOOKUP($A132,'0.00001'!$A$1:$AE$133,15, FALSE)</f>
        <v>0.89422449999999998</v>
      </c>
      <c r="S132">
        <f>VLOOKUP($A132,'0.00001'!$A$1:$AE$133,19, FALSE)</f>
        <v>1200.9000000000001</v>
      </c>
      <c r="T132" s="5">
        <f t="shared" si="21"/>
        <v>0</v>
      </c>
      <c r="U132">
        <f t="shared" si="22"/>
        <v>0</v>
      </c>
    </row>
    <row r="133" spans="1:21" x14ac:dyDescent="0.25">
      <c r="A133" s="9" t="s">
        <v>30</v>
      </c>
      <c r="B133" s="19">
        <f>VLOOKUP($A133,'0.001'!$A$1:$AE$133,13, FALSE)</f>
        <v>1</v>
      </c>
      <c r="C133" s="20">
        <f>VLOOKUP($A133,'0.001'!$A$1:$AE$133,15, FALSE)</f>
        <v>0</v>
      </c>
      <c r="D133" s="20">
        <f>VLOOKUP($A133,'0.001'!$A$1:$AE$133,19, FALSE)</f>
        <v>763.8</v>
      </c>
      <c r="E133" s="21">
        <f t="shared" si="17"/>
        <v>1</v>
      </c>
      <c r="F133" s="20">
        <f t="shared" si="18"/>
        <v>1</v>
      </c>
      <c r="G133" s="19">
        <f>VLOOKUP($A133,'0.0005'!$A$1:$AE$133,11, FALSE)</f>
        <v>1</v>
      </c>
      <c r="H133" s="20">
        <f>VLOOKUP($A133,'0.0005'!$A$1:$AE$133,13, FALSE)</f>
        <v>0</v>
      </c>
      <c r="I133" s="20">
        <f>VLOOKUP($A133,'0.0005'!$A$1:$AE$133,17, FALSE)</f>
        <v>790.5</v>
      </c>
      <c r="J133" s="21">
        <f t="shared" si="15"/>
        <v>1</v>
      </c>
      <c r="K133" s="20">
        <f t="shared" si="16"/>
        <v>1</v>
      </c>
      <c r="L133" s="4">
        <f>VLOOKUP($A133,'0.0001'!$A$1:$AE$133,13, FALSE)</f>
        <v>1</v>
      </c>
      <c r="M133">
        <f>VLOOKUP($A133,'0.0001'!$A$1:$AE$133,15, FALSE)</f>
        <v>0</v>
      </c>
      <c r="N133">
        <f>VLOOKUP($A133,'0.0001'!$A$1:$AE$133,19, FALSE)</f>
        <v>188.3</v>
      </c>
      <c r="O133" s="5">
        <f t="shared" si="19"/>
        <v>1</v>
      </c>
      <c r="P133">
        <f t="shared" si="20"/>
        <v>1</v>
      </c>
      <c r="Q133" s="4">
        <f>VLOOKUP($A133,'0.00001'!$A$1:$AE$133,13, FALSE)</f>
        <v>1</v>
      </c>
      <c r="R133">
        <f>VLOOKUP($A133,'0.00001'!$A$1:$AE$133,15, FALSE)</f>
        <v>2.9999999999999999E-7</v>
      </c>
      <c r="S133">
        <f>VLOOKUP($A133,'0.00001'!$A$1:$AE$133,19, FALSE)</f>
        <v>147.80000000000001</v>
      </c>
      <c r="T133" s="5">
        <f t="shared" si="21"/>
        <v>0</v>
      </c>
      <c r="U133">
        <f t="shared" si="22"/>
        <v>1</v>
      </c>
    </row>
    <row r="134" spans="1:21" ht="15.75" thickBot="1" x14ac:dyDescent="0.3">
      <c r="A134" s="10" t="s">
        <v>18</v>
      </c>
      <c r="B134" s="19">
        <f>VLOOKUP($A134,'0.001'!$A$1:$AE$133,13, FALSE)</f>
        <v>1</v>
      </c>
      <c r="C134" s="20">
        <f>VLOOKUP($A134,'0.001'!$A$1:$AE$133,15, FALSE)</f>
        <v>0</v>
      </c>
      <c r="D134" s="20">
        <f>VLOOKUP($A134,'0.001'!$A$1:$AE$133,19, FALSE)</f>
        <v>0.3</v>
      </c>
      <c r="E134" s="26">
        <f t="shared" si="17"/>
        <v>1</v>
      </c>
      <c r="F134" s="20">
        <f t="shared" si="18"/>
        <v>1</v>
      </c>
      <c r="G134" s="19">
        <f>VLOOKUP($A134,'0.0005'!$A$1:$AE$133,11, FALSE)</f>
        <v>1</v>
      </c>
      <c r="H134" s="20">
        <f>VLOOKUP($A134,'0.0005'!$A$1:$AE$133,13, FALSE)</f>
        <v>0</v>
      </c>
      <c r="I134" s="20">
        <f>VLOOKUP($A134,'0.0005'!$A$1:$AE$133,17, FALSE)</f>
        <v>0.4</v>
      </c>
      <c r="J134" s="26">
        <f t="shared" ref="J134" si="23">IF(AND(G134=1,H134=0),1,0)</f>
        <v>1</v>
      </c>
      <c r="K134" s="20">
        <f t="shared" ref="K134" si="24">IF(G134&gt;0.999,1,0)</f>
        <v>1</v>
      </c>
      <c r="L134" s="4">
        <f>VLOOKUP($A134,'0.0001'!$A$1:$AE$133,13, FALSE)</f>
        <v>1</v>
      </c>
      <c r="M134">
        <f>VLOOKUP($A134,'0.0001'!$A$1:$AE$133,15, FALSE)</f>
        <v>0</v>
      </c>
      <c r="N134">
        <f>VLOOKUP($A134,'0.0001'!$A$1:$AE$133,19, FALSE)</f>
        <v>0.4</v>
      </c>
      <c r="O134" s="6">
        <f t="shared" si="19"/>
        <v>1</v>
      </c>
      <c r="P134">
        <f t="shared" si="20"/>
        <v>1</v>
      </c>
      <c r="Q134" s="4">
        <f>VLOOKUP($A134,'0.00001'!$A$1:$AE$133,13, FALSE)</f>
        <v>1</v>
      </c>
      <c r="R134">
        <f>VLOOKUP($A134,'0.00001'!$A$1:$AE$133,15, FALSE)</f>
        <v>0</v>
      </c>
      <c r="S134">
        <f>VLOOKUP($A134,'0.00001'!$A$1:$AE$133,19, FALSE)</f>
        <v>0.3</v>
      </c>
      <c r="T134" s="6">
        <f t="shared" si="21"/>
        <v>1</v>
      </c>
      <c r="U134">
        <f t="shared" si="22"/>
        <v>1</v>
      </c>
    </row>
  </sheetData>
  <sortState xmlns:xlrd2="http://schemas.microsoft.com/office/spreadsheetml/2017/richdata2" ref="A5:A136">
    <sortCondition ref="A5:A136"/>
  </sortState>
  <mergeCells count="4">
    <mergeCell ref="L3:O3"/>
    <mergeCell ref="Q3:T3"/>
    <mergeCell ref="G3:J3"/>
    <mergeCell ref="B3:E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1A10E-5369-450E-B926-68685F4F5C9B}">
  <dimension ref="V245:AF447"/>
  <sheetViews>
    <sheetView workbookViewId="0">
      <selection activeCell="Q9" sqref="Q9"/>
    </sheetView>
  </sheetViews>
  <sheetFormatPr defaultRowHeight="15" x14ac:dyDescent="0.25"/>
  <cols>
    <col min="1" max="1" width="32.85546875" customWidth="1"/>
    <col min="2" max="2" width="9.140625" customWidth="1"/>
    <col min="3" max="3" width="16.85546875" customWidth="1"/>
    <col min="4" max="4" width="6.7109375" customWidth="1"/>
    <col min="5" max="5" width="10" bestFit="1" customWidth="1"/>
    <col min="6" max="6" width="5.5703125" customWidth="1"/>
    <col min="7" max="7" width="6.85546875" customWidth="1"/>
    <col min="8" max="8" width="5" customWidth="1"/>
    <col min="9" max="9" width="7.42578125" customWidth="1"/>
    <col min="10" max="10" width="6.85546875" customWidth="1"/>
    <col min="11" max="11" width="5.42578125" customWidth="1"/>
    <col min="12" max="12" width="7" customWidth="1"/>
    <col min="13" max="13" width="10.5703125" customWidth="1"/>
    <col min="14" max="14" width="11.42578125" customWidth="1"/>
    <col min="15" max="15" width="10.140625" customWidth="1"/>
    <col min="17" max="17" width="65.5703125" customWidth="1"/>
    <col min="23" max="23" width="20.7109375" customWidth="1"/>
    <col min="25" max="25" width="12" customWidth="1"/>
    <col min="33" max="33" width="17.28515625" customWidth="1"/>
    <col min="35" max="35" width="13.140625" customWidth="1"/>
  </cols>
  <sheetData>
    <row r="245" spans="22:32" x14ac:dyDescent="0.25">
      <c r="V245" t="s">
        <v>8</v>
      </c>
    </row>
    <row r="249" spans="22:32" x14ac:dyDescent="0.25">
      <c r="V249" t="s">
        <v>9</v>
      </c>
      <c r="W249" t="s">
        <v>10</v>
      </c>
      <c r="X249" t="s">
        <v>11</v>
      </c>
      <c r="Y249" t="s">
        <v>12</v>
      </c>
      <c r="Z249" t="s">
        <v>13</v>
      </c>
      <c r="AA249" t="s">
        <v>14</v>
      </c>
      <c r="AB249" t="s">
        <v>10</v>
      </c>
      <c r="AC249" t="s">
        <v>9</v>
      </c>
    </row>
    <row r="254" spans="22:32" x14ac:dyDescent="0.25">
      <c r="V254" t="s">
        <v>15</v>
      </c>
      <c r="W254" t="s">
        <v>16</v>
      </c>
      <c r="X254" t="s">
        <v>9</v>
      </c>
      <c r="Y254" t="s">
        <v>4</v>
      </c>
      <c r="Z254">
        <v>0.64500000000000002</v>
      </c>
      <c r="AA254" t="s">
        <v>5</v>
      </c>
      <c r="AB254">
        <v>0.76200000000000001</v>
      </c>
      <c r="AC254" t="s">
        <v>6</v>
      </c>
      <c r="AD254">
        <v>0.80100000000000005</v>
      </c>
      <c r="AE254" t="s">
        <v>7</v>
      </c>
      <c r="AF254">
        <v>0.80100000000000005</v>
      </c>
    </row>
    <row r="255" spans="22:32" x14ac:dyDescent="0.25">
      <c r="V255" t="s">
        <v>6</v>
      </c>
      <c r="W255">
        <v>0.38900000000000001</v>
      </c>
      <c r="X255" t="s">
        <v>7</v>
      </c>
      <c r="Y255">
        <v>0.33700000000000002</v>
      </c>
    </row>
    <row r="319" spans="22:23" x14ac:dyDescent="0.25">
      <c r="V319" t="s">
        <v>5</v>
      </c>
      <c r="W319">
        <v>0.998</v>
      </c>
    </row>
    <row r="321" spans="22:22" x14ac:dyDescent="0.25">
      <c r="V321">
        <v>0.98399999999999999</v>
      </c>
    </row>
    <row r="361" spans="22:23" x14ac:dyDescent="0.25">
      <c r="V361">
        <v>0.84899999999999998</v>
      </c>
    </row>
    <row r="362" spans="22:23" x14ac:dyDescent="0.25">
      <c r="V362" t="s">
        <v>5</v>
      </c>
      <c r="W362">
        <v>0.47399999999999998</v>
      </c>
    </row>
    <row r="379" spans="22:23" x14ac:dyDescent="0.25">
      <c r="V379" t="s">
        <v>5</v>
      </c>
      <c r="W379">
        <v>0.86699999999999999</v>
      </c>
    </row>
    <row r="381" spans="22:23" x14ac:dyDescent="0.25">
      <c r="V381">
        <v>0.82799999999999996</v>
      </c>
    </row>
    <row r="382" spans="22:23" x14ac:dyDescent="0.25">
      <c r="V382" t="s">
        <v>5</v>
      </c>
      <c r="W382">
        <v>0.77900000000000003</v>
      </c>
    </row>
    <row r="410" spans="22:22" x14ac:dyDescent="0.25">
      <c r="V410">
        <v>0.97799999999999998</v>
      </c>
    </row>
    <row r="414" spans="22:22" x14ac:dyDescent="0.25">
      <c r="V414">
        <v>0.83099999999999996</v>
      </c>
    </row>
    <row r="417" spans="22:22" x14ac:dyDescent="0.25">
      <c r="V417">
        <v>0.66100000000000003</v>
      </c>
    </row>
    <row r="425" spans="22:22" x14ac:dyDescent="0.25">
      <c r="V425">
        <v>0.67400000000000004</v>
      </c>
    </row>
    <row r="439" spans="22:24" x14ac:dyDescent="0.25">
      <c r="V439">
        <v>11.416</v>
      </c>
      <c r="W439" t="s">
        <v>5</v>
      </c>
      <c r="X439">
        <v>0.373</v>
      </c>
    </row>
    <row r="440" spans="22:24" x14ac:dyDescent="0.25">
      <c r="V440">
        <v>0.71099999999999997</v>
      </c>
    </row>
    <row r="447" spans="22:24" x14ac:dyDescent="0.25">
      <c r="V447">
        <v>0.77100000000000002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80E60-41BE-41A1-A6BA-C30F23AD950B}">
  <dimension ref="A1:AE133"/>
  <sheetViews>
    <sheetView topLeftCell="A28" workbookViewId="0">
      <selection activeCell="A41" sqref="A41:XFD41"/>
    </sheetView>
  </sheetViews>
  <sheetFormatPr defaultRowHeight="15" x14ac:dyDescent="0.25"/>
  <cols>
    <col min="1" max="1" width="29.85546875" customWidth="1"/>
  </cols>
  <sheetData>
    <row r="1" spans="1:31" x14ac:dyDescent="0.25">
      <c r="A1" t="s">
        <v>23</v>
      </c>
      <c r="B1" t="s">
        <v>189</v>
      </c>
      <c r="C1">
        <v>1200</v>
      </c>
      <c r="D1" t="s">
        <v>190</v>
      </c>
      <c r="E1">
        <v>1000000</v>
      </c>
      <c r="F1" t="s">
        <v>191</v>
      </c>
      <c r="G1">
        <v>12345</v>
      </c>
      <c r="H1" t="s">
        <v>216</v>
      </c>
      <c r="I1">
        <v>1</v>
      </c>
      <c r="J1" t="s">
        <v>192</v>
      </c>
      <c r="K1">
        <v>1E-3</v>
      </c>
      <c r="L1" t="s">
        <v>3</v>
      </c>
      <c r="M1">
        <v>0.65320900000000004</v>
      </c>
      <c r="N1" t="s">
        <v>2</v>
      </c>
      <c r="O1">
        <v>0.3402094</v>
      </c>
      <c r="P1" t="s">
        <v>17</v>
      </c>
      <c r="Q1">
        <v>31</v>
      </c>
      <c r="R1" t="s">
        <v>0</v>
      </c>
      <c r="S1">
        <v>1200.2</v>
      </c>
      <c r="T1" t="s">
        <v>152</v>
      </c>
      <c r="U1">
        <v>27</v>
      </c>
      <c r="V1" t="s">
        <v>153</v>
      </c>
      <c r="W1">
        <v>217</v>
      </c>
      <c r="X1" t="s">
        <v>151</v>
      </c>
      <c r="Y1">
        <v>336500</v>
      </c>
      <c r="Z1" t="s">
        <v>1</v>
      </c>
      <c r="AA1" t="s">
        <v>268</v>
      </c>
      <c r="AB1" t="s">
        <v>4</v>
      </c>
      <c r="AC1">
        <v>0.98078759999999998</v>
      </c>
      <c r="AD1" t="s">
        <v>5</v>
      </c>
      <c r="AE1">
        <v>9.0158799999999997E-2</v>
      </c>
    </row>
    <row r="2" spans="1:31" x14ac:dyDescent="0.25">
      <c r="A2" t="s">
        <v>33</v>
      </c>
      <c r="B2" t="s">
        <v>189</v>
      </c>
      <c r="C2">
        <v>1200</v>
      </c>
      <c r="D2" t="s">
        <v>190</v>
      </c>
      <c r="E2">
        <v>1000000</v>
      </c>
      <c r="F2" t="s">
        <v>191</v>
      </c>
      <c r="G2">
        <v>12345</v>
      </c>
      <c r="H2" t="s">
        <v>216</v>
      </c>
      <c r="I2">
        <v>1</v>
      </c>
      <c r="J2" t="s">
        <v>192</v>
      </c>
      <c r="K2">
        <v>1E-3</v>
      </c>
      <c r="L2" t="s">
        <v>3</v>
      </c>
      <c r="M2">
        <v>1</v>
      </c>
      <c r="N2" t="s">
        <v>2</v>
      </c>
      <c r="O2">
        <v>0</v>
      </c>
      <c r="P2" t="s">
        <v>17</v>
      </c>
      <c r="Q2">
        <v>6</v>
      </c>
      <c r="R2" t="s">
        <v>0</v>
      </c>
      <c r="S2">
        <v>2.8</v>
      </c>
      <c r="T2" t="s">
        <v>152</v>
      </c>
      <c r="U2">
        <v>1</v>
      </c>
      <c r="V2" t="s">
        <v>153</v>
      </c>
      <c r="W2">
        <v>2</v>
      </c>
      <c r="X2" t="s">
        <v>151</v>
      </c>
      <c r="Y2">
        <v>540</v>
      </c>
      <c r="Z2" t="s">
        <v>1</v>
      </c>
      <c r="AA2" t="s">
        <v>159</v>
      </c>
      <c r="AB2" t="s">
        <v>4</v>
      </c>
      <c r="AC2">
        <v>1</v>
      </c>
      <c r="AD2" t="s">
        <v>5</v>
      </c>
      <c r="AE2">
        <v>0</v>
      </c>
    </row>
    <row r="3" spans="1:31" x14ac:dyDescent="0.25">
      <c r="A3" t="s">
        <v>43</v>
      </c>
      <c r="B3" t="s">
        <v>189</v>
      </c>
      <c r="C3">
        <v>1200</v>
      </c>
      <c r="D3" t="s">
        <v>190</v>
      </c>
      <c r="E3">
        <v>1000000</v>
      </c>
      <c r="F3" t="s">
        <v>191</v>
      </c>
      <c r="G3">
        <v>12345</v>
      </c>
      <c r="H3" t="s">
        <v>216</v>
      </c>
      <c r="I3">
        <v>1</v>
      </c>
      <c r="J3" t="s">
        <v>192</v>
      </c>
      <c r="K3">
        <v>1E-3</v>
      </c>
      <c r="L3" t="s">
        <v>3</v>
      </c>
      <c r="M3">
        <v>1</v>
      </c>
      <c r="N3" t="s">
        <v>2</v>
      </c>
      <c r="O3">
        <v>0</v>
      </c>
      <c r="P3" t="s">
        <v>17</v>
      </c>
      <c r="Q3">
        <v>8</v>
      </c>
      <c r="R3" t="s">
        <v>0</v>
      </c>
      <c r="S3">
        <v>5.4</v>
      </c>
      <c r="T3" t="s">
        <v>152</v>
      </c>
      <c r="U3">
        <v>1</v>
      </c>
      <c r="V3" t="s">
        <v>153</v>
      </c>
      <c r="W3">
        <v>3</v>
      </c>
      <c r="X3" t="s">
        <v>151</v>
      </c>
      <c r="Y3">
        <v>1038</v>
      </c>
      <c r="Z3" t="s">
        <v>1</v>
      </c>
      <c r="AA3" t="s">
        <v>172</v>
      </c>
      <c r="AB3" t="s">
        <v>4</v>
      </c>
      <c r="AC3">
        <v>1</v>
      </c>
      <c r="AD3" t="s">
        <v>5</v>
      </c>
      <c r="AE3">
        <v>0</v>
      </c>
    </row>
    <row r="4" spans="1:31" x14ac:dyDescent="0.25">
      <c r="A4" t="s">
        <v>53</v>
      </c>
      <c r="B4" t="s">
        <v>189</v>
      </c>
      <c r="C4">
        <v>1200</v>
      </c>
      <c r="D4" t="s">
        <v>190</v>
      </c>
      <c r="E4">
        <v>1000000</v>
      </c>
      <c r="F4" t="s">
        <v>191</v>
      </c>
      <c r="G4">
        <v>12345</v>
      </c>
      <c r="H4" t="s">
        <v>216</v>
      </c>
      <c r="I4">
        <v>1</v>
      </c>
      <c r="J4" t="s">
        <v>192</v>
      </c>
      <c r="K4">
        <v>1E-3</v>
      </c>
      <c r="L4" t="s">
        <v>3</v>
      </c>
      <c r="M4">
        <v>1</v>
      </c>
      <c r="N4" t="s">
        <v>2</v>
      </c>
      <c r="O4">
        <v>0</v>
      </c>
      <c r="P4" t="s">
        <v>17</v>
      </c>
      <c r="Q4">
        <v>12</v>
      </c>
      <c r="R4" t="s">
        <v>0</v>
      </c>
      <c r="S4">
        <v>15.4</v>
      </c>
      <c r="T4" t="s">
        <v>152</v>
      </c>
      <c r="U4">
        <v>1</v>
      </c>
      <c r="V4" t="s">
        <v>153</v>
      </c>
      <c r="W4">
        <v>4</v>
      </c>
      <c r="X4" t="s">
        <v>151</v>
      </c>
      <c r="Y4">
        <v>2549</v>
      </c>
      <c r="Z4" t="s">
        <v>1</v>
      </c>
      <c r="AA4" t="s">
        <v>226</v>
      </c>
      <c r="AB4" t="s">
        <v>4</v>
      </c>
      <c r="AC4">
        <v>1</v>
      </c>
      <c r="AD4" t="s">
        <v>5</v>
      </c>
      <c r="AE4">
        <v>0</v>
      </c>
    </row>
    <row r="5" spans="1:31" x14ac:dyDescent="0.25">
      <c r="A5" t="s">
        <v>63</v>
      </c>
      <c r="B5" t="s">
        <v>189</v>
      </c>
      <c r="C5">
        <v>1200</v>
      </c>
      <c r="D5" t="s">
        <v>190</v>
      </c>
      <c r="E5">
        <v>1000000</v>
      </c>
      <c r="F5" t="s">
        <v>191</v>
      </c>
      <c r="G5">
        <v>12345</v>
      </c>
      <c r="H5" t="s">
        <v>216</v>
      </c>
      <c r="I5">
        <v>1</v>
      </c>
      <c r="J5" t="s">
        <v>192</v>
      </c>
      <c r="K5">
        <v>1E-3</v>
      </c>
      <c r="L5" t="s">
        <v>3</v>
      </c>
      <c r="M5">
        <v>1</v>
      </c>
      <c r="N5" t="s">
        <v>2</v>
      </c>
      <c r="O5">
        <v>0</v>
      </c>
      <c r="P5" t="s">
        <v>17</v>
      </c>
      <c r="Q5">
        <v>8</v>
      </c>
      <c r="R5" t="s">
        <v>0</v>
      </c>
      <c r="S5">
        <v>6.6</v>
      </c>
      <c r="T5" t="s">
        <v>152</v>
      </c>
      <c r="U5">
        <v>1</v>
      </c>
      <c r="V5" t="s">
        <v>153</v>
      </c>
      <c r="W5">
        <v>3</v>
      </c>
      <c r="X5" t="s">
        <v>151</v>
      </c>
      <c r="Y5">
        <v>1182</v>
      </c>
      <c r="Z5" t="s">
        <v>1</v>
      </c>
      <c r="AA5" t="s">
        <v>206</v>
      </c>
      <c r="AB5" t="s">
        <v>4</v>
      </c>
      <c r="AC5">
        <v>1</v>
      </c>
      <c r="AD5" t="s">
        <v>5</v>
      </c>
      <c r="AE5">
        <v>0</v>
      </c>
    </row>
    <row r="6" spans="1:31" x14ac:dyDescent="0.25">
      <c r="A6" t="s">
        <v>73</v>
      </c>
      <c r="B6" t="s">
        <v>189</v>
      </c>
      <c r="C6">
        <v>1200</v>
      </c>
      <c r="D6" t="s">
        <v>190</v>
      </c>
      <c r="E6">
        <v>1000000</v>
      </c>
      <c r="F6" t="s">
        <v>191</v>
      </c>
      <c r="G6">
        <v>12345</v>
      </c>
      <c r="H6" t="s">
        <v>216</v>
      </c>
      <c r="I6">
        <v>1</v>
      </c>
      <c r="J6" t="s">
        <v>192</v>
      </c>
      <c r="K6">
        <v>1E-3</v>
      </c>
      <c r="L6" t="s">
        <v>3</v>
      </c>
      <c r="M6">
        <v>1</v>
      </c>
      <c r="N6" t="s">
        <v>2</v>
      </c>
      <c r="O6">
        <v>0</v>
      </c>
      <c r="P6" t="s">
        <v>17</v>
      </c>
      <c r="Q6">
        <v>8</v>
      </c>
      <c r="R6" t="s">
        <v>0</v>
      </c>
      <c r="S6">
        <v>6.6</v>
      </c>
      <c r="T6" t="s">
        <v>152</v>
      </c>
      <c r="U6">
        <v>1</v>
      </c>
      <c r="V6" t="s">
        <v>153</v>
      </c>
      <c r="W6">
        <v>3</v>
      </c>
      <c r="X6" t="s">
        <v>151</v>
      </c>
      <c r="Y6">
        <v>1184</v>
      </c>
      <c r="Z6" t="s">
        <v>1</v>
      </c>
      <c r="AA6" t="s">
        <v>207</v>
      </c>
      <c r="AB6" t="s">
        <v>4</v>
      </c>
      <c r="AC6">
        <v>1</v>
      </c>
      <c r="AD6" t="s">
        <v>5</v>
      </c>
      <c r="AE6">
        <v>0</v>
      </c>
    </row>
    <row r="7" spans="1:31" x14ac:dyDescent="0.25">
      <c r="A7" t="s">
        <v>83</v>
      </c>
      <c r="B7" t="s">
        <v>189</v>
      </c>
      <c r="C7">
        <v>1200</v>
      </c>
      <c r="D7" t="s">
        <v>190</v>
      </c>
      <c r="E7">
        <v>1000000</v>
      </c>
      <c r="F7" t="s">
        <v>191</v>
      </c>
      <c r="G7">
        <v>12345</v>
      </c>
      <c r="H7" t="s">
        <v>216</v>
      </c>
      <c r="I7">
        <v>1</v>
      </c>
      <c r="J7" t="s">
        <v>192</v>
      </c>
      <c r="K7">
        <v>1E-3</v>
      </c>
      <c r="L7" t="s">
        <v>3</v>
      </c>
      <c r="M7">
        <v>1</v>
      </c>
      <c r="N7" t="s">
        <v>2</v>
      </c>
      <c r="O7">
        <v>0</v>
      </c>
      <c r="P7" t="s">
        <v>17</v>
      </c>
      <c r="Q7">
        <v>12</v>
      </c>
      <c r="R7" t="s">
        <v>0</v>
      </c>
      <c r="S7">
        <v>15.8</v>
      </c>
      <c r="T7" t="s">
        <v>152</v>
      </c>
      <c r="U7">
        <v>1</v>
      </c>
      <c r="V7" t="s">
        <v>153</v>
      </c>
      <c r="W7">
        <v>4</v>
      </c>
      <c r="X7" t="s">
        <v>151</v>
      </c>
      <c r="Y7">
        <v>2553</v>
      </c>
      <c r="Z7" t="s">
        <v>1</v>
      </c>
      <c r="AA7" t="s">
        <v>163</v>
      </c>
      <c r="AB7" t="s">
        <v>4</v>
      </c>
      <c r="AC7">
        <v>1</v>
      </c>
      <c r="AD7" t="s">
        <v>5</v>
      </c>
      <c r="AE7">
        <v>0</v>
      </c>
    </row>
    <row r="8" spans="1:31" x14ac:dyDescent="0.25">
      <c r="A8" t="s">
        <v>93</v>
      </c>
      <c r="B8" t="s">
        <v>189</v>
      </c>
      <c r="C8">
        <v>1200</v>
      </c>
      <c r="D8" t="s">
        <v>190</v>
      </c>
      <c r="E8">
        <v>1000000</v>
      </c>
      <c r="F8" t="s">
        <v>191</v>
      </c>
      <c r="G8">
        <v>12345</v>
      </c>
      <c r="H8" t="s">
        <v>216</v>
      </c>
      <c r="I8">
        <v>1</v>
      </c>
      <c r="J8" t="s">
        <v>192</v>
      </c>
      <c r="K8">
        <v>1E-3</v>
      </c>
      <c r="L8" t="s">
        <v>3</v>
      </c>
      <c r="M8">
        <v>0.99970000000000003</v>
      </c>
      <c r="N8" t="s">
        <v>2</v>
      </c>
      <c r="O8">
        <v>2.77862E-2</v>
      </c>
      <c r="P8" t="s">
        <v>17</v>
      </c>
      <c r="Q8">
        <v>27</v>
      </c>
      <c r="R8" t="s">
        <v>0</v>
      </c>
      <c r="S8">
        <v>1200.7</v>
      </c>
      <c r="T8" t="s">
        <v>152</v>
      </c>
      <c r="U8">
        <v>16</v>
      </c>
      <c r="V8" t="s">
        <v>153</v>
      </c>
      <c r="W8">
        <v>73</v>
      </c>
      <c r="X8" t="s">
        <v>151</v>
      </c>
      <c r="Y8">
        <v>116897</v>
      </c>
      <c r="Z8" t="s">
        <v>1</v>
      </c>
      <c r="AA8" t="s">
        <v>269</v>
      </c>
      <c r="AB8" t="s">
        <v>4</v>
      </c>
      <c r="AC8">
        <v>0.99972859999999997</v>
      </c>
      <c r="AD8" t="s">
        <v>5</v>
      </c>
      <c r="AE8">
        <v>2.6397500000000001E-2</v>
      </c>
    </row>
    <row r="9" spans="1:31" x14ac:dyDescent="0.25">
      <c r="A9" t="s">
        <v>103</v>
      </c>
      <c r="B9" t="s">
        <v>189</v>
      </c>
      <c r="C9">
        <v>1200</v>
      </c>
      <c r="D9" t="s">
        <v>190</v>
      </c>
      <c r="E9">
        <v>1000000</v>
      </c>
      <c r="F9" t="s">
        <v>191</v>
      </c>
      <c r="G9">
        <v>12345</v>
      </c>
      <c r="H9" t="s">
        <v>216</v>
      </c>
      <c r="I9">
        <v>1</v>
      </c>
      <c r="J9" t="s">
        <v>192</v>
      </c>
      <c r="K9">
        <v>1E-3</v>
      </c>
      <c r="L9" t="s">
        <v>3</v>
      </c>
      <c r="M9">
        <v>0.99975979999999998</v>
      </c>
      <c r="N9" t="s">
        <v>2</v>
      </c>
      <c r="O9">
        <v>0.1126648</v>
      </c>
      <c r="P9" t="s">
        <v>17</v>
      </c>
      <c r="Q9">
        <v>48</v>
      </c>
      <c r="R9" t="s">
        <v>0</v>
      </c>
      <c r="S9">
        <v>1200.9000000000001</v>
      </c>
      <c r="T9" t="s">
        <v>152</v>
      </c>
      <c r="U9">
        <v>6</v>
      </c>
      <c r="V9" t="s">
        <v>153</v>
      </c>
      <c r="W9">
        <v>47</v>
      </c>
      <c r="X9" t="s">
        <v>151</v>
      </c>
      <c r="Y9">
        <v>111890</v>
      </c>
      <c r="Z9" t="s">
        <v>1</v>
      </c>
      <c r="AA9" t="s">
        <v>270</v>
      </c>
      <c r="AB9" t="s">
        <v>4</v>
      </c>
      <c r="AC9">
        <v>0.99975250000000004</v>
      </c>
      <c r="AD9" t="s">
        <v>5</v>
      </c>
      <c r="AE9">
        <v>0.1141485</v>
      </c>
    </row>
    <row r="10" spans="1:31" x14ac:dyDescent="0.25">
      <c r="A10" t="s">
        <v>113</v>
      </c>
      <c r="B10" t="s">
        <v>189</v>
      </c>
      <c r="C10">
        <v>1200</v>
      </c>
      <c r="D10" t="s">
        <v>190</v>
      </c>
      <c r="E10">
        <v>1000000</v>
      </c>
      <c r="F10" t="s">
        <v>191</v>
      </c>
      <c r="G10">
        <v>12345</v>
      </c>
      <c r="H10" t="s">
        <v>216</v>
      </c>
      <c r="I10">
        <v>1</v>
      </c>
      <c r="J10" t="s">
        <v>192</v>
      </c>
      <c r="K10">
        <v>1E-3</v>
      </c>
      <c r="L10" t="s">
        <v>3</v>
      </c>
      <c r="M10">
        <v>1</v>
      </c>
      <c r="N10" t="s">
        <v>2</v>
      </c>
      <c r="O10">
        <v>0</v>
      </c>
      <c r="P10" t="s">
        <v>17</v>
      </c>
      <c r="Q10">
        <v>22</v>
      </c>
      <c r="R10" t="s">
        <v>0</v>
      </c>
      <c r="S10">
        <v>520.20000000000005</v>
      </c>
      <c r="T10" t="s">
        <v>152</v>
      </c>
      <c r="U10">
        <v>6</v>
      </c>
      <c r="V10" t="s">
        <v>153</v>
      </c>
      <c r="W10">
        <v>38</v>
      </c>
      <c r="X10" t="s">
        <v>151</v>
      </c>
      <c r="Y10">
        <v>60447</v>
      </c>
      <c r="Z10" t="s">
        <v>1</v>
      </c>
      <c r="AA10" t="s">
        <v>271</v>
      </c>
      <c r="AB10" t="s">
        <v>4</v>
      </c>
      <c r="AC10">
        <v>1</v>
      </c>
      <c r="AD10" t="s">
        <v>5</v>
      </c>
      <c r="AE10">
        <v>0</v>
      </c>
    </row>
    <row r="11" spans="1:31" x14ac:dyDescent="0.25">
      <c r="A11" t="s">
        <v>19</v>
      </c>
      <c r="B11" t="s">
        <v>189</v>
      </c>
      <c r="C11">
        <v>1200</v>
      </c>
      <c r="D11" t="s">
        <v>190</v>
      </c>
      <c r="E11">
        <v>1000000</v>
      </c>
      <c r="F11" t="s">
        <v>191</v>
      </c>
      <c r="G11">
        <v>12345</v>
      </c>
      <c r="H11" t="s">
        <v>216</v>
      </c>
      <c r="I11">
        <v>1</v>
      </c>
      <c r="J11" t="s">
        <v>192</v>
      </c>
      <c r="K11">
        <v>1E-3</v>
      </c>
      <c r="L11" t="s">
        <v>3</v>
      </c>
      <c r="M11">
        <v>1</v>
      </c>
      <c r="N11" t="s">
        <v>2</v>
      </c>
      <c r="O11">
        <v>0</v>
      </c>
      <c r="P11" t="s">
        <v>17</v>
      </c>
      <c r="Q11">
        <v>21</v>
      </c>
      <c r="R11" t="s">
        <v>0</v>
      </c>
      <c r="S11">
        <v>47.5</v>
      </c>
      <c r="T11" t="s">
        <v>152</v>
      </c>
      <c r="U11">
        <v>5</v>
      </c>
      <c r="V11" t="s">
        <v>153</v>
      </c>
      <c r="W11">
        <v>27</v>
      </c>
      <c r="X11" t="s">
        <v>151</v>
      </c>
      <c r="Y11">
        <v>24720</v>
      </c>
      <c r="Z11" t="s">
        <v>1</v>
      </c>
      <c r="AA11" t="s">
        <v>218</v>
      </c>
      <c r="AB11" t="s">
        <v>4</v>
      </c>
      <c r="AC11">
        <v>1</v>
      </c>
      <c r="AD11" t="s">
        <v>5</v>
      </c>
      <c r="AE11">
        <v>0</v>
      </c>
    </row>
    <row r="12" spans="1:31" x14ac:dyDescent="0.25">
      <c r="A12" t="s">
        <v>123</v>
      </c>
      <c r="B12" t="s">
        <v>189</v>
      </c>
      <c r="C12">
        <v>1200</v>
      </c>
      <c r="D12" t="s">
        <v>190</v>
      </c>
      <c r="E12">
        <v>1000000</v>
      </c>
      <c r="F12" t="s">
        <v>191</v>
      </c>
      <c r="G12">
        <v>12345</v>
      </c>
      <c r="H12" t="s">
        <v>216</v>
      </c>
      <c r="I12">
        <v>1</v>
      </c>
      <c r="J12" t="s">
        <v>192</v>
      </c>
      <c r="K12">
        <v>1E-3</v>
      </c>
      <c r="L12" t="s">
        <v>3</v>
      </c>
      <c r="M12">
        <v>1</v>
      </c>
      <c r="N12" t="s">
        <v>2</v>
      </c>
      <c r="O12">
        <v>0</v>
      </c>
      <c r="P12" t="s">
        <v>17</v>
      </c>
      <c r="Q12">
        <v>28</v>
      </c>
      <c r="R12" t="s">
        <v>0</v>
      </c>
      <c r="S12">
        <v>236.6</v>
      </c>
      <c r="T12" t="s">
        <v>152</v>
      </c>
      <c r="U12">
        <v>1</v>
      </c>
      <c r="V12" t="s">
        <v>153</v>
      </c>
      <c r="W12">
        <v>10</v>
      </c>
      <c r="X12" t="s">
        <v>151</v>
      </c>
      <c r="Y12">
        <v>24747</v>
      </c>
      <c r="Z12" t="s">
        <v>1</v>
      </c>
      <c r="AA12" t="s">
        <v>272</v>
      </c>
      <c r="AB12" t="s">
        <v>4</v>
      </c>
      <c r="AC12">
        <v>1</v>
      </c>
      <c r="AD12" t="s">
        <v>5</v>
      </c>
      <c r="AE12">
        <v>0</v>
      </c>
    </row>
    <row r="13" spans="1:31" x14ac:dyDescent="0.25">
      <c r="A13" t="s">
        <v>133</v>
      </c>
      <c r="B13" t="s">
        <v>189</v>
      </c>
      <c r="C13">
        <v>1200</v>
      </c>
      <c r="D13" t="s">
        <v>190</v>
      </c>
      <c r="E13">
        <v>1000000</v>
      </c>
      <c r="F13" t="s">
        <v>191</v>
      </c>
      <c r="G13">
        <v>12345</v>
      </c>
      <c r="H13" t="s">
        <v>216</v>
      </c>
      <c r="I13">
        <v>1</v>
      </c>
      <c r="J13" t="s">
        <v>192</v>
      </c>
      <c r="K13">
        <v>1E-3</v>
      </c>
      <c r="L13" t="s">
        <v>3</v>
      </c>
      <c r="M13">
        <v>1</v>
      </c>
      <c r="N13" t="s">
        <v>2</v>
      </c>
      <c r="O13">
        <v>0</v>
      </c>
      <c r="P13" t="s">
        <v>17</v>
      </c>
      <c r="Q13">
        <v>14</v>
      </c>
      <c r="R13" t="s">
        <v>0</v>
      </c>
      <c r="S13">
        <v>24.4</v>
      </c>
      <c r="T13" t="s">
        <v>152</v>
      </c>
      <c r="U13">
        <v>1</v>
      </c>
      <c r="V13" t="s">
        <v>153</v>
      </c>
      <c r="W13">
        <v>5</v>
      </c>
      <c r="X13" t="s">
        <v>151</v>
      </c>
      <c r="Y13">
        <v>4034</v>
      </c>
      <c r="Z13" t="s">
        <v>1</v>
      </c>
      <c r="AA13" t="s">
        <v>214</v>
      </c>
      <c r="AB13" t="s">
        <v>4</v>
      </c>
      <c r="AC13">
        <v>1</v>
      </c>
      <c r="AD13" t="s">
        <v>5</v>
      </c>
      <c r="AE13">
        <v>0</v>
      </c>
    </row>
    <row r="14" spans="1:31" x14ac:dyDescent="0.25">
      <c r="A14" t="s">
        <v>29</v>
      </c>
      <c r="B14" t="s">
        <v>189</v>
      </c>
      <c r="C14">
        <v>1200</v>
      </c>
      <c r="D14" t="s">
        <v>190</v>
      </c>
      <c r="E14">
        <v>1000000</v>
      </c>
      <c r="F14" t="s">
        <v>191</v>
      </c>
      <c r="G14">
        <v>12345</v>
      </c>
      <c r="H14" t="s">
        <v>216</v>
      </c>
      <c r="I14">
        <v>1</v>
      </c>
      <c r="J14" t="s">
        <v>192</v>
      </c>
      <c r="K14">
        <v>1E-3</v>
      </c>
      <c r="L14" t="s">
        <v>3</v>
      </c>
      <c r="M14">
        <v>1</v>
      </c>
      <c r="N14" t="s">
        <v>2</v>
      </c>
      <c r="O14">
        <v>0</v>
      </c>
      <c r="P14" t="s">
        <v>17</v>
      </c>
      <c r="Q14">
        <v>16</v>
      </c>
      <c r="R14" t="s">
        <v>0</v>
      </c>
      <c r="S14">
        <v>219.2</v>
      </c>
      <c r="T14" t="s">
        <v>152</v>
      </c>
      <c r="U14">
        <v>13</v>
      </c>
      <c r="V14" t="s">
        <v>153</v>
      </c>
      <c r="W14">
        <v>59</v>
      </c>
      <c r="X14" t="s">
        <v>151</v>
      </c>
      <c r="Y14">
        <v>80082</v>
      </c>
      <c r="Z14" t="s">
        <v>1</v>
      </c>
      <c r="AA14" t="s">
        <v>273</v>
      </c>
      <c r="AB14" t="s">
        <v>4</v>
      </c>
      <c r="AC14">
        <v>1</v>
      </c>
      <c r="AD14" t="s">
        <v>5</v>
      </c>
      <c r="AE14">
        <v>0</v>
      </c>
    </row>
    <row r="15" spans="1:31" x14ac:dyDescent="0.25">
      <c r="A15" t="s">
        <v>39</v>
      </c>
      <c r="B15" t="s">
        <v>189</v>
      </c>
      <c r="C15">
        <v>1200</v>
      </c>
      <c r="D15" t="s">
        <v>190</v>
      </c>
      <c r="E15">
        <v>1000000</v>
      </c>
      <c r="F15" t="s">
        <v>191</v>
      </c>
      <c r="G15">
        <v>12345</v>
      </c>
      <c r="H15" t="s">
        <v>216</v>
      </c>
      <c r="I15">
        <v>1</v>
      </c>
      <c r="J15" t="s">
        <v>192</v>
      </c>
      <c r="K15">
        <v>1E-3</v>
      </c>
      <c r="L15" t="s">
        <v>3</v>
      </c>
      <c r="M15">
        <v>1</v>
      </c>
      <c r="N15" t="s">
        <v>2</v>
      </c>
      <c r="O15">
        <v>0</v>
      </c>
      <c r="P15" t="s">
        <v>17</v>
      </c>
      <c r="Q15">
        <v>6</v>
      </c>
      <c r="R15" t="s">
        <v>0</v>
      </c>
      <c r="S15">
        <v>2.6</v>
      </c>
      <c r="T15" t="s">
        <v>152</v>
      </c>
      <c r="U15">
        <v>1</v>
      </c>
      <c r="V15" t="s">
        <v>153</v>
      </c>
      <c r="W15">
        <v>2</v>
      </c>
      <c r="X15" t="s">
        <v>151</v>
      </c>
      <c r="Y15">
        <v>536</v>
      </c>
      <c r="Z15" t="s">
        <v>1</v>
      </c>
      <c r="AA15" t="s">
        <v>158</v>
      </c>
      <c r="AB15" t="s">
        <v>4</v>
      </c>
      <c r="AC15">
        <v>1</v>
      </c>
      <c r="AD15" t="s">
        <v>5</v>
      </c>
      <c r="AE15">
        <v>0</v>
      </c>
    </row>
    <row r="16" spans="1:31" x14ac:dyDescent="0.25">
      <c r="A16" t="s">
        <v>143</v>
      </c>
      <c r="B16" t="s">
        <v>189</v>
      </c>
      <c r="C16">
        <v>1200</v>
      </c>
      <c r="D16" t="s">
        <v>190</v>
      </c>
      <c r="E16">
        <v>1000000</v>
      </c>
      <c r="F16" t="s">
        <v>191</v>
      </c>
      <c r="G16">
        <v>12345</v>
      </c>
      <c r="H16" t="s">
        <v>216</v>
      </c>
      <c r="I16">
        <v>1</v>
      </c>
      <c r="J16" t="s">
        <v>192</v>
      </c>
      <c r="K16">
        <v>1E-3</v>
      </c>
      <c r="L16" t="s">
        <v>3</v>
      </c>
      <c r="M16">
        <v>0.68298369999999997</v>
      </c>
      <c r="N16" t="s">
        <v>2</v>
      </c>
      <c r="O16">
        <v>1.1375565000000001</v>
      </c>
      <c r="P16" t="s">
        <v>17</v>
      </c>
      <c r="Q16">
        <v>31</v>
      </c>
      <c r="R16" t="s">
        <v>0</v>
      </c>
      <c r="S16">
        <v>1200.0999999999999</v>
      </c>
      <c r="T16" t="s">
        <v>152</v>
      </c>
      <c r="U16">
        <v>13</v>
      </c>
      <c r="V16" t="s">
        <v>153</v>
      </c>
      <c r="W16">
        <v>61</v>
      </c>
      <c r="X16" t="s">
        <v>151</v>
      </c>
      <c r="Y16">
        <v>132017</v>
      </c>
      <c r="Z16" t="s">
        <v>1</v>
      </c>
      <c r="AA16" t="s">
        <v>274</v>
      </c>
      <c r="AB16" t="s">
        <v>4</v>
      </c>
      <c r="AC16">
        <v>0.67376150000000001</v>
      </c>
      <c r="AD16" t="s">
        <v>5</v>
      </c>
      <c r="AE16">
        <v>1.1580975</v>
      </c>
    </row>
    <row r="17" spans="1:31" x14ac:dyDescent="0.25">
      <c r="A17" t="s">
        <v>49</v>
      </c>
      <c r="B17" t="s">
        <v>189</v>
      </c>
      <c r="C17">
        <v>1200</v>
      </c>
      <c r="D17" t="s">
        <v>190</v>
      </c>
      <c r="E17">
        <v>1000000</v>
      </c>
      <c r="F17" t="s">
        <v>191</v>
      </c>
      <c r="G17">
        <v>12345</v>
      </c>
      <c r="H17" t="s">
        <v>216</v>
      </c>
      <c r="I17">
        <v>1</v>
      </c>
      <c r="J17" t="s">
        <v>192</v>
      </c>
      <c r="K17">
        <v>1E-3</v>
      </c>
      <c r="L17" t="s">
        <v>3</v>
      </c>
      <c r="M17">
        <v>0.99997159999999996</v>
      </c>
      <c r="N17" t="s">
        <v>2</v>
      </c>
      <c r="O17">
        <v>4.5903999999999997E-3</v>
      </c>
      <c r="P17" t="s">
        <v>17</v>
      </c>
      <c r="Q17">
        <v>22</v>
      </c>
      <c r="R17" t="s">
        <v>0</v>
      </c>
      <c r="S17">
        <v>1201.3</v>
      </c>
      <c r="T17" t="s">
        <v>152</v>
      </c>
      <c r="U17">
        <v>23</v>
      </c>
      <c r="V17" t="s">
        <v>153</v>
      </c>
      <c r="W17">
        <v>100</v>
      </c>
      <c r="X17" t="s">
        <v>151</v>
      </c>
      <c r="Y17">
        <v>109033</v>
      </c>
      <c r="Z17" t="s">
        <v>1</v>
      </c>
      <c r="AA17" t="s">
        <v>215</v>
      </c>
      <c r="AB17" t="s">
        <v>4</v>
      </c>
      <c r="AC17">
        <v>0.99996830000000003</v>
      </c>
      <c r="AD17" t="s">
        <v>5</v>
      </c>
      <c r="AE17">
        <v>4.8332000000000002E-3</v>
      </c>
    </row>
    <row r="18" spans="1:31" x14ac:dyDescent="0.25">
      <c r="A18" t="s">
        <v>59</v>
      </c>
      <c r="B18" t="s">
        <v>189</v>
      </c>
      <c r="C18">
        <v>1200</v>
      </c>
      <c r="D18" t="s">
        <v>190</v>
      </c>
      <c r="E18">
        <v>1000000</v>
      </c>
      <c r="F18" t="s">
        <v>191</v>
      </c>
      <c r="G18">
        <v>12345</v>
      </c>
      <c r="H18" t="s">
        <v>216</v>
      </c>
      <c r="I18">
        <v>1</v>
      </c>
      <c r="J18" t="s">
        <v>192</v>
      </c>
      <c r="K18">
        <v>1E-3</v>
      </c>
      <c r="L18" t="s">
        <v>3</v>
      </c>
      <c r="M18">
        <v>1</v>
      </c>
      <c r="N18" t="s">
        <v>2</v>
      </c>
      <c r="O18">
        <v>0</v>
      </c>
      <c r="P18" t="s">
        <v>17</v>
      </c>
      <c r="Q18">
        <v>12</v>
      </c>
      <c r="R18" t="s">
        <v>0</v>
      </c>
      <c r="S18">
        <v>10.1</v>
      </c>
      <c r="T18" t="s">
        <v>152</v>
      </c>
      <c r="U18">
        <v>1</v>
      </c>
      <c r="V18" t="s">
        <v>153</v>
      </c>
      <c r="W18">
        <v>3</v>
      </c>
      <c r="X18" t="s">
        <v>151</v>
      </c>
      <c r="Y18">
        <v>1730</v>
      </c>
      <c r="Z18" t="s">
        <v>1</v>
      </c>
      <c r="AA18" t="s">
        <v>160</v>
      </c>
      <c r="AB18" t="s">
        <v>4</v>
      </c>
      <c r="AC18">
        <v>1</v>
      </c>
      <c r="AD18" t="s">
        <v>5</v>
      </c>
      <c r="AE18">
        <v>0</v>
      </c>
    </row>
    <row r="19" spans="1:31" x14ac:dyDescent="0.25">
      <c r="A19" t="s">
        <v>69</v>
      </c>
      <c r="B19" t="s">
        <v>189</v>
      </c>
      <c r="C19">
        <v>1200</v>
      </c>
      <c r="D19" t="s">
        <v>190</v>
      </c>
      <c r="E19">
        <v>1000000</v>
      </c>
      <c r="F19" t="s">
        <v>191</v>
      </c>
      <c r="G19">
        <v>12345</v>
      </c>
      <c r="H19" t="s">
        <v>216</v>
      </c>
      <c r="I19">
        <v>1</v>
      </c>
      <c r="J19" t="s">
        <v>192</v>
      </c>
      <c r="K19">
        <v>1E-3</v>
      </c>
      <c r="L19" t="s">
        <v>3</v>
      </c>
      <c r="M19">
        <v>1</v>
      </c>
      <c r="N19" t="s">
        <v>2</v>
      </c>
      <c r="O19">
        <v>0</v>
      </c>
      <c r="P19" t="s">
        <v>17</v>
      </c>
      <c r="Q19">
        <v>9</v>
      </c>
      <c r="R19" t="s">
        <v>0</v>
      </c>
      <c r="S19">
        <v>8.3000000000000007</v>
      </c>
      <c r="T19" t="s">
        <v>152</v>
      </c>
      <c r="U19">
        <v>1</v>
      </c>
      <c r="V19" t="s">
        <v>153</v>
      </c>
      <c r="W19">
        <v>4</v>
      </c>
      <c r="X19" t="s">
        <v>151</v>
      </c>
      <c r="Y19">
        <v>1540</v>
      </c>
      <c r="Z19" t="s">
        <v>1</v>
      </c>
      <c r="AA19" t="s">
        <v>178</v>
      </c>
      <c r="AB19" t="s">
        <v>4</v>
      </c>
      <c r="AC19">
        <v>1</v>
      </c>
      <c r="AD19" t="s">
        <v>5</v>
      </c>
      <c r="AE19">
        <v>0</v>
      </c>
    </row>
    <row r="20" spans="1:31" x14ac:dyDescent="0.25">
      <c r="A20" t="s">
        <v>79</v>
      </c>
      <c r="B20" t="s">
        <v>189</v>
      </c>
      <c r="C20">
        <v>1200</v>
      </c>
      <c r="D20" t="s">
        <v>190</v>
      </c>
      <c r="E20">
        <v>1000000</v>
      </c>
      <c r="F20" t="s">
        <v>191</v>
      </c>
      <c r="G20">
        <v>12345</v>
      </c>
      <c r="H20" t="s">
        <v>216</v>
      </c>
      <c r="I20">
        <v>1</v>
      </c>
      <c r="J20" t="s">
        <v>192</v>
      </c>
      <c r="K20">
        <v>1E-3</v>
      </c>
      <c r="L20" t="s">
        <v>3</v>
      </c>
      <c r="M20">
        <v>1</v>
      </c>
      <c r="N20" t="s">
        <v>2</v>
      </c>
      <c r="O20">
        <v>0</v>
      </c>
      <c r="P20" t="s">
        <v>17</v>
      </c>
      <c r="Q20">
        <v>10</v>
      </c>
      <c r="R20" t="s">
        <v>0</v>
      </c>
      <c r="S20">
        <v>36.6</v>
      </c>
      <c r="T20" t="s">
        <v>152</v>
      </c>
      <c r="U20">
        <v>1</v>
      </c>
      <c r="V20" t="s">
        <v>153</v>
      </c>
      <c r="W20">
        <v>7</v>
      </c>
      <c r="X20" t="s">
        <v>151</v>
      </c>
      <c r="Y20">
        <v>5268</v>
      </c>
      <c r="Z20" t="s">
        <v>1</v>
      </c>
      <c r="AA20" t="s">
        <v>229</v>
      </c>
      <c r="AB20" t="s">
        <v>4</v>
      </c>
      <c r="AC20">
        <v>1</v>
      </c>
      <c r="AD20" t="s">
        <v>5</v>
      </c>
      <c r="AE20">
        <v>0</v>
      </c>
    </row>
    <row r="21" spans="1:31" x14ac:dyDescent="0.25">
      <c r="A21" t="s">
        <v>89</v>
      </c>
      <c r="B21" t="s">
        <v>189</v>
      </c>
      <c r="C21">
        <v>1200</v>
      </c>
      <c r="D21" t="s">
        <v>190</v>
      </c>
      <c r="E21">
        <v>1000000</v>
      </c>
      <c r="F21" t="s">
        <v>191</v>
      </c>
      <c r="G21">
        <v>12345</v>
      </c>
      <c r="H21" t="s">
        <v>216</v>
      </c>
      <c r="I21">
        <v>1</v>
      </c>
      <c r="J21" t="s">
        <v>192</v>
      </c>
      <c r="K21">
        <v>1E-3</v>
      </c>
      <c r="L21" t="s">
        <v>3</v>
      </c>
      <c r="M21">
        <v>0.98097250000000003</v>
      </c>
      <c r="N21" t="s">
        <v>2</v>
      </c>
      <c r="O21">
        <v>0.13701969999999999</v>
      </c>
      <c r="P21" t="s">
        <v>17</v>
      </c>
      <c r="Q21">
        <v>31</v>
      </c>
      <c r="R21" t="s">
        <v>0</v>
      </c>
      <c r="S21">
        <v>1202.5999999999999</v>
      </c>
      <c r="T21" t="s">
        <v>152</v>
      </c>
      <c r="U21">
        <v>4</v>
      </c>
      <c r="V21" t="s">
        <v>153</v>
      </c>
      <c r="W21">
        <v>59</v>
      </c>
      <c r="X21" t="s">
        <v>151</v>
      </c>
      <c r="Y21">
        <v>136396</v>
      </c>
      <c r="Z21" t="s">
        <v>1</v>
      </c>
      <c r="AA21" t="e" cm="1">
        <f t="array" aca="1" ref="AA21" ca="1">-1.9849386409613+(3.9239408533768*pow(((1+(0.3110796526816*pow(pow((v0+(-1*V1)),2),0.6)))+(-0.7040680214979*COS(((0.7318415704585*V2)+(-0.7318415704585*V3))))),0.5))</f>
        <v>#NAME?</v>
      </c>
      <c r="AB21" t="s">
        <v>4</v>
      </c>
      <c r="AC21">
        <v>0.98116619999999999</v>
      </c>
      <c r="AD21" t="s">
        <v>5</v>
      </c>
      <c r="AE21">
        <v>0.13705049999999999</v>
      </c>
    </row>
    <row r="22" spans="1:31" x14ac:dyDescent="0.25">
      <c r="A22" t="s">
        <v>99</v>
      </c>
      <c r="B22" t="s">
        <v>189</v>
      </c>
      <c r="C22">
        <v>1200</v>
      </c>
      <c r="D22" t="s">
        <v>190</v>
      </c>
      <c r="E22">
        <v>1000000</v>
      </c>
      <c r="F22" t="s">
        <v>191</v>
      </c>
      <c r="G22">
        <v>12345</v>
      </c>
      <c r="H22" t="s">
        <v>216</v>
      </c>
      <c r="I22">
        <v>1</v>
      </c>
      <c r="J22" t="s">
        <v>192</v>
      </c>
      <c r="K22">
        <v>1E-3</v>
      </c>
      <c r="L22" t="s">
        <v>3</v>
      </c>
      <c r="M22">
        <v>1</v>
      </c>
      <c r="N22" t="s">
        <v>2</v>
      </c>
      <c r="O22">
        <v>0</v>
      </c>
      <c r="P22" t="s">
        <v>17</v>
      </c>
      <c r="Q22">
        <v>12</v>
      </c>
      <c r="R22" t="s">
        <v>0</v>
      </c>
      <c r="S22">
        <v>14.8</v>
      </c>
      <c r="T22" t="s">
        <v>152</v>
      </c>
      <c r="U22">
        <v>1</v>
      </c>
      <c r="V22" t="s">
        <v>153</v>
      </c>
      <c r="W22">
        <v>4</v>
      </c>
      <c r="X22" t="s">
        <v>151</v>
      </c>
      <c r="Y22">
        <v>2574</v>
      </c>
      <c r="Z22" t="s">
        <v>1</v>
      </c>
      <c r="AA22" t="s">
        <v>203</v>
      </c>
      <c r="AB22" t="s">
        <v>4</v>
      </c>
      <c r="AC22">
        <v>1</v>
      </c>
      <c r="AD22" t="s">
        <v>5</v>
      </c>
      <c r="AE22">
        <v>0</v>
      </c>
    </row>
    <row r="23" spans="1:31" x14ac:dyDescent="0.25">
      <c r="A23" t="s">
        <v>109</v>
      </c>
      <c r="B23" t="s">
        <v>189</v>
      </c>
      <c r="C23">
        <v>1200</v>
      </c>
      <c r="D23" t="s">
        <v>190</v>
      </c>
      <c r="E23">
        <v>1000000</v>
      </c>
      <c r="F23" t="s">
        <v>191</v>
      </c>
      <c r="G23">
        <v>12345</v>
      </c>
      <c r="H23" t="s">
        <v>216</v>
      </c>
      <c r="I23">
        <v>1</v>
      </c>
      <c r="J23" t="s">
        <v>192</v>
      </c>
      <c r="K23">
        <v>1E-3</v>
      </c>
      <c r="L23" t="s">
        <v>3</v>
      </c>
      <c r="M23">
        <v>1</v>
      </c>
      <c r="N23" t="s">
        <v>2</v>
      </c>
      <c r="O23">
        <v>0</v>
      </c>
      <c r="P23" t="s">
        <v>17</v>
      </c>
      <c r="Q23">
        <v>12</v>
      </c>
      <c r="R23" t="s">
        <v>0</v>
      </c>
      <c r="S23">
        <v>15.4</v>
      </c>
      <c r="T23" t="s">
        <v>152</v>
      </c>
      <c r="U23">
        <v>1</v>
      </c>
      <c r="V23" t="s">
        <v>153</v>
      </c>
      <c r="W23">
        <v>4</v>
      </c>
      <c r="X23" t="s">
        <v>151</v>
      </c>
      <c r="Y23">
        <v>2566</v>
      </c>
      <c r="Z23" t="s">
        <v>1</v>
      </c>
      <c r="AA23" t="s">
        <v>209</v>
      </c>
      <c r="AB23" t="s">
        <v>4</v>
      </c>
      <c r="AC23">
        <v>1</v>
      </c>
      <c r="AD23" t="s">
        <v>5</v>
      </c>
      <c r="AE23">
        <v>0</v>
      </c>
    </row>
    <row r="24" spans="1:31" x14ac:dyDescent="0.25">
      <c r="A24" t="s">
        <v>119</v>
      </c>
      <c r="B24" t="s">
        <v>189</v>
      </c>
      <c r="C24">
        <v>1200</v>
      </c>
      <c r="D24" t="s">
        <v>190</v>
      </c>
      <c r="E24">
        <v>1000000</v>
      </c>
      <c r="F24" t="s">
        <v>191</v>
      </c>
      <c r="G24">
        <v>12345</v>
      </c>
      <c r="H24" t="s">
        <v>216</v>
      </c>
      <c r="I24">
        <v>1</v>
      </c>
      <c r="J24" t="s">
        <v>192</v>
      </c>
      <c r="K24">
        <v>1E-3</v>
      </c>
      <c r="L24" t="s">
        <v>3</v>
      </c>
      <c r="M24">
        <v>0.99088620000000005</v>
      </c>
      <c r="N24" t="s">
        <v>2</v>
      </c>
      <c r="O24">
        <v>0.65471760000000001</v>
      </c>
      <c r="P24" t="s">
        <v>17</v>
      </c>
      <c r="Q24">
        <v>38</v>
      </c>
      <c r="R24" t="s">
        <v>0</v>
      </c>
      <c r="S24">
        <v>1201.9000000000001</v>
      </c>
      <c r="T24" t="s">
        <v>152</v>
      </c>
      <c r="U24">
        <v>6</v>
      </c>
      <c r="V24" t="s">
        <v>153</v>
      </c>
      <c r="W24">
        <v>62</v>
      </c>
      <c r="X24" t="s">
        <v>151</v>
      </c>
      <c r="Y24">
        <v>134139</v>
      </c>
      <c r="Z24" t="s">
        <v>1</v>
      </c>
      <c r="AA24" t="s">
        <v>275</v>
      </c>
      <c r="AB24" t="s">
        <v>4</v>
      </c>
      <c r="AC24">
        <v>0.99000549999999998</v>
      </c>
      <c r="AD24" t="s">
        <v>5</v>
      </c>
      <c r="AE24">
        <v>0.6995711</v>
      </c>
    </row>
    <row r="25" spans="1:31" x14ac:dyDescent="0.25">
      <c r="A25" t="s">
        <v>129</v>
      </c>
      <c r="B25" t="s">
        <v>189</v>
      </c>
      <c r="C25">
        <v>1200</v>
      </c>
      <c r="D25" t="s">
        <v>190</v>
      </c>
      <c r="E25">
        <v>1000000</v>
      </c>
      <c r="F25" t="s">
        <v>191</v>
      </c>
      <c r="G25">
        <v>12345</v>
      </c>
      <c r="H25" t="s">
        <v>216</v>
      </c>
      <c r="I25">
        <v>1</v>
      </c>
      <c r="J25" t="s">
        <v>192</v>
      </c>
      <c r="K25">
        <v>1E-3</v>
      </c>
      <c r="L25" t="s">
        <v>3</v>
      </c>
      <c r="M25">
        <v>1</v>
      </c>
      <c r="N25" t="s">
        <v>2</v>
      </c>
      <c r="O25">
        <v>0</v>
      </c>
      <c r="P25" t="s">
        <v>17</v>
      </c>
      <c r="Q25">
        <v>15</v>
      </c>
      <c r="R25" t="s">
        <v>0</v>
      </c>
      <c r="S25">
        <v>30.5</v>
      </c>
      <c r="T25" t="s">
        <v>152</v>
      </c>
      <c r="U25">
        <v>1</v>
      </c>
      <c r="V25" t="s">
        <v>153</v>
      </c>
      <c r="W25">
        <v>8</v>
      </c>
      <c r="X25" t="s">
        <v>151</v>
      </c>
      <c r="Y25">
        <v>5362</v>
      </c>
      <c r="Z25" t="s">
        <v>1</v>
      </c>
      <c r="AA25" t="s">
        <v>251</v>
      </c>
      <c r="AB25" t="s">
        <v>4</v>
      </c>
      <c r="AC25">
        <v>1</v>
      </c>
      <c r="AD25" t="s">
        <v>5</v>
      </c>
      <c r="AE25">
        <v>0</v>
      </c>
    </row>
    <row r="26" spans="1:31" x14ac:dyDescent="0.25">
      <c r="A26" t="s">
        <v>139</v>
      </c>
      <c r="B26" t="s">
        <v>189</v>
      </c>
      <c r="C26">
        <v>1200</v>
      </c>
      <c r="D26" t="s">
        <v>190</v>
      </c>
      <c r="E26">
        <v>1000000</v>
      </c>
      <c r="F26" t="s">
        <v>191</v>
      </c>
      <c r="G26">
        <v>12345</v>
      </c>
      <c r="H26" t="s">
        <v>216</v>
      </c>
      <c r="I26">
        <v>1</v>
      </c>
      <c r="J26" t="s">
        <v>192</v>
      </c>
      <c r="K26">
        <v>1E-3</v>
      </c>
      <c r="L26" t="s">
        <v>3</v>
      </c>
      <c r="M26">
        <v>1</v>
      </c>
      <c r="N26" t="s">
        <v>2</v>
      </c>
      <c r="O26">
        <v>0</v>
      </c>
      <c r="P26" t="s">
        <v>17</v>
      </c>
      <c r="Q26">
        <v>50</v>
      </c>
      <c r="R26" t="s">
        <v>0</v>
      </c>
      <c r="S26">
        <v>309.5</v>
      </c>
      <c r="T26" t="s">
        <v>152</v>
      </c>
      <c r="U26">
        <v>1</v>
      </c>
      <c r="V26" t="s">
        <v>153</v>
      </c>
      <c r="W26">
        <v>11</v>
      </c>
      <c r="X26" t="s">
        <v>151</v>
      </c>
      <c r="Y26">
        <v>31415</v>
      </c>
      <c r="Z26" t="s">
        <v>1</v>
      </c>
      <c r="AA26" t="s">
        <v>253</v>
      </c>
      <c r="AB26" t="s">
        <v>4</v>
      </c>
      <c r="AC26">
        <v>1</v>
      </c>
      <c r="AD26" t="s">
        <v>5</v>
      </c>
      <c r="AE26">
        <v>0</v>
      </c>
    </row>
    <row r="27" spans="1:31" x14ac:dyDescent="0.25">
      <c r="A27" t="s">
        <v>149</v>
      </c>
      <c r="B27" t="s">
        <v>189</v>
      </c>
      <c r="C27">
        <v>1200</v>
      </c>
      <c r="D27" t="s">
        <v>190</v>
      </c>
      <c r="E27">
        <v>1000000</v>
      </c>
      <c r="F27" t="s">
        <v>191</v>
      </c>
      <c r="G27">
        <v>12345</v>
      </c>
      <c r="H27" t="s">
        <v>216</v>
      </c>
      <c r="I27">
        <v>1</v>
      </c>
      <c r="J27" t="s">
        <v>192</v>
      </c>
      <c r="K27">
        <v>1E-3</v>
      </c>
      <c r="L27" t="s">
        <v>3</v>
      </c>
      <c r="M27">
        <v>1</v>
      </c>
      <c r="N27" t="s">
        <v>2</v>
      </c>
      <c r="O27">
        <v>0</v>
      </c>
      <c r="P27" t="s">
        <v>17</v>
      </c>
      <c r="Q27">
        <v>38</v>
      </c>
      <c r="R27" t="s">
        <v>0</v>
      </c>
      <c r="S27">
        <v>305.7</v>
      </c>
      <c r="T27" t="s">
        <v>152</v>
      </c>
      <c r="U27">
        <v>1</v>
      </c>
      <c r="V27" t="s">
        <v>153</v>
      </c>
      <c r="W27">
        <v>12</v>
      </c>
      <c r="X27" t="s">
        <v>151</v>
      </c>
      <c r="Y27">
        <v>32871</v>
      </c>
      <c r="Z27" t="s">
        <v>1</v>
      </c>
      <c r="AA27" t="s">
        <v>180</v>
      </c>
      <c r="AB27" t="s">
        <v>4</v>
      </c>
      <c r="AC27">
        <v>1</v>
      </c>
      <c r="AD27" t="s">
        <v>5</v>
      </c>
      <c r="AE27">
        <v>0</v>
      </c>
    </row>
    <row r="28" spans="1:31" x14ac:dyDescent="0.25">
      <c r="A28" t="s">
        <v>20</v>
      </c>
      <c r="B28" t="s">
        <v>189</v>
      </c>
      <c r="C28">
        <v>1200</v>
      </c>
      <c r="D28" t="s">
        <v>190</v>
      </c>
      <c r="E28">
        <v>1000000</v>
      </c>
      <c r="F28" t="s">
        <v>191</v>
      </c>
      <c r="G28">
        <v>12345</v>
      </c>
      <c r="H28" t="s">
        <v>216</v>
      </c>
      <c r="I28">
        <v>1</v>
      </c>
      <c r="J28" t="s">
        <v>192</v>
      </c>
      <c r="K28">
        <v>1E-3</v>
      </c>
      <c r="L28" t="s">
        <v>3</v>
      </c>
      <c r="M28" t="e" cm="1">
        <f t="array" ref="M28">-inf</f>
        <v>#NAME?</v>
      </c>
      <c r="N28" t="s">
        <v>2</v>
      </c>
      <c r="O28" t="s">
        <v>201</v>
      </c>
      <c r="P28" t="s">
        <v>17</v>
      </c>
      <c r="Q28" t="s">
        <v>201</v>
      </c>
      <c r="R28" t="s">
        <v>0</v>
      </c>
      <c r="S28">
        <v>1200</v>
      </c>
      <c r="T28" t="s">
        <v>152</v>
      </c>
      <c r="U28">
        <v>19</v>
      </c>
      <c r="V28" t="s">
        <v>153</v>
      </c>
      <c r="W28">
        <v>162</v>
      </c>
      <c r="X28" t="s">
        <v>151</v>
      </c>
      <c r="Y28">
        <v>365319</v>
      </c>
      <c r="Z28" t="s">
        <v>1</v>
      </c>
      <c r="AA28" t="e" cm="1">
        <f t="array" aca="1" ref="AA28" ca="1">-0.2615520878044+(1.2900258463952*COS(((-1.584+v0)+SIN((0.4+v0)))))+(0.9110097946935*LOG((v0*pow((v0+(-1*SIN((1*V1)))),-1))))+(-0.0169511875046*V1)</f>
        <v>#NAME?</v>
      </c>
      <c r="AB28" t="s">
        <v>4</v>
      </c>
      <c r="AC28">
        <v>0.84387590000000001</v>
      </c>
      <c r="AD28" t="s">
        <v>5</v>
      </c>
      <c r="AE28">
        <v>9.2754199999999995E-2</v>
      </c>
    </row>
    <row r="29" spans="1:31" x14ac:dyDescent="0.25">
      <c r="A29" t="s">
        <v>30</v>
      </c>
      <c r="B29" t="s">
        <v>189</v>
      </c>
      <c r="C29">
        <v>1200</v>
      </c>
      <c r="D29" t="s">
        <v>190</v>
      </c>
      <c r="E29">
        <v>1000000</v>
      </c>
      <c r="F29" t="s">
        <v>191</v>
      </c>
      <c r="G29">
        <v>12345</v>
      </c>
      <c r="H29" t="s">
        <v>216</v>
      </c>
      <c r="I29">
        <v>1</v>
      </c>
      <c r="J29" t="s">
        <v>192</v>
      </c>
      <c r="K29">
        <v>1E-3</v>
      </c>
      <c r="L29" t="s">
        <v>3</v>
      </c>
      <c r="M29">
        <v>1</v>
      </c>
      <c r="N29" t="s">
        <v>2</v>
      </c>
      <c r="O29">
        <v>0</v>
      </c>
      <c r="P29" t="s">
        <v>17</v>
      </c>
      <c r="Q29">
        <v>14</v>
      </c>
      <c r="R29" t="s">
        <v>0</v>
      </c>
      <c r="S29">
        <v>763.8</v>
      </c>
      <c r="T29" t="s">
        <v>152</v>
      </c>
      <c r="U29">
        <v>50</v>
      </c>
      <c r="V29" t="s">
        <v>153</v>
      </c>
      <c r="W29">
        <v>209</v>
      </c>
      <c r="X29" t="s">
        <v>151</v>
      </c>
      <c r="Y29">
        <v>203213</v>
      </c>
      <c r="Z29" t="s">
        <v>1</v>
      </c>
      <c r="AA29" t="s">
        <v>276</v>
      </c>
      <c r="AB29" t="s">
        <v>4</v>
      </c>
      <c r="AC29">
        <v>1</v>
      </c>
      <c r="AD29" t="s">
        <v>5</v>
      </c>
      <c r="AE29">
        <v>0</v>
      </c>
    </row>
    <row r="30" spans="1:31" x14ac:dyDescent="0.25">
      <c r="A30" t="s">
        <v>40</v>
      </c>
      <c r="B30" t="s">
        <v>189</v>
      </c>
      <c r="C30">
        <v>1200</v>
      </c>
      <c r="D30" t="s">
        <v>190</v>
      </c>
      <c r="E30">
        <v>1000000</v>
      </c>
      <c r="F30" t="s">
        <v>191</v>
      </c>
      <c r="G30">
        <v>12345</v>
      </c>
      <c r="H30" t="s">
        <v>216</v>
      </c>
      <c r="I30">
        <v>1</v>
      </c>
      <c r="J30" t="s">
        <v>192</v>
      </c>
      <c r="K30">
        <v>1E-3</v>
      </c>
      <c r="L30" t="s">
        <v>3</v>
      </c>
      <c r="M30">
        <v>1</v>
      </c>
      <c r="N30" t="s">
        <v>2</v>
      </c>
      <c r="O30">
        <v>0</v>
      </c>
      <c r="P30" t="s">
        <v>17</v>
      </c>
      <c r="Q30">
        <v>10</v>
      </c>
      <c r="R30" t="s">
        <v>0</v>
      </c>
      <c r="S30">
        <v>8.1999999999999993</v>
      </c>
      <c r="T30" t="s">
        <v>152</v>
      </c>
      <c r="U30">
        <v>1</v>
      </c>
      <c r="V30" t="s">
        <v>153</v>
      </c>
      <c r="W30">
        <v>3</v>
      </c>
      <c r="X30" t="s">
        <v>151</v>
      </c>
      <c r="Y30">
        <v>1479</v>
      </c>
      <c r="Z30" t="s">
        <v>1</v>
      </c>
      <c r="AA30" t="s">
        <v>200</v>
      </c>
      <c r="AB30" t="s">
        <v>4</v>
      </c>
      <c r="AC30">
        <v>1</v>
      </c>
      <c r="AD30" t="s">
        <v>5</v>
      </c>
      <c r="AE30">
        <v>0</v>
      </c>
    </row>
    <row r="31" spans="1:31" x14ac:dyDescent="0.25">
      <c r="A31" t="s">
        <v>50</v>
      </c>
      <c r="B31" t="s">
        <v>189</v>
      </c>
      <c r="C31">
        <v>1200</v>
      </c>
      <c r="D31" t="s">
        <v>190</v>
      </c>
      <c r="E31">
        <v>1000000</v>
      </c>
      <c r="F31" t="s">
        <v>191</v>
      </c>
      <c r="G31">
        <v>12345</v>
      </c>
      <c r="H31" t="s">
        <v>216</v>
      </c>
      <c r="I31">
        <v>1</v>
      </c>
      <c r="J31" t="s">
        <v>192</v>
      </c>
      <c r="K31">
        <v>1E-3</v>
      </c>
      <c r="L31" t="s">
        <v>3</v>
      </c>
      <c r="M31">
        <v>0.99413669999999998</v>
      </c>
      <c r="N31" t="s">
        <v>2</v>
      </c>
      <c r="O31">
        <v>8.7331699999999998E-2</v>
      </c>
      <c r="P31" t="s">
        <v>17</v>
      </c>
      <c r="Q31">
        <v>38</v>
      </c>
      <c r="R31" t="s">
        <v>0</v>
      </c>
      <c r="S31">
        <v>1200.8</v>
      </c>
      <c r="T31" t="s">
        <v>152</v>
      </c>
      <c r="U31">
        <v>17</v>
      </c>
      <c r="V31" t="s">
        <v>153</v>
      </c>
      <c r="W31">
        <v>58</v>
      </c>
      <c r="X31" t="s">
        <v>151</v>
      </c>
      <c r="Y31">
        <v>105333</v>
      </c>
      <c r="Z31" t="s">
        <v>1</v>
      </c>
      <c r="AA31" t="s">
        <v>277</v>
      </c>
      <c r="AB31" t="s">
        <v>4</v>
      </c>
      <c r="AC31">
        <v>0.99411150000000004</v>
      </c>
      <c r="AD31" t="s">
        <v>5</v>
      </c>
      <c r="AE31">
        <v>8.7067800000000001E-2</v>
      </c>
    </row>
    <row r="32" spans="1:31" x14ac:dyDescent="0.25">
      <c r="A32" t="s">
        <v>60</v>
      </c>
      <c r="B32" t="s">
        <v>189</v>
      </c>
      <c r="C32">
        <v>1200</v>
      </c>
      <c r="D32" t="s">
        <v>190</v>
      </c>
      <c r="E32">
        <v>1000000</v>
      </c>
      <c r="F32" t="s">
        <v>191</v>
      </c>
      <c r="G32">
        <v>12345</v>
      </c>
      <c r="H32" t="s">
        <v>216</v>
      </c>
      <c r="I32">
        <v>1</v>
      </c>
      <c r="J32" t="s">
        <v>192</v>
      </c>
      <c r="K32">
        <v>1E-3</v>
      </c>
      <c r="L32" t="s">
        <v>3</v>
      </c>
      <c r="M32">
        <v>1</v>
      </c>
      <c r="N32" t="s">
        <v>2</v>
      </c>
      <c r="O32">
        <v>0</v>
      </c>
      <c r="P32" t="s">
        <v>17</v>
      </c>
      <c r="Q32">
        <v>14</v>
      </c>
      <c r="R32" t="s">
        <v>0</v>
      </c>
      <c r="S32">
        <v>428.8</v>
      </c>
      <c r="T32" t="s">
        <v>152</v>
      </c>
      <c r="U32">
        <v>8</v>
      </c>
      <c r="V32" t="s">
        <v>153</v>
      </c>
      <c r="W32">
        <v>47</v>
      </c>
      <c r="X32" t="s">
        <v>151</v>
      </c>
      <c r="Y32">
        <v>60424</v>
      </c>
      <c r="Z32" t="s">
        <v>1</v>
      </c>
      <c r="AA32" t="s">
        <v>278</v>
      </c>
      <c r="AB32" t="s">
        <v>4</v>
      </c>
      <c r="AC32">
        <v>1</v>
      </c>
      <c r="AD32" t="s">
        <v>5</v>
      </c>
      <c r="AE32">
        <v>0</v>
      </c>
    </row>
    <row r="33" spans="1:31" x14ac:dyDescent="0.25">
      <c r="A33" t="s">
        <v>70</v>
      </c>
      <c r="B33" t="s">
        <v>189</v>
      </c>
      <c r="C33">
        <v>1200</v>
      </c>
      <c r="D33" t="s">
        <v>190</v>
      </c>
      <c r="E33">
        <v>1000000</v>
      </c>
      <c r="F33" t="s">
        <v>191</v>
      </c>
      <c r="G33">
        <v>12345</v>
      </c>
      <c r="H33" t="s">
        <v>216</v>
      </c>
      <c r="I33">
        <v>1</v>
      </c>
      <c r="J33" t="s">
        <v>192</v>
      </c>
      <c r="K33">
        <v>1E-3</v>
      </c>
      <c r="L33" t="s">
        <v>3</v>
      </c>
      <c r="M33">
        <v>1</v>
      </c>
      <c r="N33" t="s">
        <v>2</v>
      </c>
      <c r="O33">
        <v>0</v>
      </c>
      <c r="P33" t="s">
        <v>17</v>
      </c>
      <c r="Q33">
        <v>9</v>
      </c>
      <c r="R33" t="s">
        <v>0</v>
      </c>
      <c r="S33">
        <v>8.1999999999999993</v>
      </c>
      <c r="T33" t="s">
        <v>152</v>
      </c>
      <c r="U33">
        <v>1</v>
      </c>
      <c r="V33" t="s">
        <v>153</v>
      </c>
      <c r="W33">
        <v>4</v>
      </c>
      <c r="X33" t="s">
        <v>151</v>
      </c>
      <c r="Y33">
        <v>1540</v>
      </c>
      <c r="Z33" t="s">
        <v>1</v>
      </c>
      <c r="AA33" t="s">
        <v>178</v>
      </c>
      <c r="AB33" t="s">
        <v>4</v>
      </c>
      <c r="AC33">
        <v>1</v>
      </c>
      <c r="AD33" t="s">
        <v>5</v>
      </c>
      <c r="AE33">
        <v>0</v>
      </c>
    </row>
    <row r="34" spans="1:31" x14ac:dyDescent="0.25">
      <c r="A34" t="s">
        <v>80</v>
      </c>
      <c r="B34" t="s">
        <v>189</v>
      </c>
      <c r="C34">
        <v>1200</v>
      </c>
      <c r="D34" t="s">
        <v>190</v>
      </c>
      <c r="E34">
        <v>1000000</v>
      </c>
      <c r="F34" t="s">
        <v>191</v>
      </c>
      <c r="G34">
        <v>12345</v>
      </c>
      <c r="H34" t="s">
        <v>216</v>
      </c>
      <c r="I34">
        <v>1</v>
      </c>
      <c r="J34" t="s">
        <v>192</v>
      </c>
      <c r="K34">
        <v>1E-3</v>
      </c>
      <c r="L34" t="s">
        <v>3</v>
      </c>
      <c r="M34">
        <v>1</v>
      </c>
      <c r="N34" t="s">
        <v>2</v>
      </c>
      <c r="O34">
        <v>0</v>
      </c>
      <c r="P34" t="s">
        <v>17</v>
      </c>
      <c r="Q34">
        <v>14</v>
      </c>
      <c r="R34" t="s">
        <v>0</v>
      </c>
      <c r="S34">
        <v>17.100000000000001</v>
      </c>
      <c r="T34" t="s">
        <v>152</v>
      </c>
      <c r="U34">
        <v>1</v>
      </c>
      <c r="V34" t="s">
        <v>153</v>
      </c>
      <c r="W34">
        <v>4</v>
      </c>
      <c r="X34" t="s">
        <v>151</v>
      </c>
      <c r="Y34">
        <v>2825</v>
      </c>
      <c r="Z34" t="s">
        <v>1</v>
      </c>
      <c r="AA34" t="s">
        <v>165</v>
      </c>
      <c r="AB34" t="s">
        <v>4</v>
      </c>
      <c r="AC34">
        <v>1</v>
      </c>
      <c r="AD34" t="s">
        <v>5</v>
      </c>
      <c r="AE34">
        <v>0</v>
      </c>
    </row>
    <row r="35" spans="1:31" x14ac:dyDescent="0.25">
      <c r="A35" t="s">
        <v>90</v>
      </c>
      <c r="B35" t="s">
        <v>189</v>
      </c>
      <c r="C35">
        <v>1200</v>
      </c>
      <c r="D35" t="s">
        <v>190</v>
      </c>
      <c r="E35">
        <v>1000000</v>
      </c>
      <c r="F35" t="s">
        <v>191</v>
      </c>
      <c r="G35">
        <v>12345</v>
      </c>
      <c r="H35" t="s">
        <v>216</v>
      </c>
      <c r="I35">
        <v>1</v>
      </c>
      <c r="J35" t="s">
        <v>192</v>
      </c>
      <c r="K35">
        <v>1E-3</v>
      </c>
      <c r="L35" t="s">
        <v>3</v>
      </c>
      <c r="M35">
        <v>1</v>
      </c>
      <c r="N35" t="s">
        <v>2</v>
      </c>
      <c r="O35">
        <v>0</v>
      </c>
      <c r="P35" t="s">
        <v>17</v>
      </c>
      <c r="Q35">
        <v>16</v>
      </c>
      <c r="R35" t="s">
        <v>0</v>
      </c>
      <c r="S35">
        <v>28.1</v>
      </c>
      <c r="T35" t="s">
        <v>152</v>
      </c>
      <c r="U35">
        <v>1</v>
      </c>
      <c r="V35" t="s">
        <v>153</v>
      </c>
      <c r="W35">
        <v>5</v>
      </c>
      <c r="X35" t="s">
        <v>151</v>
      </c>
      <c r="Y35">
        <v>4521</v>
      </c>
      <c r="Z35" t="s">
        <v>1</v>
      </c>
      <c r="AA35" t="s">
        <v>240</v>
      </c>
      <c r="AB35" t="s">
        <v>4</v>
      </c>
      <c r="AC35">
        <v>1</v>
      </c>
      <c r="AD35" t="s">
        <v>5</v>
      </c>
      <c r="AE35">
        <v>0</v>
      </c>
    </row>
    <row r="36" spans="1:31" x14ac:dyDescent="0.25">
      <c r="A36" t="s">
        <v>100</v>
      </c>
      <c r="B36" t="s">
        <v>189</v>
      </c>
      <c r="C36">
        <v>1200</v>
      </c>
      <c r="D36" t="s">
        <v>190</v>
      </c>
      <c r="E36">
        <v>1000000</v>
      </c>
      <c r="F36" t="s">
        <v>191</v>
      </c>
      <c r="G36">
        <v>12345</v>
      </c>
      <c r="H36" t="s">
        <v>216</v>
      </c>
      <c r="I36">
        <v>1</v>
      </c>
      <c r="J36" t="s">
        <v>192</v>
      </c>
      <c r="K36">
        <v>1E-3</v>
      </c>
      <c r="L36" t="s">
        <v>3</v>
      </c>
      <c r="M36">
        <v>1</v>
      </c>
      <c r="N36" t="s">
        <v>2</v>
      </c>
      <c r="O36">
        <v>0</v>
      </c>
      <c r="P36" t="s">
        <v>17</v>
      </c>
      <c r="Q36">
        <v>12</v>
      </c>
      <c r="R36" t="s">
        <v>0</v>
      </c>
      <c r="S36">
        <v>15.6</v>
      </c>
      <c r="T36" t="s">
        <v>152</v>
      </c>
      <c r="U36">
        <v>1</v>
      </c>
      <c r="V36" t="s">
        <v>153</v>
      </c>
      <c r="W36">
        <v>4</v>
      </c>
      <c r="X36" t="s">
        <v>151</v>
      </c>
      <c r="Y36">
        <v>2574</v>
      </c>
      <c r="Z36" t="s">
        <v>1</v>
      </c>
      <c r="AA36" t="s">
        <v>177</v>
      </c>
      <c r="AB36" t="s">
        <v>4</v>
      </c>
      <c r="AC36">
        <v>1</v>
      </c>
      <c r="AD36" t="s">
        <v>5</v>
      </c>
      <c r="AE36">
        <v>0</v>
      </c>
    </row>
    <row r="37" spans="1:31" x14ac:dyDescent="0.25">
      <c r="A37" t="s">
        <v>110</v>
      </c>
      <c r="B37" t="s">
        <v>189</v>
      </c>
      <c r="C37">
        <v>1200</v>
      </c>
      <c r="D37" t="s">
        <v>190</v>
      </c>
      <c r="E37">
        <v>1000000</v>
      </c>
      <c r="F37" t="s">
        <v>191</v>
      </c>
      <c r="G37">
        <v>12345</v>
      </c>
      <c r="H37" t="s">
        <v>216</v>
      </c>
      <c r="I37">
        <v>1</v>
      </c>
      <c r="J37" t="s">
        <v>192</v>
      </c>
      <c r="K37">
        <v>1E-3</v>
      </c>
      <c r="L37" t="s">
        <v>3</v>
      </c>
      <c r="M37">
        <v>1</v>
      </c>
      <c r="N37" t="s">
        <v>2</v>
      </c>
      <c r="O37">
        <v>0</v>
      </c>
      <c r="P37" t="s">
        <v>17</v>
      </c>
      <c r="Q37">
        <v>14</v>
      </c>
      <c r="R37" t="s">
        <v>0</v>
      </c>
      <c r="S37">
        <v>25.8</v>
      </c>
      <c r="T37" t="s">
        <v>152</v>
      </c>
      <c r="U37">
        <v>1</v>
      </c>
      <c r="V37" t="s">
        <v>153</v>
      </c>
      <c r="W37">
        <v>5</v>
      </c>
      <c r="X37" t="s">
        <v>151</v>
      </c>
      <c r="Y37">
        <v>4133</v>
      </c>
      <c r="Z37" t="s">
        <v>1</v>
      </c>
      <c r="AA37" t="s">
        <v>167</v>
      </c>
      <c r="AB37" t="s">
        <v>4</v>
      </c>
      <c r="AC37">
        <v>1</v>
      </c>
      <c r="AD37" t="s">
        <v>5</v>
      </c>
      <c r="AE37">
        <v>0</v>
      </c>
    </row>
    <row r="38" spans="1:31" x14ac:dyDescent="0.25">
      <c r="A38" t="s">
        <v>26</v>
      </c>
      <c r="B38" t="s">
        <v>189</v>
      </c>
      <c r="C38">
        <v>1200</v>
      </c>
      <c r="D38" t="s">
        <v>190</v>
      </c>
      <c r="E38">
        <v>1000000</v>
      </c>
      <c r="F38" t="s">
        <v>191</v>
      </c>
      <c r="G38">
        <v>12345</v>
      </c>
      <c r="H38" t="s">
        <v>216</v>
      </c>
      <c r="I38">
        <v>1</v>
      </c>
      <c r="J38" t="s">
        <v>192</v>
      </c>
      <c r="K38">
        <v>1E-3</v>
      </c>
      <c r="L38" t="s">
        <v>3</v>
      </c>
      <c r="M38">
        <v>0.99999939999999998</v>
      </c>
      <c r="N38" t="s">
        <v>2</v>
      </c>
      <c r="O38">
        <v>1.8990000000000001E-3</v>
      </c>
      <c r="P38" t="s">
        <v>17</v>
      </c>
      <c r="Q38">
        <v>17</v>
      </c>
      <c r="R38" t="s">
        <v>0</v>
      </c>
      <c r="S38">
        <v>1200.0999999999999</v>
      </c>
      <c r="T38" t="s">
        <v>152</v>
      </c>
      <c r="U38">
        <v>86</v>
      </c>
      <c r="V38" t="s">
        <v>153</v>
      </c>
      <c r="W38">
        <v>347</v>
      </c>
      <c r="X38" t="s">
        <v>151</v>
      </c>
      <c r="Y38">
        <v>341470</v>
      </c>
      <c r="Z38" t="s">
        <v>1</v>
      </c>
      <c r="AA38" t="s">
        <v>279</v>
      </c>
      <c r="AB38" t="s">
        <v>4</v>
      </c>
      <c r="AC38">
        <v>0.99999899999999997</v>
      </c>
      <c r="AD38" t="s">
        <v>5</v>
      </c>
      <c r="AE38">
        <v>2.6733999999999998E-3</v>
      </c>
    </row>
    <row r="39" spans="1:31" x14ac:dyDescent="0.25">
      <c r="A39" t="s">
        <v>36</v>
      </c>
      <c r="B39" t="s">
        <v>189</v>
      </c>
      <c r="C39">
        <v>1200</v>
      </c>
      <c r="D39" t="s">
        <v>190</v>
      </c>
      <c r="E39">
        <v>1000000</v>
      </c>
      <c r="F39" t="s">
        <v>191</v>
      </c>
      <c r="G39">
        <v>12345</v>
      </c>
      <c r="H39" t="s">
        <v>216</v>
      </c>
      <c r="I39">
        <v>1</v>
      </c>
      <c r="J39" t="s">
        <v>192</v>
      </c>
      <c r="K39">
        <v>1E-3</v>
      </c>
      <c r="L39" t="s">
        <v>3</v>
      </c>
      <c r="M39">
        <v>1</v>
      </c>
      <c r="N39" t="s">
        <v>2</v>
      </c>
      <c r="O39">
        <v>0</v>
      </c>
      <c r="P39" t="s">
        <v>17</v>
      </c>
      <c r="Q39">
        <v>6</v>
      </c>
      <c r="R39" t="s">
        <v>0</v>
      </c>
      <c r="S39">
        <v>2.6</v>
      </c>
      <c r="T39" t="s">
        <v>152</v>
      </c>
      <c r="U39">
        <v>1</v>
      </c>
      <c r="V39" t="s">
        <v>153</v>
      </c>
      <c r="W39">
        <v>2</v>
      </c>
      <c r="X39" t="s">
        <v>151</v>
      </c>
      <c r="Y39">
        <v>540</v>
      </c>
      <c r="Z39" t="s">
        <v>1</v>
      </c>
      <c r="AA39" t="s">
        <v>157</v>
      </c>
      <c r="AB39" t="s">
        <v>4</v>
      </c>
      <c r="AC39">
        <v>1</v>
      </c>
      <c r="AD39" t="s">
        <v>5</v>
      </c>
      <c r="AE39">
        <v>0</v>
      </c>
    </row>
    <row r="40" spans="1:31" x14ac:dyDescent="0.25">
      <c r="A40" t="s">
        <v>46</v>
      </c>
      <c r="B40" t="s">
        <v>189</v>
      </c>
      <c r="C40">
        <v>1200</v>
      </c>
      <c r="D40" t="s">
        <v>190</v>
      </c>
      <c r="E40">
        <v>1000000</v>
      </c>
      <c r="F40" t="s">
        <v>191</v>
      </c>
      <c r="G40">
        <v>12345</v>
      </c>
      <c r="H40" t="s">
        <v>216</v>
      </c>
      <c r="I40">
        <v>1</v>
      </c>
      <c r="J40" t="s">
        <v>192</v>
      </c>
      <c r="K40">
        <v>1E-3</v>
      </c>
      <c r="L40" t="s">
        <v>3</v>
      </c>
      <c r="M40">
        <v>1</v>
      </c>
      <c r="N40" t="s">
        <v>2</v>
      </c>
      <c r="O40">
        <v>0</v>
      </c>
      <c r="P40" t="s">
        <v>17</v>
      </c>
      <c r="Q40">
        <v>8</v>
      </c>
      <c r="R40" t="s">
        <v>0</v>
      </c>
      <c r="S40">
        <v>5.9</v>
      </c>
      <c r="T40" t="s">
        <v>152</v>
      </c>
      <c r="U40">
        <v>1</v>
      </c>
      <c r="V40" t="s">
        <v>153</v>
      </c>
      <c r="W40">
        <v>3</v>
      </c>
      <c r="X40" t="s">
        <v>151</v>
      </c>
      <c r="Y40">
        <v>1137</v>
      </c>
      <c r="Z40" t="s">
        <v>1</v>
      </c>
      <c r="AA40" t="s">
        <v>202</v>
      </c>
      <c r="AB40" t="s">
        <v>4</v>
      </c>
      <c r="AC40">
        <v>1</v>
      </c>
      <c r="AD40" t="s">
        <v>5</v>
      </c>
      <c r="AE40">
        <v>0</v>
      </c>
    </row>
    <row r="41" spans="1:31" x14ac:dyDescent="0.25">
      <c r="A41" t="s">
        <v>25</v>
      </c>
      <c r="B41" t="s">
        <v>189</v>
      </c>
      <c r="C41">
        <v>1200</v>
      </c>
      <c r="D41" t="s">
        <v>190</v>
      </c>
      <c r="E41">
        <v>1000000</v>
      </c>
      <c r="F41" t="s">
        <v>191</v>
      </c>
      <c r="G41">
        <v>12345</v>
      </c>
      <c r="H41" t="s">
        <v>216</v>
      </c>
      <c r="I41">
        <v>1</v>
      </c>
      <c r="J41" t="s">
        <v>192</v>
      </c>
      <c r="K41">
        <v>1E-3</v>
      </c>
      <c r="L41" t="s">
        <v>3</v>
      </c>
      <c r="M41">
        <v>1</v>
      </c>
      <c r="N41" t="s">
        <v>2</v>
      </c>
      <c r="O41">
        <v>0</v>
      </c>
      <c r="P41" t="s">
        <v>17</v>
      </c>
      <c r="Q41">
        <v>13</v>
      </c>
      <c r="R41" t="s">
        <v>0</v>
      </c>
      <c r="S41">
        <v>9.1999999999999993</v>
      </c>
      <c r="T41" t="s">
        <v>152</v>
      </c>
      <c r="U41">
        <v>1</v>
      </c>
      <c r="V41" t="s">
        <v>153</v>
      </c>
      <c r="W41">
        <v>8</v>
      </c>
      <c r="X41" t="s">
        <v>151</v>
      </c>
      <c r="Y41">
        <v>4960</v>
      </c>
      <c r="Z41" t="s">
        <v>1</v>
      </c>
      <c r="AA41" t="s">
        <v>217</v>
      </c>
      <c r="AB41" t="s">
        <v>4</v>
      </c>
      <c r="AC41">
        <v>1</v>
      </c>
      <c r="AD41" t="s">
        <v>5</v>
      </c>
      <c r="AE41">
        <v>0</v>
      </c>
    </row>
    <row r="42" spans="1:31" x14ac:dyDescent="0.25">
      <c r="A42" t="s">
        <v>35</v>
      </c>
      <c r="B42" t="s">
        <v>189</v>
      </c>
      <c r="C42">
        <v>1200</v>
      </c>
      <c r="D42" t="s">
        <v>190</v>
      </c>
      <c r="E42">
        <v>1000000</v>
      </c>
      <c r="F42" t="s">
        <v>191</v>
      </c>
      <c r="G42">
        <v>12345</v>
      </c>
      <c r="H42" t="s">
        <v>216</v>
      </c>
      <c r="I42">
        <v>1</v>
      </c>
      <c r="J42" t="s">
        <v>192</v>
      </c>
      <c r="K42">
        <v>1E-3</v>
      </c>
      <c r="L42" t="s">
        <v>3</v>
      </c>
      <c r="M42">
        <v>1</v>
      </c>
      <c r="N42" t="s">
        <v>2</v>
      </c>
      <c r="O42">
        <v>0</v>
      </c>
      <c r="P42" t="s">
        <v>17</v>
      </c>
      <c r="Q42">
        <v>8</v>
      </c>
      <c r="R42" t="s">
        <v>0</v>
      </c>
      <c r="S42">
        <v>3.8</v>
      </c>
      <c r="T42" t="s">
        <v>152</v>
      </c>
      <c r="U42">
        <v>1</v>
      </c>
      <c r="V42" t="s">
        <v>153</v>
      </c>
      <c r="W42">
        <v>2</v>
      </c>
      <c r="X42" t="s">
        <v>151</v>
      </c>
      <c r="Y42">
        <v>730</v>
      </c>
      <c r="Z42" t="s">
        <v>1</v>
      </c>
      <c r="AA42" t="s">
        <v>155</v>
      </c>
      <c r="AB42" t="s">
        <v>4</v>
      </c>
      <c r="AC42">
        <v>1</v>
      </c>
      <c r="AD42" t="s">
        <v>5</v>
      </c>
      <c r="AE42">
        <v>0</v>
      </c>
    </row>
    <row r="43" spans="1:31" x14ac:dyDescent="0.25">
      <c r="A43" t="s">
        <v>22</v>
      </c>
      <c r="B43" t="s">
        <v>189</v>
      </c>
      <c r="C43">
        <v>1200</v>
      </c>
      <c r="D43" t="s">
        <v>190</v>
      </c>
      <c r="E43">
        <v>1000000</v>
      </c>
      <c r="F43" t="s">
        <v>191</v>
      </c>
      <c r="G43">
        <v>12345</v>
      </c>
      <c r="H43" t="s">
        <v>216</v>
      </c>
      <c r="I43">
        <v>1</v>
      </c>
      <c r="J43" t="s">
        <v>192</v>
      </c>
      <c r="K43">
        <v>1E-3</v>
      </c>
      <c r="L43" t="s">
        <v>3</v>
      </c>
      <c r="M43">
        <v>0.99999899999999997</v>
      </c>
      <c r="N43" t="s">
        <v>2</v>
      </c>
      <c r="O43">
        <v>2.1359999999999999E-3</v>
      </c>
      <c r="P43" t="s">
        <v>17</v>
      </c>
      <c r="Q43">
        <v>13</v>
      </c>
      <c r="R43" t="s">
        <v>0</v>
      </c>
      <c r="S43">
        <v>1200.0999999999999</v>
      </c>
      <c r="T43" t="s">
        <v>152</v>
      </c>
      <c r="U43">
        <v>111</v>
      </c>
      <c r="V43" t="s">
        <v>153</v>
      </c>
      <c r="W43">
        <v>443</v>
      </c>
      <c r="X43" t="s">
        <v>151</v>
      </c>
      <c r="Y43">
        <v>378696</v>
      </c>
      <c r="Z43" t="s">
        <v>1</v>
      </c>
      <c r="AA43" t="s">
        <v>280</v>
      </c>
      <c r="AB43" t="s">
        <v>4</v>
      </c>
      <c r="AC43">
        <v>0.99997630000000004</v>
      </c>
      <c r="AD43" t="s">
        <v>5</v>
      </c>
      <c r="AE43">
        <v>1.09348E-2</v>
      </c>
    </row>
    <row r="44" spans="1:31" x14ac:dyDescent="0.25">
      <c r="A44" t="s">
        <v>120</v>
      </c>
      <c r="B44" t="s">
        <v>189</v>
      </c>
      <c r="C44">
        <v>1200</v>
      </c>
      <c r="D44" t="s">
        <v>190</v>
      </c>
      <c r="E44">
        <v>1000000</v>
      </c>
      <c r="F44" t="s">
        <v>191</v>
      </c>
      <c r="G44">
        <v>12345</v>
      </c>
      <c r="H44" t="s">
        <v>216</v>
      </c>
      <c r="I44">
        <v>1</v>
      </c>
      <c r="J44" t="s">
        <v>192</v>
      </c>
      <c r="K44">
        <v>1E-3</v>
      </c>
      <c r="L44" t="s">
        <v>3</v>
      </c>
      <c r="M44">
        <v>0.99991830000000004</v>
      </c>
      <c r="N44" t="s">
        <v>2</v>
      </c>
      <c r="O44">
        <v>2.8616000000000002E-3</v>
      </c>
      <c r="P44" t="s">
        <v>17</v>
      </c>
      <c r="Q44">
        <v>25</v>
      </c>
      <c r="R44" t="s">
        <v>0</v>
      </c>
      <c r="S44">
        <v>1201.9000000000001</v>
      </c>
      <c r="T44" t="s">
        <v>152</v>
      </c>
      <c r="U44">
        <v>11</v>
      </c>
      <c r="V44" t="s">
        <v>153</v>
      </c>
      <c r="W44">
        <v>65</v>
      </c>
      <c r="X44" t="s">
        <v>151</v>
      </c>
      <c r="Y44">
        <v>144144</v>
      </c>
      <c r="Z44" t="s">
        <v>1</v>
      </c>
      <c r="AA44" t="s">
        <v>281</v>
      </c>
      <c r="AB44" t="s">
        <v>4</v>
      </c>
      <c r="AC44">
        <v>0.99991890000000005</v>
      </c>
      <c r="AD44" t="s">
        <v>5</v>
      </c>
      <c r="AE44">
        <v>2.8586000000000002E-3</v>
      </c>
    </row>
    <row r="45" spans="1:31" x14ac:dyDescent="0.25">
      <c r="A45" t="s">
        <v>56</v>
      </c>
      <c r="B45" t="s">
        <v>189</v>
      </c>
      <c r="C45">
        <v>1200</v>
      </c>
      <c r="D45" t="s">
        <v>190</v>
      </c>
      <c r="E45">
        <v>1000000</v>
      </c>
      <c r="F45" t="s">
        <v>191</v>
      </c>
      <c r="G45">
        <v>12345</v>
      </c>
      <c r="H45" t="s">
        <v>216</v>
      </c>
      <c r="I45">
        <v>1</v>
      </c>
      <c r="J45" t="s">
        <v>192</v>
      </c>
      <c r="K45">
        <v>1E-3</v>
      </c>
      <c r="L45" t="s">
        <v>3</v>
      </c>
      <c r="M45">
        <v>0.99999769999999999</v>
      </c>
      <c r="N45" t="s">
        <v>2</v>
      </c>
      <c r="O45">
        <v>3.1668E-3</v>
      </c>
      <c r="P45" t="s">
        <v>17</v>
      </c>
      <c r="Q45">
        <v>21</v>
      </c>
      <c r="R45" t="s">
        <v>0</v>
      </c>
      <c r="S45">
        <v>1201.0999999999999</v>
      </c>
      <c r="T45" t="s">
        <v>152</v>
      </c>
      <c r="U45">
        <v>18</v>
      </c>
      <c r="V45" t="s">
        <v>153</v>
      </c>
      <c r="W45">
        <v>88</v>
      </c>
      <c r="X45" t="s">
        <v>151</v>
      </c>
      <c r="Y45">
        <v>128472</v>
      </c>
      <c r="Z45" t="s">
        <v>1</v>
      </c>
      <c r="AA45" t="s">
        <v>282</v>
      </c>
      <c r="AB45" t="s">
        <v>4</v>
      </c>
      <c r="AC45">
        <v>0.99999760000000004</v>
      </c>
      <c r="AD45" t="s">
        <v>5</v>
      </c>
      <c r="AE45">
        <v>3.2414000000000002E-3</v>
      </c>
    </row>
    <row r="46" spans="1:31" x14ac:dyDescent="0.25">
      <c r="A46" t="s">
        <v>66</v>
      </c>
      <c r="B46" t="s">
        <v>189</v>
      </c>
      <c r="C46">
        <v>1200</v>
      </c>
      <c r="D46" t="s">
        <v>190</v>
      </c>
      <c r="E46">
        <v>1000000</v>
      </c>
      <c r="F46" t="s">
        <v>191</v>
      </c>
      <c r="G46">
        <v>12345</v>
      </c>
      <c r="H46" t="s">
        <v>216</v>
      </c>
      <c r="I46">
        <v>1</v>
      </c>
      <c r="J46" t="s">
        <v>192</v>
      </c>
      <c r="K46">
        <v>1E-3</v>
      </c>
      <c r="L46" t="s">
        <v>3</v>
      </c>
      <c r="M46">
        <v>1</v>
      </c>
      <c r="N46" t="s">
        <v>2</v>
      </c>
      <c r="O46">
        <v>0</v>
      </c>
      <c r="P46" t="s">
        <v>17</v>
      </c>
      <c r="Q46">
        <v>10</v>
      </c>
      <c r="R46" t="s">
        <v>0</v>
      </c>
      <c r="S46">
        <v>8.4</v>
      </c>
      <c r="T46" t="s">
        <v>152</v>
      </c>
      <c r="U46">
        <v>1</v>
      </c>
      <c r="V46" t="s">
        <v>153</v>
      </c>
      <c r="W46">
        <v>3</v>
      </c>
      <c r="X46" t="s">
        <v>151</v>
      </c>
      <c r="Y46">
        <v>1492</v>
      </c>
      <c r="Z46" t="s">
        <v>1</v>
      </c>
      <c r="AA46" t="s">
        <v>161</v>
      </c>
      <c r="AB46" t="s">
        <v>4</v>
      </c>
      <c r="AC46">
        <v>1</v>
      </c>
      <c r="AD46" t="s">
        <v>5</v>
      </c>
      <c r="AE46">
        <v>0</v>
      </c>
    </row>
    <row r="47" spans="1:31" x14ac:dyDescent="0.25">
      <c r="A47" t="s">
        <v>76</v>
      </c>
      <c r="B47" t="s">
        <v>189</v>
      </c>
      <c r="C47">
        <v>1200</v>
      </c>
      <c r="D47" t="s">
        <v>190</v>
      </c>
      <c r="E47">
        <v>1000000</v>
      </c>
      <c r="F47" t="s">
        <v>191</v>
      </c>
      <c r="G47">
        <v>12345</v>
      </c>
      <c r="H47" t="s">
        <v>216</v>
      </c>
      <c r="I47">
        <v>1</v>
      </c>
      <c r="J47" t="s">
        <v>192</v>
      </c>
      <c r="K47">
        <v>1E-3</v>
      </c>
      <c r="L47" t="s">
        <v>3</v>
      </c>
      <c r="M47">
        <v>1</v>
      </c>
      <c r="N47" t="s">
        <v>2</v>
      </c>
      <c r="O47">
        <v>0</v>
      </c>
      <c r="P47" t="s">
        <v>17</v>
      </c>
      <c r="Q47">
        <v>10</v>
      </c>
      <c r="R47" t="s">
        <v>0</v>
      </c>
      <c r="S47">
        <v>8.3000000000000007</v>
      </c>
      <c r="T47" t="s">
        <v>152</v>
      </c>
      <c r="U47">
        <v>1</v>
      </c>
      <c r="V47" t="s">
        <v>153</v>
      </c>
      <c r="W47">
        <v>3</v>
      </c>
      <c r="X47" t="s">
        <v>151</v>
      </c>
      <c r="Y47">
        <v>1486</v>
      </c>
      <c r="Z47" t="s">
        <v>1</v>
      </c>
      <c r="AA47" t="s">
        <v>208</v>
      </c>
      <c r="AB47" t="s">
        <v>4</v>
      </c>
      <c r="AC47">
        <v>1</v>
      </c>
      <c r="AD47" t="s">
        <v>5</v>
      </c>
      <c r="AE47">
        <v>0</v>
      </c>
    </row>
    <row r="48" spans="1:31" x14ac:dyDescent="0.25">
      <c r="A48" t="s">
        <v>45</v>
      </c>
      <c r="B48" t="s">
        <v>189</v>
      </c>
      <c r="C48">
        <v>1200</v>
      </c>
      <c r="D48" t="s">
        <v>190</v>
      </c>
      <c r="E48">
        <v>1000000</v>
      </c>
      <c r="F48" t="s">
        <v>191</v>
      </c>
      <c r="G48">
        <v>12345</v>
      </c>
      <c r="H48" t="s">
        <v>216</v>
      </c>
      <c r="I48">
        <v>1</v>
      </c>
      <c r="J48" t="s">
        <v>192</v>
      </c>
      <c r="K48">
        <v>1E-3</v>
      </c>
      <c r="L48" t="s">
        <v>3</v>
      </c>
      <c r="M48">
        <v>0.9999808</v>
      </c>
      <c r="N48" t="s">
        <v>2</v>
      </c>
      <c r="O48">
        <v>1.2792999999999999E-3</v>
      </c>
      <c r="P48" t="s">
        <v>17</v>
      </c>
      <c r="Q48">
        <v>11</v>
      </c>
      <c r="R48" t="s">
        <v>0</v>
      </c>
      <c r="S48">
        <v>1202.8</v>
      </c>
      <c r="T48" t="s">
        <v>152</v>
      </c>
      <c r="U48">
        <v>35</v>
      </c>
      <c r="V48" t="s">
        <v>153</v>
      </c>
      <c r="W48">
        <v>108</v>
      </c>
      <c r="X48" t="s">
        <v>151</v>
      </c>
      <c r="Y48">
        <v>91134</v>
      </c>
      <c r="Z48" t="s">
        <v>1</v>
      </c>
      <c r="AA48" t="e" cm="1">
        <f t="array" ref="AA48">-0.2980764594809+(1.2984066390254*EXP(((0.7610868541606*v0)*V1)))</f>
        <v>#NAME?</v>
      </c>
      <c r="AB48" t="s">
        <v>4</v>
      </c>
      <c r="AC48">
        <v>0.99998220000000004</v>
      </c>
      <c r="AD48" t="s">
        <v>5</v>
      </c>
      <c r="AE48">
        <v>1.2116E-3</v>
      </c>
    </row>
    <row r="49" spans="1:31" x14ac:dyDescent="0.25">
      <c r="A49" t="s">
        <v>32</v>
      </c>
      <c r="B49" t="s">
        <v>189</v>
      </c>
      <c r="C49">
        <v>1200</v>
      </c>
      <c r="D49" t="s">
        <v>190</v>
      </c>
      <c r="E49">
        <v>1000000</v>
      </c>
      <c r="F49" t="s">
        <v>191</v>
      </c>
      <c r="G49">
        <v>12345</v>
      </c>
      <c r="H49" t="s">
        <v>216</v>
      </c>
      <c r="I49">
        <v>1</v>
      </c>
      <c r="J49" t="s">
        <v>192</v>
      </c>
      <c r="K49">
        <v>1E-3</v>
      </c>
      <c r="L49" t="s">
        <v>3</v>
      </c>
      <c r="M49">
        <v>0.99994369999999999</v>
      </c>
      <c r="N49" t="s">
        <v>2</v>
      </c>
      <c r="O49">
        <v>5.2570000000000004E-4</v>
      </c>
      <c r="P49" t="s">
        <v>17</v>
      </c>
      <c r="Q49">
        <v>11</v>
      </c>
      <c r="R49" t="s">
        <v>0</v>
      </c>
      <c r="S49">
        <v>1204.7</v>
      </c>
      <c r="T49" t="s">
        <v>152</v>
      </c>
      <c r="U49">
        <v>43</v>
      </c>
      <c r="V49" t="s">
        <v>153</v>
      </c>
      <c r="W49">
        <v>100</v>
      </c>
      <c r="X49" t="s">
        <v>151</v>
      </c>
      <c r="Y49">
        <v>54934</v>
      </c>
      <c r="Z49" t="s">
        <v>1</v>
      </c>
      <c r="AA49" t="s">
        <v>199</v>
      </c>
      <c r="AB49" t="s">
        <v>4</v>
      </c>
      <c r="AC49">
        <v>0.99994249999999996</v>
      </c>
      <c r="AD49" t="s">
        <v>5</v>
      </c>
      <c r="AE49">
        <v>5.3030000000000004E-4</v>
      </c>
    </row>
    <row r="50" spans="1:31" x14ac:dyDescent="0.25">
      <c r="A50" t="s">
        <v>42</v>
      </c>
      <c r="B50" t="s">
        <v>189</v>
      </c>
      <c r="C50">
        <v>1200</v>
      </c>
      <c r="D50" t="s">
        <v>190</v>
      </c>
      <c r="E50">
        <v>1000000</v>
      </c>
      <c r="F50" t="s">
        <v>191</v>
      </c>
      <c r="G50">
        <v>12345</v>
      </c>
      <c r="H50" t="s">
        <v>216</v>
      </c>
      <c r="I50">
        <v>1</v>
      </c>
      <c r="J50" t="s">
        <v>192</v>
      </c>
      <c r="K50">
        <v>1E-3</v>
      </c>
      <c r="L50" t="s">
        <v>3</v>
      </c>
      <c r="M50">
        <v>1</v>
      </c>
      <c r="N50" t="s">
        <v>2</v>
      </c>
      <c r="O50">
        <v>0</v>
      </c>
      <c r="P50" t="s">
        <v>17</v>
      </c>
      <c r="Q50">
        <v>8</v>
      </c>
      <c r="R50" t="s">
        <v>0</v>
      </c>
      <c r="S50">
        <v>5.6</v>
      </c>
      <c r="T50" t="s">
        <v>152</v>
      </c>
      <c r="U50">
        <v>1</v>
      </c>
      <c r="V50" t="s">
        <v>153</v>
      </c>
      <c r="W50">
        <v>3</v>
      </c>
      <c r="X50" t="s">
        <v>151</v>
      </c>
      <c r="Y50">
        <v>1036</v>
      </c>
      <c r="Z50" t="s">
        <v>1</v>
      </c>
      <c r="AA50" t="s">
        <v>205</v>
      </c>
      <c r="AB50" t="s">
        <v>4</v>
      </c>
      <c r="AC50">
        <v>1</v>
      </c>
      <c r="AD50" t="s">
        <v>5</v>
      </c>
      <c r="AE50">
        <v>0</v>
      </c>
    </row>
    <row r="51" spans="1:31" x14ac:dyDescent="0.25">
      <c r="A51" t="s">
        <v>52</v>
      </c>
      <c r="B51" t="s">
        <v>189</v>
      </c>
      <c r="C51">
        <v>1200</v>
      </c>
      <c r="D51" t="s">
        <v>190</v>
      </c>
      <c r="E51">
        <v>1000000</v>
      </c>
      <c r="F51" t="s">
        <v>191</v>
      </c>
      <c r="G51">
        <v>12345</v>
      </c>
      <c r="H51" t="s">
        <v>216</v>
      </c>
      <c r="I51">
        <v>1</v>
      </c>
      <c r="J51" t="s">
        <v>192</v>
      </c>
      <c r="K51">
        <v>1E-3</v>
      </c>
      <c r="L51" t="s">
        <v>3</v>
      </c>
      <c r="M51">
        <v>1</v>
      </c>
      <c r="N51" t="s">
        <v>2</v>
      </c>
      <c r="O51">
        <v>0</v>
      </c>
      <c r="P51" t="s">
        <v>17</v>
      </c>
      <c r="Q51">
        <v>18</v>
      </c>
      <c r="R51" t="s">
        <v>0</v>
      </c>
      <c r="S51">
        <v>26.2</v>
      </c>
      <c r="T51" t="s">
        <v>152</v>
      </c>
      <c r="U51">
        <v>1</v>
      </c>
      <c r="V51" t="s">
        <v>153</v>
      </c>
      <c r="W51">
        <v>5</v>
      </c>
      <c r="X51" t="s">
        <v>151</v>
      </c>
      <c r="Y51">
        <v>3750</v>
      </c>
      <c r="Z51" t="s">
        <v>1</v>
      </c>
      <c r="AA51" t="s">
        <v>235</v>
      </c>
      <c r="AB51" t="s">
        <v>4</v>
      </c>
      <c r="AC51">
        <v>1</v>
      </c>
      <c r="AD51" t="s">
        <v>5</v>
      </c>
      <c r="AE51">
        <v>0</v>
      </c>
    </row>
    <row r="52" spans="1:31" x14ac:dyDescent="0.25">
      <c r="A52" t="s">
        <v>62</v>
      </c>
      <c r="B52" t="s">
        <v>189</v>
      </c>
      <c r="C52">
        <v>1200</v>
      </c>
      <c r="D52" t="s">
        <v>190</v>
      </c>
      <c r="E52">
        <v>1000000</v>
      </c>
      <c r="F52" t="s">
        <v>191</v>
      </c>
      <c r="G52">
        <v>12345</v>
      </c>
      <c r="H52" t="s">
        <v>216</v>
      </c>
      <c r="I52">
        <v>1</v>
      </c>
      <c r="J52" t="s">
        <v>192</v>
      </c>
      <c r="K52">
        <v>1E-3</v>
      </c>
      <c r="L52" t="s">
        <v>3</v>
      </c>
      <c r="M52">
        <v>1</v>
      </c>
      <c r="N52" t="s">
        <v>2</v>
      </c>
      <c r="O52">
        <v>0</v>
      </c>
      <c r="P52" t="s">
        <v>17</v>
      </c>
      <c r="Q52">
        <v>13</v>
      </c>
      <c r="R52" t="s">
        <v>0</v>
      </c>
      <c r="S52">
        <v>18.399999999999999</v>
      </c>
      <c r="T52" t="s">
        <v>152</v>
      </c>
      <c r="U52">
        <v>1</v>
      </c>
      <c r="V52" t="s">
        <v>153</v>
      </c>
      <c r="W52">
        <v>5</v>
      </c>
      <c r="X52" t="s">
        <v>151</v>
      </c>
      <c r="Y52">
        <v>3849</v>
      </c>
      <c r="Z52" t="s">
        <v>1</v>
      </c>
      <c r="AA52" t="s">
        <v>237</v>
      </c>
      <c r="AB52" t="s">
        <v>4</v>
      </c>
      <c r="AC52">
        <v>1</v>
      </c>
      <c r="AD52" t="s">
        <v>5</v>
      </c>
      <c r="AE52">
        <v>0</v>
      </c>
    </row>
    <row r="53" spans="1:31" x14ac:dyDescent="0.25">
      <c r="A53" t="s">
        <v>72</v>
      </c>
      <c r="B53" t="s">
        <v>189</v>
      </c>
      <c r="C53">
        <v>1200</v>
      </c>
      <c r="D53" t="s">
        <v>190</v>
      </c>
      <c r="E53">
        <v>1000000</v>
      </c>
      <c r="F53" t="s">
        <v>191</v>
      </c>
      <c r="G53">
        <v>12345</v>
      </c>
      <c r="H53" t="s">
        <v>216</v>
      </c>
      <c r="I53">
        <v>1</v>
      </c>
      <c r="J53" t="s">
        <v>192</v>
      </c>
      <c r="K53">
        <v>1E-3</v>
      </c>
      <c r="L53" t="s">
        <v>3</v>
      </c>
      <c r="M53">
        <v>1</v>
      </c>
      <c r="N53" t="s">
        <v>2</v>
      </c>
      <c r="O53">
        <v>0</v>
      </c>
      <c r="P53" t="s">
        <v>17</v>
      </c>
      <c r="Q53">
        <v>8</v>
      </c>
      <c r="R53" t="s">
        <v>0</v>
      </c>
      <c r="S53">
        <v>6.4</v>
      </c>
      <c r="T53" t="s">
        <v>152</v>
      </c>
      <c r="U53">
        <v>1</v>
      </c>
      <c r="V53" t="s">
        <v>153</v>
      </c>
      <c r="W53">
        <v>3</v>
      </c>
      <c r="X53" t="s">
        <v>151</v>
      </c>
      <c r="Y53">
        <v>1184</v>
      </c>
      <c r="Z53" t="s">
        <v>1</v>
      </c>
      <c r="AA53" t="s">
        <v>207</v>
      </c>
      <c r="AB53" t="s">
        <v>4</v>
      </c>
      <c r="AC53">
        <v>1</v>
      </c>
      <c r="AD53" t="s">
        <v>5</v>
      </c>
      <c r="AE53">
        <v>0</v>
      </c>
    </row>
    <row r="54" spans="1:31" x14ac:dyDescent="0.25">
      <c r="A54" t="s">
        <v>130</v>
      </c>
      <c r="B54" t="s">
        <v>189</v>
      </c>
      <c r="C54">
        <v>1200</v>
      </c>
      <c r="D54" t="s">
        <v>190</v>
      </c>
      <c r="E54">
        <v>1000000</v>
      </c>
      <c r="F54" t="s">
        <v>191</v>
      </c>
      <c r="G54">
        <v>12345</v>
      </c>
      <c r="H54" t="s">
        <v>216</v>
      </c>
      <c r="I54">
        <v>1</v>
      </c>
      <c r="J54" t="s">
        <v>192</v>
      </c>
      <c r="K54">
        <v>1E-3</v>
      </c>
      <c r="L54" t="s">
        <v>3</v>
      </c>
      <c r="M54">
        <v>1</v>
      </c>
      <c r="N54" t="s">
        <v>2</v>
      </c>
      <c r="O54">
        <v>0</v>
      </c>
      <c r="P54" t="s">
        <v>17</v>
      </c>
      <c r="Q54">
        <v>17</v>
      </c>
      <c r="R54" t="s">
        <v>0</v>
      </c>
      <c r="S54">
        <v>850.9</v>
      </c>
      <c r="T54" t="s">
        <v>152</v>
      </c>
      <c r="U54">
        <v>2</v>
      </c>
      <c r="V54" t="s">
        <v>153</v>
      </c>
      <c r="W54">
        <v>27</v>
      </c>
      <c r="X54" t="s">
        <v>151</v>
      </c>
      <c r="Y54">
        <v>71963</v>
      </c>
      <c r="Z54" t="s">
        <v>1</v>
      </c>
      <c r="AA54" t="s">
        <v>283</v>
      </c>
      <c r="AB54" t="s">
        <v>4</v>
      </c>
      <c r="AC54">
        <v>1</v>
      </c>
      <c r="AD54" t="s">
        <v>5</v>
      </c>
      <c r="AE54">
        <v>0</v>
      </c>
    </row>
    <row r="55" spans="1:31" x14ac:dyDescent="0.25">
      <c r="A55" t="s">
        <v>18</v>
      </c>
      <c r="B55" t="s">
        <v>189</v>
      </c>
      <c r="C55">
        <v>1200</v>
      </c>
      <c r="D55" t="s">
        <v>190</v>
      </c>
      <c r="E55">
        <v>1000000</v>
      </c>
      <c r="F55" t="s">
        <v>191</v>
      </c>
      <c r="G55">
        <v>12345</v>
      </c>
      <c r="H55" t="s">
        <v>216</v>
      </c>
      <c r="I55">
        <v>1</v>
      </c>
      <c r="J55" t="s">
        <v>192</v>
      </c>
      <c r="K55">
        <v>1E-3</v>
      </c>
      <c r="L55" t="s">
        <v>3</v>
      </c>
      <c r="M55">
        <v>1</v>
      </c>
      <c r="N55" t="s">
        <v>2</v>
      </c>
      <c r="O55">
        <v>0</v>
      </c>
      <c r="P55" t="s">
        <v>17</v>
      </c>
      <c r="Q55">
        <v>4</v>
      </c>
      <c r="R55" t="s">
        <v>0</v>
      </c>
      <c r="S55">
        <v>0.3</v>
      </c>
      <c r="T55" t="s">
        <v>152</v>
      </c>
      <c r="U55">
        <v>1</v>
      </c>
      <c r="V55" t="s">
        <v>153</v>
      </c>
      <c r="W55">
        <v>2</v>
      </c>
      <c r="X55" t="s">
        <v>151</v>
      </c>
      <c r="Y55">
        <v>234</v>
      </c>
      <c r="Z55" t="s">
        <v>1</v>
      </c>
      <c r="AA55" t="s">
        <v>154</v>
      </c>
      <c r="AB55" t="s">
        <v>4</v>
      </c>
      <c r="AC55">
        <v>1</v>
      </c>
      <c r="AD55" t="s">
        <v>5</v>
      </c>
      <c r="AE55">
        <v>0</v>
      </c>
    </row>
    <row r="56" spans="1:31" x14ac:dyDescent="0.25">
      <c r="A56" t="s">
        <v>86</v>
      </c>
      <c r="B56" t="s">
        <v>189</v>
      </c>
      <c r="C56">
        <v>1200</v>
      </c>
      <c r="D56" t="s">
        <v>190</v>
      </c>
      <c r="E56">
        <v>1000000</v>
      </c>
      <c r="F56" t="s">
        <v>191</v>
      </c>
      <c r="G56">
        <v>12345</v>
      </c>
      <c r="H56" t="s">
        <v>216</v>
      </c>
      <c r="I56">
        <v>1</v>
      </c>
      <c r="J56" t="s">
        <v>192</v>
      </c>
      <c r="K56">
        <v>1E-3</v>
      </c>
      <c r="L56" t="s">
        <v>3</v>
      </c>
      <c r="M56">
        <v>0.95109460000000001</v>
      </c>
      <c r="N56" t="s">
        <v>2</v>
      </c>
      <c r="O56">
        <v>0.4072828</v>
      </c>
      <c r="P56" t="s">
        <v>17</v>
      </c>
      <c r="Q56">
        <v>10</v>
      </c>
      <c r="R56" t="s">
        <v>0</v>
      </c>
      <c r="S56">
        <v>1200.5</v>
      </c>
      <c r="T56" t="s">
        <v>152</v>
      </c>
      <c r="U56">
        <v>37</v>
      </c>
      <c r="V56" t="s">
        <v>153</v>
      </c>
      <c r="W56">
        <v>96</v>
      </c>
      <c r="X56" t="s">
        <v>151</v>
      </c>
      <c r="Y56">
        <v>72540</v>
      </c>
      <c r="Z56" t="s">
        <v>1</v>
      </c>
      <c r="AA56" t="s">
        <v>210</v>
      </c>
      <c r="AB56" t="s">
        <v>4</v>
      </c>
      <c r="AC56">
        <v>0.95010819999999996</v>
      </c>
      <c r="AD56" t="s">
        <v>5</v>
      </c>
      <c r="AE56">
        <v>0.41059109999999999</v>
      </c>
    </row>
    <row r="57" spans="1:31" x14ac:dyDescent="0.25">
      <c r="A57" t="s">
        <v>55</v>
      </c>
      <c r="B57" t="s">
        <v>189</v>
      </c>
      <c r="C57">
        <v>1200</v>
      </c>
      <c r="D57" t="s">
        <v>190</v>
      </c>
      <c r="E57">
        <v>1000000</v>
      </c>
      <c r="F57" t="s">
        <v>191</v>
      </c>
      <c r="G57">
        <v>12345</v>
      </c>
      <c r="H57" t="s">
        <v>216</v>
      </c>
      <c r="I57">
        <v>1</v>
      </c>
      <c r="J57" t="s">
        <v>192</v>
      </c>
      <c r="K57">
        <v>1E-3</v>
      </c>
      <c r="L57" t="s">
        <v>3</v>
      </c>
      <c r="M57">
        <v>0.9999787</v>
      </c>
      <c r="N57" t="s">
        <v>2</v>
      </c>
      <c r="O57">
        <v>9.7362999999999998E-3</v>
      </c>
      <c r="P57" t="s">
        <v>17</v>
      </c>
      <c r="Q57">
        <v>20</v>
      </c>
      <c r="R57" t="s">
        <v>0</v>
      </c>
      <c r="S57">
        <v>1202</v>
      </c>
      <c r="T57" t="s">
        <v>152</v>
      </c>
      <c r="U57">
        <v>18</v>
      </c>
      <c r="V57" t="s">
        <v>153</v>
      </c>
      <c r="W57">
        <v>93</v>
      </c>
      <c r="X57" t="s">
        <v>151</v>
      </c>
      <c r="Y57">
        <v>128016</v>
      </c>
      <c r="Z57" t="s">
        <v>1</v>
      </c>
      <c r="AA57" t="s">
        <v>284</v>
      </c>
      <c r="AB57" t="s">
        <v>4</v>
      </c>
      <c r="AC57">
        <v>0.999977</v>
      </c>
      <c r="AD57" t="s">
        <v>5</v>
      </c>
      <c r="AE57">
        <v>1.01502E-2</v>
      </c>
    </row>
    <row r="58" spans="1:31" x14ac:dyDescent="0.25">
      <c r="A58" t="s">
        <v>82</v>
      </c>
      <c r="B58" t="s">
        <v>189</v>
      </c>
      <c r="C58">
        <v>1200</v>
      </c>
      <c r="D58" t="s">
        <v>190</v>
      </c>
      <c r="E58">
        <v>1000000</v>
      </c>
      <c r="F58" t="s">
        <v>191</v>
      </c>
      <c r="G58">
        <v>12345</v>
      </c>
      <c r="H58" t="s">
        <v>216</v>
      </c>
      <c r="I58">
        <v>1</v>
      </c>
      <c r="J58" t="s">
        <v>192</v>
      </c>
      <c r="K58">
        <v>1E-3</v>
      </c>
      <c r="L58" t="s">
        <v>3</v>
      </c>
      <c r="M58">
        <v>1</v>
      </c>
      <c r="N58" t="s">
        <v>2</v>
      </c>
      <c r="O58">
        <v>1.26386E-2</v>
      </c>
      <c r="P58" t="s">
        <v>17</v>
      </c>
      <c r="Q58">
        <v>36</v>
      </c>
      <c r="R58" t="s">
        <v>0</v>
      </c>
      <c r="S58">
        <v>1200.0999999999999</v>
      </c>
      <c r="T58" t="s">
        <v>152</v>
      </c>
      <c r="U58">
        <v>7</v>
      </c>
      <c r="V58" t="s">
        <v>153</v>
      </c>
      <c r="W58">
        <v>50</v>
      </c>
      <c r="X58" t="s">
        <v>151</v>
      </c>
      <c r="Y58">
        <v>115516</v>
      </c>
      <c r="Z58" t="s">
        <v>1</v>
      </c>
      <c r="AA58" t="s">
        <v>285</v>
      </c>
      <c r="AB58" t="s">
        <v>4</v>
      </c>
      <c r="AC58">
        <v>1</v>
      </c>
      <c r="AD58" t="s">
        <v>5</v>
      </c>
      <c r="AE58">
        <v>1.22129E-2</v>
      </c>
    </row>
    <row r="59" spans="1:31" x14ac:dyDescent="0.25">
      <c r="A59" t="s">
        <v>140</v>
      </c>
      <c r="B59" t="s">
        <v>189</v>
      </c>
      <c r="C59">
        <v>1200</v>
      </c>
      <c r="D59" t="s">
        <v>190</v>
      </c>
      <c r="E59">
        <v>1000000</v>
      </c>
      <c r="F59" t="s">
        <v>191</v>
      </c>
      <c r="G59">
        <v>12345</v>
      </c>
      <c r="H59" t="s">
        <v>216</v>
      </c>
      <c r="I59">
        <v>1</v>
      </c>
      <c r="J59" t="s">
        <v>192</v>
      </c>
      <c r="K59">
        <v>1E-3</v>
      </c>
      <c r="L59" t="s">
        <v>3</v>
      </c>
      <c r="M59">
        <v>0.99795809999999996</v>
      </c>
      <c r="N59" t="s">
        <v>2</v>
      </c>
      <c r="O59">
        <v>1.2937521999999999</v>
      </c>
      <c r="P59" t="s">
        <v>17</v>
      </c>
      <c r="Q59">
        <v>75</v>
      </c>
      <c r="R59" t="s">
        <v>0</v>
      </c>
      <c r="S59">
        <v>1201</v>
      </c>
      <c r="T59" t="s">
        <v>152</v>
      </c>
      <c r="U59">
        <v>2</v>
      </c>
      <c r="V59" t="s">
        <v>153</v>
      </c>
      <c r="W59">
        <v>28</v>
      </c>
      <c r="X59" t="s">
        <v>151</v>
      </c>
      <c r="Y59">
        <v>88249</v>
      </c>
      <c r="Z59" t="s">
        <v>1</v>
      </c>
      <c r="AA59" t="e" cm="1">
        <f t="array" aca="1" ref="AA59" ca="1">-2.6794256185859+(0.5065178633187*v0)+(-0.4692799843173*V3)+((1.0275749870306*v0)*pow(V1,2))+((1.4845007114094*V3)*V4)+((1.0165455038022*V3)*V5)+((-0.1273201521765*V2)*V4)+(((0.0639632903766*pow(V3,2))*pow(V4,2))*LOG(V1))+(((-0.0650489773484*v0)*V3)*V4)+(((-0.1002367973574*V2)*V3)*V4)+((((-0.0654820281561*v0)*V1)*V3)*V4)</f>
        <v>#NAME?</v>
      </c>
      <c r="AB59" t="s">
        <v>4</v>
      </c>
      <c r="AC59">
        <v>0.99780449999999998</v>
      </c>
      <c r="AD59" t="s">
        <v>5</v>
      </c>
      <c r="AE59">
        <v>1.3267941000000001</v>
      </c>
    </row>
    <row r="60" spans="1:31" x14ac:dyDescent="0.25">
      <c r="A60" t="s">
        <v>21</v>
      </c>
      <c r="B60" t="s">
        <v>189</v>
      </c>
      <c r="C60">
        <v>1200</v>
      </c>
      <c r="D60" t="s">
        <v>190</v>
      </c>
      <c r="E60">
        <v>1000000</v>
      </c>
      <c r="F60" t="s">
        <v>191</v>
      </c>
      <c r="G60">
        <v>12345</v>
      </c>
      <c r="H60" t="s">
        <v>216</v>
      </c>
      <c r="I60">
        <v>1</v>
      </c>
      <c r="J60" t="s">
        <v>192</v>
      </c>
      <c r="K60">
        <v>1E-3</v>
      </c>
      <c r="L60" t="s">
        <v>3</v>
      </c>
      <c r="M60">
        <v>1</v>
      </c>
      <c r="N60" t="s">
        <v>2</v>
      </c>
      <c r="O60">
        <v>0</v>
      </c>
      <c r="P60" t="s">
        <v>17</v>
      </c>
      <c r="Q60">
        <v>14</v>
      </c>
      <c r="R60" t="s">
        <v>0</v>
      </c>
      <c r="S60">
        <v>40.4</v>
      </c>
      <c r="T60" t="s">
        <v>152</v>
      </c>
      <c r="U60">
        <v>3</v>
      </c>
      <c r="V60" t="s">
        <v>153</v>
      </c>
      <c r="W60">
        <v>18</v>
      </c>
      <c r="X60" t="s">
        <v>151</v>
      </c>
      <c r="Y60">
        <v>17938</v>
      </c>
      <c r="Z60" t="s">
        <v>1</v>
      </c>
      <c r="AA60" t="s">
        <v>183</v>
      </c>
      <c r="AB60" t="s">
        <v>4</v>
      </c>
      <c r="AC60">
        <v>1</v>
      </c>
      <c r="AD60" t="s">
        <v>5</v>
      </c>
      <c r="AE60">
        <v>0</v>
      </c>
    </row>
    <row r="61" spans="1:31" x14ac:dyDescent="0.25">
      <c r="A61" t="s">
        <v>28</v>
      </c>
      <c r="B61" t="s">
        <v>189</v>
      </c>
      <c r="C61">
        <v>1200</v>
      </c>
      <c r="D61" t="s">
        <v>190</v>
      </c>
      <c r="E61">
        <v>1000000</v>
      </c>
      <c r="F61" t="s">
        <v>191</v>
      </c>
      <c r="G61">
        <v>12345</v>
      </c>
      <c r="H61" t="s">
        <v>216</v>
      </c>
      <c r="I61">
        <v>1</v>
      </c>
      <c r="J61" t="s">
        <v>192</v>
      </c>
      <c r="K61">
        <v>1E-3</v>
      </c>
      <c r="L61" t="s">
        <v>3</v>
      </c>
      <c r="M61">
        <v>0.99993469999999995</v>
      </c>
      <c r="N61" t="s">
        <v>2</v>
      </c>
      <c r="O61">
        <v>1.24003E-2</v>
      </c>
      <c r="P61" t="s">
        <v>17</v>
      </c>
      <c r="Q61">
        <v>43</v>
      </c>
      <c r="R61" t="s">
        <v>0</v>
      </c>
      <c r="S61">
        <v>1200.5</v>
      </c>
      <c r="T61" t="s">
        <v>152</v>
      </c>
      <c r="U61">
        <v>24</v>
      </c>
      <c r="V61" t="s">
        <v>153</v>
      </c>
      <c r="W61">
        <v>138</v>
      </c>
      <c r="X61" t="s">
        <v>151</v>
      </c>
      <c r="Y61">
        <v>302778</v>
      </c>
      <c r="Z61" t="s">
        <v>1</v>
      </c>
      <c r="AA61" t="e" cm="1">
        <f t="array" aca="1" ref="AA61" ca="1">-3.8649756721408+(5.1551887715925*V1)+(-4.0851153650217*LOG(V1))+((0.0127570729185*v0)*V1)+((0.0163228904955*v0)*LOG(V1))+((-0.795044918942*V1)*pow((1+(0.6*v0)),-2))+((-1.6427160478052*V1)*LOG(V1))</f>
        <v>#VALUE!</v>
      </c>
      <c r="AB61" t="s">
        <v>4</v>
      </c>
      <c r="AC61">
        <v>0.99990579999999996</v>
      </c>
      <c r="AD61" t="s">
        <v>5</v>
      </c>
      <c r="AE61">
        <v>1.6077500000000002E-2</v>
      </c>
    </row>
    <row r="62" spans="1:31" x14ac:dyDescent="0.25">
      <c r="A62" t="s">
        <v>38</v>
      </c>
      <c r="B62" t="s">
        <v>189</v>
      </c>
      <c r="C62">
        <v>1200</v>
      </c>
      <c r="D62" t="s">
        <v>190</v>
      </c>
      <c r="E62">
        <v>1000000</v>
      </c>
      <c r="F62" t="s">
        <v>191</v>
      </c>
      <c r="G62">
        <v>12345</v>
      </c>
      <c r="H62" t="s">
        <v>216</v>
      </c>
      <c r="I62">
        <v>1</v>
      </c>
      <c r="J62" t="s">
        <v>192</v>
      </c>
      <c r="K62">
        <v>1E-3</v>
      </c>
      <c r="L62" t="s">
        <v>3</v>
      </c>
      <c r="M62">
        <v>1</v>
      </c>
      <c r="N62" t="s">
        <v>2</v>
      </c>
      <c r="O62">
        <v>0</v>
      </c>
      <c r="P62" t="s">
        <v>17</v>
      </c>
      <c r="Q62">
        <v>8</v>
      </c>
      <c r="R62" t="s">
        <v>0</v>
      </c>
      <c r="S62">
        <v>3.9</v>
      </c>
      <c r="T62" t="s">
        <v>152</v>
      </c>
      <c r="U62">
        <v>1</v>
      </c>
      <c r="V62" t="s">
        <v>153</v>
      </c>
      <c r="W62">
        <v>2</v>
      </c>
      <c r="X62" t="s">
        <v>151</v>
      </c>
      <c r="Y62">
        <v>730</v>
      </c>
      <c r="Z62" t="s">
        <v>1</v>
      </c>
      <c r="AA62" t="s">
        <v>155</v>
      </c>
      <c r="AB62" t="s">
        <v>4</v>
      </c>
      <c r="AC62">
        <v>1</v>
      </c>
      <c r="AD62" t="s">
        <v>5</v>
      </c>
      <c r="AE62">
        <v>0</v>
      </c>
    </row>
    <row r="63" spans="1:31" x14ac:dyDescent="0.25">
      <c r="A63" t="s">
        <v>96</v>
      </c>
      <c r="B63" t="s">
        <v>189</v>
      </c>
      <c r="C63">
        <v>1200</v>
      </c>
      <c r="D63" t="s">
        <v>190</v>
      </c>
      <c r="E63">
        <v>1000000</v>
      </c>
      <c r="F63" t="s">
        <v>191</v>
      </c>
      <c r="G63">
        <v>12345</v>
      </c>
      <c r="H63" t="s">
        <v>216</v>
      </c>
      <c r="I63">
        <v>1</v>
      </c>
      <c r="J63" t="s">
        <v>192</v>
      </c>
      <c r="K63">
        <v>1E-3</v>
      </c>
      <c r="L63" t="s">
        <v>3</v>
      </c>
      <c r="M63">
        <v>0.99995769999999995</v>
      </c>
      <c r="N63" t="s">
        <v>2</v>
      </c>
      <c r="O63">
        <v>3.3102399999999997E-2</v>
      </c>
      <c r="P63" t="s">
        <v>17</v>
      </c>
      <c r="Q63">
        <v>12</v>
      </c>
      <c r="R63" t="s">
        <v>0</v>
      </c>
      <c r="S63">
        <v>1202.8</v>
      </c>
      <c r="T63" t="s">
        <v>152</v>
      </c>
      <c r="U63">
        <v>29</v>
      </c>
      <c r="V63" t="s">
        <v>153</v>
      </c>
      <c r="W63">
        <v>106</v>
      </c>
      <c r="X63" t="s">
        <v>151</v>
      </c>
      <c r="Y63">
        <v>93135</v>
      </c>
      <c r="Z63" t="s">
        <v>1</v>
      </c>
      <c r="AA63" t="s">
        <v>286</v>
      </c>
      <c r="AB63" t="s">
        <v>4</v>
      </c>
      <c r="AC63">
        <v>0.99995500000000004</v>
      </c>
      <c r="AD63" t="s">
        <v>5</v>
      </c>
      <c r="AE63">
        <v>3.4090099999999998E-2</v>
      </c>
    </row>
    <row r="64" spans="1:31" x14ac:dyDescent="0.25">
      <c r="A64" t="s">
        <v>65</v>
      </c>
      <c r="B64" t="s">
        <v>189</v>
      </c>
      <c r="C64">
        <v>1200</v>
      </c>
      <c r="D64" t="s">
        <v>190</v>
      </c>
      <c r="E64">
        <v>1000000</v>
      </c>
      <c r="F64" t="s">
        <v>191</v>
      </c>
      <c r="G64">
        <v>12345</v>
      </c>
      <c r="H64" t="s">
        <v>216</v>
      </c>
      <c r="I64">
        <v>1</v>
      </c>
      <c r="J64" t="s">
        <v>192</v>
      </c>
      <c r="K64">
        <v>1E-3</v>
      </c>
      <c r="L64" t="s">
        <v>3</v>
      </c>
      <c r="M64">
        <v>0.99562220000000001</v>
      </c>
      <c r="N64" t="s">
        <v>2</v>
      </c>
      <c r="O64">
        <v>3.9776999999999998E-3</v>
      </c>
      <c r="P64" t="s">
        <v>17</v>
      </c>
      <c r="Q64">
        <v>29</v>
      </c>
      <c r="R64" t="s">
        <v>0</v>
      </c>
      <c r="S64">
        <v>1201.4000000000001</v>
      </c>
      <c r="T64" t="s">
        <v>152</v>
      </c>
      <c r="U64">
        <v>22</v>
      </c>
      <c r="V64" t="s">
        <v>153</v>
      </c>
      <c r="W64">
        <v>81</v>
      </c>
      <c r="X64" t="s">
        <v>151</v>
      </c>
      <c r="Y64">
        <v>92359</v>
      </c>
      <c r="Z64" t="s">
        <v>1</v>
      </c>
      <c r="AA64" t="s">
        <v>287</v>
      </c>
      <c r="AB64" t="s">
        <v>4</v>
      </c>
      <c r="AC64">
        <v>0.99580100000000005</v>
      </c>
      <c r="AD64" t="s">
        <v>5</v>
      </c>
      <c r="AE64">
        <v>3.8911000000000002E-3</v>
      </c>
    </row>
    <row r="65" spans="1:31" x14ac:dyDescent="0.25">
      <c r="A65" t="s">
        <v>75</v>
      </c>
      <c r="B65" t="s">
        <v>189</v>
      </c>
      <c r="C65">
        <v>1200</v>
      </c>
      <c r="D65" t="s">
        <v>190</v>
      </c>
      <c r="E65">
        <v>1000000</v>
      </c>
      <c r="F65" t="s">
        <v>191</v>
      </c>
      <c r="G65">
        <v>12345</v>
      </c>
      <c r="H65" t="s">
        <v>216</v>
      </c>
      <c r="I65">
        <v>1</v>
      </c>
      <c r="J65" t="s">
        <v>192</v>
      </c>
      <c r="K65">
        <v>1E-3</v>
      </c>
      <c r="L65" t="s">
        <v>3</v>
      </c>
      <c r="M65">
        <v>1</v>
      </c>
      <c r="N65" t="s">
        <v>2</v>
      </c>
      <c r="O65">
        <v>0</v>
      </c>
      <c r="P65" t="s">
        <v>17</v>
      </c>
      <c r="Q65">
        <v>14</v>
      </c>
      <c r="R65" t="s">
        <v>0</v>
      </c>
      <c r="S65">
        <v>9.9</v>
      </c>
      <c r="T65" t="s">
        <v>152</v>
      </c>
      <c r="U65">
        <v>1</v>
      </c>
      <c r="V65" t="s">
        <v>153</v>
      </c>
      <c r="W65">
        <v>4</v>
      </c>
      <c r="X65" t="s">
        <v>151</v>
      </c>
      <c r="Y65">
        <v>1605</v>
      </c>
      <c r="Z65" t="s">
        <v>1</v>
      </c>
      <c r="AA65" t="s">
        <v>164</v>
      </c>
      <c r="AB65" t="s">
        <v>4</v>
      </c>
      <c r="AC65">
        <v>1</v>
      </c>
      <c r="AD65" t="s">
        <v>5</v>
      </c>
      <c r="AE65">
        <v>0</v>
      </c>
    </row>
    <row r="66" spans="1:31" x14ac:dyDescent="0.25">
      <c r="A66" t="s">
        <v>106</v>
      </c>
      <c r="B66" t="s">
        <v>189</v>
      </c>
      <c r="C66">
        <v>1200</v>
      </c>
      <c r="D66" t="s">
        <v>190</v>
      </c>
      <c r="E66">
        <v>1000000</v>
      </c>
      <c r="F66" t="s">
        <v>191</v>
      </c>
      <c r="G66">
        <v>12345</v>
      </c>
      <c r="H66" t="s">
        <v>216</v>
      </c>
      <c r="I66">
        <v>1</v>
      </c>
      <c r="J66" t="s">
        <v>192</v>
      </c>
      <c r="K66">
        <v>1E-3</v>
      </c>
      <c r="L66" t="s">
        <v>3</v>
      </c>
      <c r="M66">
        <v>1</v>
      </c>
      <c r="N66" t="s">
        <v>2</v>
      </c>
      <c r="O66">
        <v>0</v>
      </c>
      <c r="P66" t="s">
        <v>17</v>
      </c>
      <c r="Q66">
        <v>24</v>
      </c>
      <c r="R66" t="s">
        <v>0</v>
      </c>
      <c r="S66">
        <v>76.900000000000006</v>
      </c>
      <c r="T66" t="s">
        <v>152</v>
      </c>
      <c r="U66">
        <v>1</v>
      </c>
      <c r="V66" t="s">
        <v>153</v>
      </c>
      <c r="W66">
        <v>8</v>
      </c>
      <c r="X66" t="s">
        <v>151</v>
      </c>
      <c r="Y66">
        <v>9635</v>
      </c>
      <c r="Z66" t="s">
        <v>1</v>
      </c>
      <c r="AA66" t="s">
        <v>184</v>
      </c>
      <c r="AB66" t="s">
        <v>4</v>
      </c>
      <c r="AC66">
        <v>1</v>
      </c>
      <c r="AD66" t="s">
        <v>5</v>
      </c>
      <c r="AE66">
        <v>0</v>
      </c>
    </row>
    <row r="67" spans="1:31" x14ac:dyDescent="0.25">
      <c r="A67" t="s">
        <v>116</v>
      </c>
      <c r="B67" t="s">
        <v>189</v>
      </c>
      <c r="C67">
        <v>1200</v>
      </c>
      <c r="D67" t="s">
        <v>190</v>
      </c>
      <c r="E67">
        <v>1000000</v>
      </c>
      <c r="F67" t="s">
        <v>191</v>
      </c>
      <c r="G67">
        <v>12345</v>
      </c>
      <c r="H67" t="s">
        <v>216</v>
      </c>
      <c r="I67">
        <v>1</v>
      </c>
      <c r="J67" t="s">
        <v>192</v>
      </c>
      <c r="K67">
        <v>1E-3</v>
      </c>
      <c r="L67" t="s">
        <v>3</v>
      </c>
      <c r="M67">
        <v>1</v>
      </c>
      <c r="N67" t="s">
        <v>2</v>
      </c>
      <c r="O67">
        <v>0</v>
      </c>
      <c r="P67" t="s">
        <v>17</v>
      </c>
      <c r="Q67">
        <v>15</v>
      </c>
      <c r="R67" t="s">
        <v>0</v>
      </c>
      <c r="S67">
        <v>34.700000000000003</v>
      </c>
      <c r="T67" t="s">
        <v>152</v>
      </c>
      <c r="U67">
        <v>1</v>
      </c>
      <c r="V67" t="s">
        <v>153</v>
      </c>
      <c r="W67">
        <v>7</v>
      </c>
      <c r="X67" t="s">
        <v>151</v>
      </c>
      <c r="Y67">
        <v>5336</v>
      </c>
      <c r="Z67" t="s">
        <v>1</v>
      </c>
      <c r="AA67" t="s">
        <v>170</v>
      </c>
      <c r="AB67" t="s">
        <v>4</v>
      </c>
      <c r="AC67">
        <v>1</v>
      </c>
      <c r="AD67" t="s">
        <v>5</v>
      </c>
      <c r="AE67">
        <v>0</v>
      </c>
    </row>
    <row r="68" spans="1:31" x14ac:dyDescent="0.25">
      <c r="A68" t="s">
        <v>126</v>
      </c>
      <c r="B68" t="s">
        <v>189</v>
      </c>
      <c r="C68">
        <v>1200</v>
      </c>
      <c r="D68" t="s">
        <v>190</v>
      </c>
      <c r="E68">
        <v>1000000</v>
      </c>
      <c r="F68" t="s">
        <v>191</v>
      </c>
      <c r="G68">
        <v>12345</v>
      </c>
      <c r="H68" t="s">
        <v>216</v>
      </c>
      <c r="I68">
        <v>1</v>
      </c>
      <c r="J68" t="s">
        <v>192</v>
      </c>
      <c r="K68">
        <v>1E-3</v>
      </c>
      <c r="L68" t="s">
        <v>3</v>
      </c>
      <c r="M68">
        <v>1</v>
      </c>
      <c r="N68" t="s">
        <v>2</v>
      </c>
      <c r="O68">
        <v>0</v>
      </c>
      <c r="P68" t="s">
        <v>17</v>
      </c>
      <c r="Q68">
        <v>24</v>
      </c>
      <c r="R68" t="s">
        <v>0</v>
      </c>
      <c r="S68">
        <v>78.599999999999994</v>
      </c>
      <c r="T68" t="s">
        <v>152</v>
      </c>
      <c r="U68">
        <v>1</v>
      </c>
      <c r="V68" t="s">
        <v>153</v>
      </c>
      <c r="W68">
        <v>8</v>
      </c>
      <c r="X68" t="s">
        <v>151</v>
      </c>
      <c r="Y68">
        <v>10474</v>
      </c>
      <c r="Z68" t="s">
        <v>1</v>
      </c>
      <c r="AA68" t="s">
        <v>258</v>
      </c>
      <c r="AB68" t="s">
        <v>4</v>
      </c>
      <c r="AC68">
        <v>1</v>
      </c>
      <c r="AD68" t="s">
        <v>5</v>
      </c>
      <c r="AE68">
        <v>0</v>
      </c>
    </row>
    <row r="69" spans="1:31" x14ac:dyDescent="0.25">
      <c r="A69" t="s">
        <v>24</v>
      </c>
      <c r="B69" t="s">
        <v>189</v>
      </c>
      <c r="C69">
        <v>1200</v>
      </c>
      <c r="D69" t="s">
        <v>190</v>
      </c>
      <c r="E69">
        <v>1000000</v>
      </c>
      <c r="F69" t="s">
        <v>191</v>
      </c>
      <c r="G69">
        <v>12345</v>
      </c>
      <c r="H69" t="s">
        <v>216</v>
      </c>
      <c r="I69">
        <v>1</v>
      </c>
      <c r="J69" t="s">
        <v>192</v>
      </c>
      <c r="K69">
        <v>1E-3</v>
      </c>
      <c r="L69" t="s">
        <v>3</v>
      </c>
      <c r="M69">
        <v>1</v>
      </c>
      <c r="N69" t="s">
        <v>2</v>
      </c>
      <c r="O69">
        <v>0</v>
      </c>
      <c r="P69" t="s">
        <v>17</v>
      </c>
      <c r="Q69">
        <v>16</v>
      </c>
      <c r="R69" t="s">
        <v>0</v>
      </c>
      <c r="S69">
        <v>30.3</v>
      </c>
      <c r="T69" t="s">
        <v>152</v>
      </c>
      <c r="U69">
        <v>2</v>
      </c>
      <c r="V69" t="s">
        <v>153</v>
      </c>
      <c r="W69">
        <v>12</v>
      </c>
      <c r="X69" t="s">
        <v>151</v>
      </c>
      <c r="Y69">
        <v>12699</v>
      </c>
      <c r="Z69" t="s">
        <v>1</v>
      </c>
      <c r="AA69" t="s">
        <v>288</v>
      </c>
      <c r="AB69" t="s">
        <v>4</v>
      </c>
      <c r="AC69">
        <v>1</v>
      </c>
      <c r="AD69" t="s">
        <v>5</v>
      </c>
      <c r="AE69">
        <v>0</v>
      </c>
    </row>
    <row r="70" spans="1:31" x14ac:dyDescent="0.25">
      <c r="A70" t="s">
        <v>34</v>
      </c>
      <c r="B70" t="s">
        <v>189</v>
      </c>
      <c r="C70">
        <v>1200</v>
      </c>
      <c r="D70" t="s">
        <v>190</v>
      </c>
      <c r="E70">
        <v>1000000</v>
      </c>
      <c r="F70" t="s">
        <v>191</v>
      </c>
      <c r="G70">
        <v>12345</v>
      </c>
      <c r="H70" t="s">
        <v>216</v>
      </c>
      <c r="I70">
        <v>1</v>
      </c>
      <c r="J70" t="s">
        <v>192</v>
      </c>
      <c r="K70">
        <v>1E-3</v>
      </c>
      <c r="L70" t="s">
        <v>3</v>
      </c>
      <c r="M70">
        <v>1</v>
      </c>
      <c r="N70" t="s">
        <v>2</v>
      </c>
      <c r="O70">
        <v>0</v>
      </c>
      <c r="P70" t="s">
        <v>17</v>
      </c>
      <c r="Q70">
        <v>6</v>
      </c>
      <c r="R70" t="s">
        <v>0</v>
      </c>
      <c r="S70">
        <v>2.9</v>
      </c>
      <c r="T70" t="s">
        <v>152</v>
      </c>
      <c r="U70">
        <v>1</v>
      </c>
      <c r="V70" t="s">
        <v>153</v>
      </c>
      <c r="W70">
        <v>2</v>
      </c>
      <c r="X70" t="s">
        <v>151</v>
      </c>
      <c r="Y70">
        <v>540</v>
      </c>
      <c r="Z70" t="s">
        <v>1</v>
      </c>
      <c r="AA70" t="s">
        <v>159</v>
      </c>
      <c r="AB70" t="s">
        <v>4</v>
      </c>
      <c r="AC70">
        <v>1</v>
      </c>
      <c r="AD70" t="s">
        <v>5</v>
      </c>
      <c r="AE70">
        <v>0</v>
      </c>
    </row>
    <row r="71" spans="1:31" x14ac:dyDescent="0.25">
      <c r="A71" t="s">
        <v>92</v>
      </c>
      <c r="B71" t="s">
        <v>189</v>
      </c>
      <c r="C71">
        <v>1200</v>
      </c>
      <c r="D71" t="s">
        <v>190</v>
      </c>
      <c r="E71">
        <v>1000000</v>
      </c>
      <c r="F71" t="s">
        <v>191</v>
      </c>
      <c r="G71">
        <v>12345</v>
      </c>
      <c r="H71" t="s">
        <v>216</v>
      </c>
      <c r="I71">
        <v>1</v>
      </c>
      <c r="J71" t="s">
        <v>192</v>
      </c>
      <c r="K71">
        <v>1E-3</v>
      </c>
      <c r="L71" t="s">
        <v>3</v>
      </c>
      <c r="M71">
        <v>0.99943899999999997</v>
      </c>
      <c r="N71" t="s">
        <v>2</v>
      </c>
      <c r="O71">
        <v>2.8643399999999999E-2</v>
      </c>
      <c r="P71" t="s">
        <v>17</v>
      </c>
      <c r="Q71">
        <v>30</v>
      </c>
      <c r="R71" t="s">
        <v>0</v>
      </c>
      <c r="S71">
        <v>1202.5999999999999</v>
      </c>
      <c r="T71" t="s">
        <v>152</v>
      </c>
      <c r="U71">
        <v>24</v>
      </c>
      <c r="V71" t="s">
        <v>153</v>
      </c>
      <c r="W71">
        <v>84</v>
      </c>
      <c r="X71" t="s">
        <v>151</v>
      </c>
      <c r="Y71">
        <v>101577</v>
      </c>
      <c r="Z71" t="s">
        <v>1</v>
      </c>
      <c r="AA71" t="s">
        <v>289</v>
      </c>
      <c r="AB71" t="s">
        <v>4</v>
      </c>
      <c r="AC71">
        <v>0.99943800000000005</v>
      </c>
      <c r="AD71" t="s">
        <v>5</v>
      </c>
      <c r="AE71">
        <v>2.86988E-2</v>
      </c>
    </row>
    <row r="72" spans="1:31" x14ac:dyDescent="0.25">
      <c r="A72" t="s">
        <v>102</v>
      </c>
      <c r="B72" t="s">
        <v>189</v>
      </c>
      <c r="C72">
        <v>1200</v>
      </c>
      <c r="D72" t="s">
        <v>190</v>
      </c>
      <c r="E72">
        <v>1000000</v>
      </c>
      <c r="F72" t="s">
        <v>191</v>
      </c>
      <c r="G72">
        <v>12345</v>
      </c>
      <c r="H72" t="s">
        <v>216</v>
      </c>
      <c r="I72">
        <v>1</v>
      </c>
      <c r="J72" t="s">
        <v>192</v>
      </c>
      <c r="K72">
        <v>1E-3</v>
      </c>
      <c r="L72" t="s">
        <v>3</v>
      </c>
      <c r="M72">
        <v>1</v>
      </c>
      <c r="N72" t="s">
        <v>2</v>
      </c>
      <c r="O72">
        <v>0</v>
      </c>
      <c r="P72" t="s">
        <v>17</v>
      </c>
      <c r="Q72">
        <v>12</v>
      </c>
      <c r="R72" t="s">
        <v>0</v>
      </c>
      <c r="S72">
        <v>15.5</v>
      </c>
      <c r="T72" t="s">
        <v>152</v>
      </c>
      <c r="U72">
        <v>1</v>
      </c>
      <c r="V72" t="s">
        <v>153</v>
      </c>
      <c r="W72">
        <v>4</v>
      </c>
      <c r="X72" t="s">
        <v>151</v>
      </c>
      <c r="Y72">
        <v>2574</v>
      </c>
      <c r="Z72" t="s">
        <v>1</v>
      </c>
      <c r="AA72" t="s">
        <v>177</v>
      </c>
      <c r="AB72" t="s">
        <v>4</v>
      </c>
      <c r="AC72">
        <v>1</v>
      </c>
      <c r="AD72" t="s">
        <v>5</v>
      </c>
      <c r="AE72">
        <v>0</v>
      </c>
    </row>
    <row r="73" spans="1:31" x14ac:dyDescent="0.25">
      <c r="A73" t="s">
        <v>150</v>
      </c>
      <c r="B73" t="s">
        <v>189</v>
      </c>
      <c r="C73">
        <v>1200</v>
      </c>
      <c r="D73" t="s">
        <v>190</v>
      </c>
      <c r="E73">
        <v>1000000</v>
      </c>
      <c r="F73" t="s">
        <v>191</v>
      </c>
      <c r="G73">
        <v>12345</v>
      </c>
      <c r="H73" t="s">
        <v>216</v>
      </c>
      <c r="I73">
        <v>1</v>
      </c>
      <c r="J73" t="s">
        <v>192</v>
      </c>
      <c r="K73">
        <v>1E-3</v>
      </c>
      <c r="L73" t="s">
        <v>3</v>
      </c>
      <c r="M73">
        <v>0.98173549999999998</v>
      </c>
      <c r="N73" t="s">
        <v>2</v>
      </c>
      <c r="O73">
        <v>1.6581800000000001E-2</v>
      </c>
      <c r="P73" t="s">
        <v>17</v>
      </c>
      <c r="Q73">
        <v>48</v>
      </c>
      <c r="R73" t="s">
        <v>0</v>
      </c>
      <c r="S73">
        <v>1200.9000000000001</v>
      </c>
      <c r="T73" t="s">
        <v>152</v>
      </c>
      <c r="U73">
        <v>4</v>
      </c>
      <c r="V73" t="s">
        <v>153</v>
      </c>
      <c r="W73">
        <v>36</v>
      </c>
      <c r="X73" t="s">
        <v>151</v>
      </c>
      <c r="Y73">
        <v>133565</v>
      </c>
      <c r="Z73" t="s">
        <v>1</v>
      </c>
      <c r="AA73" t="e" cm="1">
        <f t="array" aca="1" ref="AA73" ca="1">-0.0040604544392+(((((((1.19326208727*v0)*V1)*V2)*V4)*pow(V3,-1))*pow(V5,-1))*pow(V7,-1))+((((((((0.7996875239913*v0)*V1)*V2)*V6)*V8)*pow(V3,-1))*pow(V5,-1))*pow(V7,-1))</f>
        <v>#NAME?</v>
      </c>
      <c r="AB73" t="s">
        <v>4</v>
      </c>
      <c r="AC73">
        <v>0.98163889999999998</v>
      </c>
      <c r="AD73" t="s">
        <v>5</v>
      </c>
      <c r="AE73">
        <v>1.6761499999999999E-2</v>
      </c>
    </row>
    <row r="74" spans="1:31" x14ac:dyDescent="0.25">
      <c r="A74" t="s">
        <v>31</v>
      </c>
      <c r="B74" t="s">
        <v>189</v>
      </c>
      <c r="C74">
        <v>1200</v>
      </c>
      <c r="D74" t="s">
        <v>190</v>
      </c>
      <c r="E74">
        <v>1000000</v>
      </c>
      <c r="F74" t="s">
        <v>191</v>
      </c>
      <c r="G74">
        <v>12345</v>
      </c>
      <c r="H74" t="s">
        <v>216</v>
      </c>
      <c r="I74">
        <v>1</v>
      </c>
      <c r="J74" t="s">
        <v>192</v>
      </c>
      <c r="K74">
        <v>1E-3</v>
      </c>
      <c r="L74" t="s">
        <v>3</v>
      </c>
      <c r="M74">
        <v>0.99826720000000002</v>
      </c>
      <c r="N74" t="s">
        <v>2</v>
      </c>
      <c r="O74">
        <v>9.1427800000000004E-2</v>
      </c>
      <c r="P74" t="s">
        <v>17</v>
      </c>
      <c r="Q74">
        <v>30</v>
      </c>
      <c r="R74" t="s">
        <v>0</v>
      </c>
      <c r="S74">
        <v>1200.5999999999999</v>
      </c>
      <c r="T74" t="s">
        <v>152</v>
      </c>
      <c r="U74">
        <v>24</v>
      </c>
      <c r="V74" t="s">
        <v>153</v>
      </c>
      <c r="W74">
        <v>242</v>
      </c>
      <c r="X74" t="s">
        <v>151</v>
      </c>
      <c r="Y74">
        <v>338355</v>
      </c>
      <c r="Z74" t="s">
        <v>1</v>
      </c>
      <c r="AA74" t="s">
        <v>290</v>
      </c>
      <c r="AB74" t="s">
        <v>4</v>
      </c>
      <c r="AC74">
        <v>0.99672939999999999</v>
      </c>
      <c r="AD74" t="s">
        <v>5</v>
      </c>
      <c r="AE74">
        <v>0.16936519999999999</v>
      </c>
    </row>
    <row r="75" spans="1:31" x14ac:dyDescent="0.25">
      <c r="A75" t="s">
        <v>41</v>
      </c>
      <c r="B75" t="s">
        <v>189</v>
      </c>
      <c r="C75">
        <v>1200</v>
      </c>
      <c r="D75" t="s">
        <v>190</v>
      </c>
      <c r="E75">
        <v>1000000</v>
      </c>
      <c r="F75" t="s">
        <v>191</v>
      </c>
      <c r="G75">
        <v>12345</v>
      </c>
      <c r="H75" t="s">
        <v>216</v>
      </c>
      <c r="I75">
        <v>1</v>
      </c>
      <c r="J75" t="s">
        <v>192</v>
      </c>
      <c r="K75">
        <v>1E-3</v>
      </c>
      <c r="L75" t="s">
        <v>3</v>
      </c>
      <c r="M75">
        <v>1</v>
      </c>
      <c r="N75" t="s">
        <v>2</v>
      </c>
      <c r="O75">
        <v>0</v>
      </c>
      <c r="P75" t="s">
        <v>17</v>
      </c>
      <c r="Q75">
        <v>8</v>
      </c>
      <c r="R75" t="s">
        <v>0</v>
      </c>
      <c r="S75">
        <v>5.6</v>
      </c>
      <c r="T75" t="s">
        <v>152</v>
      </c>
      <c r="U75">
        <v>1</v>
      </c>
      <c r="V75" t="s">
        <v>153</v>
      </c>
      <c r="W75">
        <v>3</v>
      </c>
      <c r="X75" t="s">
        <v>151</v>
      </c>
      <c r="Y75">
        <v>1036</v>
      </c>
      <c r="Z75" t="s">
        <v>1</v>
      </c>
      <c r="AA75" t="s">
        <v>205</v>
      </c>
      <c r="AB75" t="s">
        <v>4</v>
      </c>
      <c r="AC75">
        <v>1</v>
      </c>
      <c r="AD75" t="s">
        <v>5</v>
      </c>
      <c r="AE75">
        <v>0</v>
      </c>
    </row>
    <row r="76" spans="1:31" x14ac:dyDescent="0.25">
      <c r="A76" t="s">
        <v>48</v>
      </c>
      <c r="B76" t="s">
        <v>189</v>
      </c>
      <c r="C76">
        <v>1200</v>
      </c>
      <c r="D76" t="s">
        <v>190</v>
      </c>
      <c r="E76">
        <v>1000000</v>
      </c>
      <c r="F76" t="s">
        <v>191</v>
      </c>
      <c r="G76">
        <v>12345</v>
      </c>
      <c r="H76" t="s">
        <v>216</v>
      </c>
      <c r="I76">
        <v>1</v>
      </c>
      <c r="J76" t="s">
        <v>192</v>
      </c>
      <c r="K76">
        <v>1E-3</v>
      </c>
      <c r="L76" t="s">
        <v>3</v>
      </c>
      <c r="M76">
        <v>0.99782159999999998</v>
      </c>
      <c r="N76" t="s">
        <v>2</v>
      </c>
      <c r="O76">
        <v>2.2316200000000001E-2</v>
      </c>
      <c r="P76" t="s">
        <v>17</v>
      </c>
      <c r="Q76">
        <v>20</v>
      </c>
      <c r="R76" t="s">
        <v>0</v>
      </c>
      <c r="S76">
        <v>1203.3</v>
      </c>
      <c r="T76" t="s">
        <v>152</v>
      </c>
      <c r="U76">
        <v>24</v>
      </c>
      <c r="V76" t="s">
        <v>153</v>
      </c>
      <c r="W76">
        <v>104</v>
      </c>
      <c r="X76" t="s">
        <v>151</v>
      </c>
      <c r="Y76">
        <v>105586</v>
      </c>
      <c r="Z76" t="s">
        <v>1</v>
      </c>
      <c r="AA76" t="e" cm="1">
        <f t="array" aca="1" ref="AA76" ca="1">-16.679268620323+(17.4777582494729*pow(V2,0.1))+(((1.4998164446472*V1)*pow(v0,-1))*pow(V2,-1))</f>
        <v>#NAME?</v>
      </c>
      <c r="AB76" t="s">
        <v>4</v>
      </c>
      <c r="AC76">
        <v>0.99781500000000001</v>
      </c>
      <c r="AD76" t="s">
        <v>5</v>
      </c>
      <c r="AE76">
        <v>2.2321199999999999E-2</v>
      </c>
    </row>
    <row r="77" spans="1:31" x14ac:dyDescent="0.25">
      <c r="A77" t="s">
        <v>85</v>
      </c>
      <c r="B77" t="s">
        <v>189</v>
      </c>
      <c r="C77">
        <v>1200</v>
      </c>
      <c r="D77" t="s">
        <v>190</v>
      </c>
      <c r="E77">
        <v>1000000</v>
      </c>
      <c r="F77" t="s">
        <v>191</v>
      </c>
      <c r="G77">
        <v>12345</v>
      </c>
      <c r="H77" t="s">
        <v>216</v>
      </c>
      <c r="I77">
        <v>1</v>
      </c>
      <c r="J77" t="s">
        <v>192</v>
      </c>
      <c r="K77">
        <v>1E-3</v>
      </c>
      <c r="L77" t="s">
        <v>3</v>
      </c>
      <c r="M77">
        <v>0.92402329999999999</v>
      </c>
      <c r="N77" t="s">
        <v>2</v>
      </c>
      <c r="O77">
        <v>0.23446420000000001</v>
      </c>
      <c r="P77" t="s">
        <v>17</v>
      </c>
      <c r="Q77">
        <v>8</v>
      </c>
      <c r="R77" t="s">
        <v>0</v>
      </c>
      <c r="S77">
        <v>1205.0999999999999</v>
      </c>
      <c r="T77" t="s">
        <v>152</v>
      </c>
      <c r="U77">
        <v>49</v>
      </c>
      <c r="V77" t="s">
        <v>153</v>
      </c>
      <c r="W77">
        <v>101</v>
      </c>
      <c r="X77" t="s">
        <v>151</v>
      </c>
      <c r="Y77">
        <v>45043</v>
      </c>
      <c r="Z77" t="s">
        <v>1</v>
      </c>
      <c r="AA77" t="s">
        <v>291</v>
      </c>
      <c r="AB77" t="s">
        <v>4</v>
      </c>
      <c r="AC77">
        <v>0.92398860000000005</v>
      </c>
      <c r="AD77" t="s">
        <v>5</v>
      </c>
      <c r="AE77">
        <v>0.2336695</v>
      </c>
    </row>
    <row r="78" spans="1:31" x14ac:dyDescent="0.25">
      <c r="A78" t="s">
        <v>95</v>
      </c>
      <c r="B78" t="s">
        <v>189</v>
      </c>
      <c r="C78">
        <v>1200</v>
      </c>
      <c r="D78" t="s">
        <v>190</v>
      </c>
      <c r="E78">
        <v>1000000</v>
      </c>
      <c r="F78" t="s">
        <v>191</v>
      </c>
      <c r="G78">
        <v>12345</v>
      </c>
      <c r="H78" t="s">
        <v>216</v>
      </c>
      <c r="I78">
        <v>1</v>
      </c>
      <c r="J78" t="s">
        <v>192</v>
      </c>
      <c r="K78">
        <v>1E-3</v>
      </c>
      <c r="L78" t="s">
        <v>3</v>
      </c>
      <c r="M78">
        <v>1</v>
      </c>
      <c r="N78" t="s">
        <v>2</v>
      </c>
      <c r="O78">
        <v>0</v>
      </c>
      <c r="P78" t="s">
        <v>17</v>
      </c>
      <c r="Q78">
        <v>12</v>
      </c>
      <c r="R78" t="s">
        <v>0</v>
      </c>
      <c r="S78">
        <v>15.3</v>
      </c>
      <c r="T78" t="s">
        <v>152</v>
      </c>
      <c r="U78">
        <v>1</v>
      </c>
      <c r="V78" t="s">
        <v>153</v>
      </c>
      <c r="W78">
        <v>4</v>
      </c>
      <c r="X78" t="s">
        <v>151</v>
      </c>
      <c r="Y78">
        <v>2572</v>
      </c>
      <c r="Z78" t="s">
        <v>1</v>
      </c>
      <c r="AA78" t="s">
        <v>175</v>
      </c>
      <c r="AB78" t="s">
        <v>4</v>
      </c>
      <c r="AC78">
        <v>1</v>
      </c>
      <c r="AD78" t="s">
        <v>5</v>
      </c>
      <c r="AE78">
        <v>0</v>
      </c>
    </row>
    <row r="79" spans="1:31" x14ac:dyDescent="0.25">
      <c r="A79" t="s">
        <v>136</v>
      </c>
      <c r="B79" t="s">
        <v>189</v>
      </c>
      <c r="C79">
        <v>1200</v>
      </c>
      <c r="D79" t="s">
        <v>190</v>
      </c>
      <c r="E79">
        <v>1000000</v>
      </c>
      <c r="F79" t="s">
        <v>191</v>
      </c>
      <c r="G79">
        <v>12345</v>
      </c>
      <c r="H79" t="s">
        <v>216</v>
      </c>
      <c r="I79">
        <v>1</v>
      </c>
      <c r="J79" t="s">
        <v>192</v>
      </c>
      <c r="K79">
        <v>1E-3</v>
      </c>
      <c r="L79" t="s">
        <v>3</v>
      </c>
      <c r="M79">
        <v>0.99983889999999997</v>
      </c>
      <c r="N79" t="s">
        <v>2</v>
      </c>
      <c r="O79">
        <v>88.221593600000006</v>
      </c>
      <c r="P79" t="s">
        <v>17</v>
      </c>
      <c r="Q79">
        <v>133</v>
      </c>
      <c r="R79" t="s">
        <v>0</v>
      </c>
      <c r="S79">
        <v>1201.2</v>
      </c>
      <c r="T79" t="s">
        <v>152</v>
      </c>
      <c r="U79">
        <v>1</v>
      </c>
      <c r="V79" t="s">
        <v>153</v>
      </c>
      <c r="W79">
        <v>26</v>
      </c>
      <c r="X79" t="s">
        <v>151</v>
      </c>
      <c r="Y79">
        <v>102806</v>
      </c>
      <c r="Z79" t="s">
        <v>1</v>
      </c>
      <c r="AA79" t="e" cm="1">
        <f t="array" aca="1" ref="AA79" ca="1">-14.9791448900381+((((25.261874538482*pow(V1,-4.8))*pow(V3,2.4))*pow(V4,-3.4))*pow((-1*SIN((((0.8*V3)+(0.8*V4))+(-0.5*V2)))),2))+((((-17.4516697678578*pow(2.4,V3))*pow(v0,4.4))*pow(V1,-5.76))*pow(V4,-3.4))+(((((23.9942775069622*pow(v0,5))*pow(V1,-4.8))*pow(V3,2.4))*pow(V4,-4.4))*pow(SIN(((0.5235987755983*V2)+(-0.8*V4))),2))+(((((9.662607902299*pow(v0,4))*pow(V1,-4.18))*pow(V3,2.4))*pow((V2+(-0.8*V4)),2))*SIN(pow(V4,-4.4)))+(((((-55.3794980584388*pow(v0,4))*pow(V1,-4.8))*pow(V3,2.4))*pow(V4,-4.4))*pow((V2+(-0.8*V4)),2))</f>
        <v>#NAME?</v>
      </c>
      <c r="AB79" t="s">
        <v>4</v>
      </c>
      <c r="AC79">
        <v>0.99982179999999998</v>
      </c>
      <c r="AD79" t="s">
        <v>5</v>
      </c>
      <c r="AE79">
        <v>85.773583599999995</v>
      </c>
    </row>
    <row r="80" spans="1:31" x14ac:dyDescent="0.25">
      <c r="A80" t="s">
        <v>44</v>
      </c>
      <c r="B80" t="s">
        <v>189</v>
      </c>
      <c r="C80">
        <v>1200</v>
      </c>
      <c r="D80" t="s">
        <v>190</v>
      </c>
      <c r="E80">
        <v>1000000</v>
      </c>
      <c r="F80" t="s">
        <v>191</v>
      </c>
      <c r="G80">
        <v>12345</v>
      </c>
      <c r="H80" t="s">
        <v>216</v>
      </c>
      <c r="I80">
        <v>1</v>
      </c>
      <c r="J80" t="s">
        <v>192</v>
      </c>
      <c r="K80">
        <v>1E-3</v>
      </c>
      <c r="L80" t="s">
        <v>3</v>
      </c>
      <c r="M80">
        <v>0.99188299999999996</v>
      </c>
      <c r="N80" t="s">
        <v>2</v>
      </c>
      <c r="O80">
        <v>3.8409999999999998E-3</v>
      </c>
      <c r="P80" t="s">
        <v>17</v>
      </c>
      <c r="Q80">
        <v>27</v>
      </c>
      <c r="R80" t="s">
        <v>0</v>
      </c>
      <c r="S80">
        <v>1200.4000000000001</v>
      </c>
      <c r="T80" t="s">
        <v>152</v>
      </c>
      <c r="U80">
        <v>21</v>
      </c>
      <c r="V80" t="s">
        <v>153</v>
      </c>
      <c r="W80">
        <v>59</v>
      </c>
      <c r="X80" t="s">
        <v>151</v>
      </c>
      <c r="Y80">
        <v>108753</v>
      </c>
      <c r="Z80" t="s">
        <v>1</v>
      </c>
      <c r="AA80" t="s">
        <v>292</v>
      </c>
      <c r="AB80" t="s">
        <v>4</v>
      </c>
      <c r="AC80">
        <v>0.99194400000000005</v>
      </c>
      <c r="AD80" t="s">
        <v>5</v>
      </c>
      <c r="AE80">
        <v>3.8180000000000002E-3</v>
      </c>
    </row>
    <row r="81" spans="1:31" x14ac:dyDescent="0.25">
      <c r="A81" t="s">
        <v>54</v>
      </c>
      <c r="B81" t="s">
        <v>189</v>
      </c>
      <c r="C81">
        <v>1200</v>
      </c>
      <c r="D81" t="s">
        <v>190</v>
      </c>
      <c r="E81">
        <v>1000000</v>
      </c>
      <c r="F81" t="s">
        <v>191</v>
      </c>
      <c r="G81">
        <v>12345</v>
      </c>
      <c r="H81" t="s">
        <v>216</v>
      </c>
      <c r="I81">
        <v>1</v>
      </c>
      <c r="J81" t="s">
        <v>192</v>
      </c>
      <c r="K81">
        <v>1E-3</v>
      </c>
      <c r="L81" t="s">
        <v>3</v>
      </c>
      <c r="M81">
        <v>1</v>
      </c>
      <c r="N81" t="s">
        <v>2</v>
      </c>
      <c r="O81">
        <v>0</v>
      </c>
      <c r="P81" t="s">
        <v>17</v>
      </c>
      <c r="Q81">
        <v>12</v>
      </c>
      <c r="R81" t="s">
        <v>0</v>
      </c>
      <c r="S81">
        <v>15.7</v>
      </c>
      <c r="T81" t="s">
        <v>152</v>
      </c>
      <c r="U81">
        <v>1</v>
      </c>
      <c r="V81" t="s">
        <v>153</v>
      </c>
      <c r="W81">
        <v>5</v>
      </c>
      <c r="X81" t="s">
        <v>151</v>
      </c>
      <c r="Y81">
        <v>2522</v>
      </c>
      <c r="Z81" t="s">
        <v>1</v>
      </c>
      <c r="AA81" t="s">
        <v>230</v>
      </c>
      <c r="AB81" t="s">
        <v>4</v>
      </c>
      <c r="AC81">
        <v>1</v>
      </c>
      <c r="AD81" t="s">
        <v>5</v>
      </c>
      <c r="AE81">
        <v>0</v>
      </c>
    </row>
    <row r="82" spans="1:31" x14ac:dyDescent="0.25">
      <c r="A82" t="s">
        <v>112</v>
      </c>
      <c r="B82" t="s">
        <v>189</v>
      </c>
      <c r="C82">
        <v>1200</v>
      </c>
      <c r="D82" t="s">
        <v>190</v>
      </c>
      <c r="E82">
        <v>1000000</v>
      </c>
      <c r="F82" t="s">
        <v>191</v>
      </c>
      <c r="G82">
        <v>12345</v>
      </c>
      <c r="H82" t="s">
        <v>216</v>
      </c>
      <c r="I82">
        <v>1</v>
      </c>
      <c r="J82" t="s">
        <v>192</v>
      </c>
      <c r="K82">
        <v>1E-3</v>
      </c>
      <c r="L82" t="s">
        <v>3</v>
      </c>
      <c r="M82">
        <v>0.99960899999999997</v>
      </c>
      <c r="N82" t="s">
        <v>2</v>
      </c>
      <c r="O82">
        <v>1.3865000000000001E-2</v>
      </c>
      <c r="P82" t="s">
        <v>17</v>
      </c>
      <c r="Q82">
        <v>19</v>
      </c>
      <c r="R82" t="s">
        <v>0</v>
      </c>
      <c r="S82">
        <v>1202.5</v>
      </c>
      <c r="T82" t="s">
        <v>152</v>
      </c>
      <c r="U82">
        <v>31</v>
      </c>
      <c r="V82" t="s">
        <v>153</v>
      </c>
      <c r="W82">
        <v>90</v>
      </c>
      <c r="X82" t="s">
        <v>151</v>
      </c>
      <c r="Y82">
        <v>125012</v>
      </c>
      <c r="Z82" t="s">
        <v>1</v>
      </c>
      <c r="AA82" t="s">
        <v>293</v>
      </c>
      <c r="AB82" t="s">
        <v>4</v>
      </c>
      <c r="AC82">
        <v>0.99962580000000001</v>
      </c>
      <c r="AD82" t="s">
        <v>5</v>
      </c>
      <c r="AE82">
        <v>1.3504E-2</v>
      </c>
    </row>
    <row r="83" spans="1:31" x14ac:dyDescent="0.25">
      <c r="A83" t="s">
        <v>122</v>
      </c>
      <c r="B83" t="s">
        <v>189</v>
      </c>
      <c r="C83">
        <v>1200</v>
      </c>
      <c r="D83" t="s">
        <v>190</v>
      </c>
      <c r="E83">
        <v>1000000</v>
      </c>
      <c r="F83" t="s">
        <v>191</v>
      </c>
      <c r="G83">
        <v>12345</v>
      </c>
      <c r="H83" t="s">
        <v>216</v>
      </c>
      <c r="I83">
        <v>1</v>
      </c>
      <c r="J83" t="s">
        <v>192</v>
      </c>
      <c r="K83">
        <v>1E-3</v>
      </c>
      <c r="L83" t="s">
        <v>3</v>
      </c>
      <c r="M83">
        <v>1</v>
      </c>
      <c r="N83" t="s">
        <v>2</v>
      </c>
      <c r="O83">
        <v>0</v>
      </c>
      <c r="P83" t="s">
        <v>17</v>
      </c>
      <c r="Q83">
        <v>18</v>
      </c>
      <c r="R83" t="s">
        <v>0</v>
      </c>
      <c r="S83">
        <v>41.4</v>
      </c>
      <c r="T83" t="s">
        <v>152</v>
      </c>
      <c r="U83">
        <v>1</v>
      </c>
      <c r="V83" t="s">
        <v>153</v>
      </c>
      <c r="W83">
        <v>6</v>
      </c>
      <c r="X83" t="s">
        <v>151</v>
      </c>
      <c r="Y83">
        <v>6199</v>
      </c>
      <c r="Z83" t="s">
        <v>1</v>
      </c>
      <c r="AA83" t="s">
        <v>171</v>
      </c>
      <c r="AB83" t="s">
        <v>4</v>
      </c>
      <c r="AC83">
        <v>1</v>
      </c>
      <c r="AD83" t="s">
        <v>5</v>
      </c>
      <c r="AE83">
        <v>0</v>
      </c>
    </row>
    <row r="84" spans="1:31" x14ac:dyDescent="0.25">
      <c r="A84" t="s">
        <v>105</v>
      </c>
      <c r="B84" t="s">
        <v>189</v>
      </c>
      <c r="C84">
        <v>1200</v>
      </c>
      <c r="D84" t="s">
        <v>190</v>
      </c>
      <c r="E84">
        <v>1000000</v>
      </c>
      <c r="F84" t="s">
        <v>191</v>
      </c>
      <c r="G84">
        <v>12345</v>
      </c>
      <c r="H84" t="s">
        <v>216</v>
      </c>
      <c r="I84">
        <v>1</v>
      </c>
      <c r="J84" t="s">
        <v>192</v>
      </c>
      <c r="K84">
        <v>1E-3</v>
      </c>
      <c r="L84" t="s">
        <v>3</v>
      </c>
      <c r="M84">
        <v>1</v>
      </c>
      <c r="N84" t="s">
        <v>2</v>
      </c>
      <c r="O84">
        <v>0</v>
      </c>
      <c r="P84" t="s">
        <v>17</v>
      </c>
      <c r="Q84">
        <v>22</v>
      </c>
      <c r="R84" t="s">
        <v>0</v>
      </c>
      <c r="S84">
        <v>366.5</v>
      </c>
      <c r="T84" t="s">
        <v>152</v>
      </c>
      <c r="U84">
        <v>3</v>
      </c>
      <c r="V84" t="s">
        <v>153</v>
      </c>
      <c r="W84">
        <v>19</v>
      </c>
      <c r="X84" t="s">
        <v>151</v>
      </c>
      <c r="Y84">
        <v>37808</v>
      </c>
      <c r="Z84" t="s">
        <v>1</v>
      </c>
      <c r="AA84" t="s">
        <v>185</v>
      </c>
      <c r="AB84" t="s">
        <v>4</v>
      </c>
      <c r="AC84">
        <v>1</v>
      </c>
      <c r="AD84" t="s">
        <v>5</v>
      </c>
      <c r="AE84">
        <v>0</v>
      </c>
    </row>
    <row r="85" spans="1:31" x14ac:dyDescent="0.25">
      <c r="A85" t="s">
        <v>51</v>
      </c>
      <c r="B85" t="s">
        <v>189</v>
      </c>
      <c r="C85">
        <v>1200</v>
      </c>
      <c r="D85" t="s">
        <v>190</v>
      </c>
      <c r="E85">
        <v>1000000</v>
      </c>
      <c r="F85" t="s">
        <v>191</v>
      </c>
      <c r="G85">
        <v>12345</v>
      </c>
      <c r="H85" t="s">
        <v>216</v>
      </c>
      <c r="I85">
        <v>1</v>
      </c>
      <c r="J85" t="s">
        <v>192</v>
      </c>
      <c r="K85">
        <v>1E-3</v>
      </c>
      <c r="L85" t="s">
        <v>3</v>
      </c>
      <c r="M85">
        <v>0.99998929999999997</v>
      </c>
      <c r="N85" t="s">
        <v>2</v>
      </c>
      <c r="O85">
        <v>5.2864000000000001E-3</v>
      </c>
      <c r="P85" t="s">
        <v>17</v>
      </c>
      <c r="Q85">
        <v>18</v>
      </c>
      <c r="R85" t="s">
        <v>0</v>
      </c>
      <c r="S85">
        <v>1201.3</v>
      </c>
      <c r="T85" t="s">
        <v>152</v>
      </c>
      <c r="U85">
        <v>18</v>
      </c>
      <c r="V85" t="s">
        <v>153</v>
      </c>
      <c r="W85">
        <v>91</v>
      </c>
      <c r="X85" t="s">
        <v>151</v>
      </c>
      <c r="Y85">
        <v>118610</v>
      </c>
      <c r="Z85" t="s">
        <v>1</v>
      </c>
      <c r="AA85" t="s">
        <v>294</v>
      </c>
      <c r="AB85" t="s">
        <v>4</v>
      </c>
      <c r="AC85">
        <v>0.9999884</v>
      </c>
      <c r="AD85" t="s">
        <v>5</v>
      </c>
      <c r="AE85">
        <v>5.5148000000000003E-3</v>
      </c>
    </row>
    <row r="86" spans="1:31" x14ac:dyDescent="0.25">
      <c r="A86" t="s">
        <v>61</v>
      </c>
      <c r="B86" t="s">
        <v>189</v>
      </c>
      <c r="C86">
        <v>1200</v>
      </c>
      <c r="D86" t="s">
        <v>190</v>
      </c>
      <c r="E86">
        <v>1000000</v>
      </c>
      <c r="F86" t="s">
        <v>191</v>
      </c>
      <c r="G86">
        <v>12345</v>
      </c>
      <c r="H86" t="s">
        <v>216</v>
      </c>
      <c r="I86">
        <v>1</v>
      </c>
      <c r="J86" t="s">
        <v>192</v>
      </c>
      <c r="K86">
        <v>1E-3</v>
      </c>
      <c r="L86" t="s">
        <v>3</v>
      </c>
      <c r="M86">
        <v>1</v>
      </c>
      <c r="N86" t="s">
        <v>2</v>
      </c>
      <c r="O86">
        <v>0</v>
      </c>
      <c r="P86" t="s">
        <v>17</v>
      </c>
      <c r="Q86">
        <v>19</v>
      </c>
      <c r="R86" t="s">
        <v>0</v>
      </c>
      <c r="S86">
        <v>180.3</v>
      </c>
      <c r="T86" t="s">
        <v>152</v>
      </c>
      <c r="U86">
        <v>2</v>
      </c>
      <c r="V86" t="s">
        <v>153</v>
      </c>
      <c r="W86">
        <v>14</v>
      </c>
      <c r="X86" t="s">
        <v>151</v>
      </c>
      <c r="Y86">
        <v>19877</v>
      </c>
      <c r="Z86" t="s">
        <v>1</v>
      </c>
      <c r="AA86" t="s">
        <v>173</v>
      </c>
      <c r="AB86" t="s">
        <v>4</v>
      </c>
      <c r="AC86">
        <v>1</v>
      </c>
      <c r="AD86" t="s">
        <v>5</v>
      </c>
      <c r="AE86">
        <v>0</v>
      </c>
    </row>
    <row r="87" spans="1:31" x14ac:dyDescent="0.25">
      <c r="A87" t="s">
        <v>71</v>
      </c>
      <c r="B87" t="s">
        <v>189</v>
      </c>
      <c r="C87">
        <v>1200</v>
      </c>
      <c r="D87" t="s">
        <v>190</v>
      </c>
      <c r="E87">
        <v>1000000</v>
      </c>
      <c r="F87" t="s">
        <v>191</v>
      </c>
      <c r="G87">
        <v>12345</v>
      </c>
      <c r="H87" t="s">
        <v>216</v>
      </c>
      <c r="I87">
        <v>1</v>
      </c>
      <c r="J87" t="s">
        <v>192</v>
      </c>
      <c r="K87">
        <v>1E-3</v>
      </c>
      <c r="L87" t="s">
        <v>3</v>
      </c>
      <c r="M87">
        <v>1</v>
      </c>
      <c r="N87" t="s">
        <v>2</v>
      </c>
      <c r="O87">
        <v>0</v>
      </c>
      <c r="P87" t="s">
        <v>17</v>
      </c>
      <c r="Q87">
        <v>10</v>
      </c>
      <c r="R87" t="s">
        <v>0</v>
      </c>
      <c r="S87">
        <v>8.6</v>
      </c>
      <c r="T87" t="s">
        <v>152</v>
      </c>
      <c r="U87">
        <v>1</v>
      </c>
      <c r="V87" t="s">
        <v>153</v>
      </c>
      <c r="W87">
        <v>3</v>
      </c>
      <c r="X87" t="s">
        <v>151</v>
      </c>
      <c r="Y87">
        <v>1492</v>
      </c>
      <c r="Z87" t="s">
        <v>1</v>
      </c>
      <c r="AA87" t="s">
        <v>211</v>
      </c>
      <c r="AB87" t="s">
        <v>4</v>
      </c>
      <c r="AC87">
        <v>1</v>
      </c>
      <c r="AD87" t="s">
        <v>5</v>
      </c>
      <c r="AE87">
        <v>0</v>
      </c>
    </row>
    <row r="88" spans="1:31" x14ac:dyDescent="0.25">
      <c r="A88" t="s">
        <v>81</v>
      </c>
      <c r="B88" t="s">
        <v>189</v>
      </c>
      <c r="C88">
        <v>1200</v>
      </c>
      <c r="D88" t="s">
        <v>190</v>
      </c>
      <c r="E88">
        <v>1000000</v>
      </c>
      <c r="F88" t="s">
        <v>191</v>
      </c>
      <c r="G88">
        <v>12345</v>
      </c>
      <c r="H88" t="s">
        <v>216</v>
      </c>
      <c r="I88">
        <v>1</v>
      </c>
      <c r="J88" t="s">
        <v>192</v>
      </c>
      <c r="K88">
        <v>1E-3</v>
      </c>
      <c r="L88" t="s">
        <v>3</v>
      </c>
      <c r="M88">
        <v>1</v>
      </c>
      <c r="N88" t="s">
        <v>2</v>
      </c>
      <c r="O88">
        <v>0</v>
      </c>
      <c r="P88" t="s">
        <v>17</v>
      </c>
      <c r="Q88">
        <v>12</v>
      </c>
      <c r="R88" t="s">
        <v>0</v>
      </c>
      <c r="S88">
        <v>10.4</v>
      </c>
      <c r="T88" t="s">
        <v>152</v>
      </c>
      <c r="U88">
        <v>1</v>
      </c>
      <c r="V88" t="s">
        <v>153</v>
      </c>
      <c r="W88">
        <v>3</v>
      </c>
      <c r="X88" t="s">
        <v>151</v>
      </c>
      <c r="Y88">
        <v>1736</v>
      </c>
      <c r="Z88" t="s">
        <v>1</v>
      </c>
      <c r="AA88" t="s">
        <v>174</v>
      </c>
      <c r="AB88" t="s">
        <v>4</v>
      </c>
      <c r="AC88">
        <v>1</v>
      </c>
      <c r="AD88" t="s">
        <v>5</v>
      </c>
      <c r="AE88">
        <v>0</v>
      </c>
    </row>
    <row r="89" spans="1:31" x14ac:dyDescent="0.25">
      <c r="A89" t="s">
        <v>27</v>
      </c>
      <c r="B89" t="s">
        <v>189</v>
      </c>
      <c r="C89">
        <v>1200</v>
      </c>
      <c r="D89" t="s">
        <v>190</v>
      </c>
      <c r="E89">
        <v>1000000</v>
      </c>
      <c r="F89" t="s">
        <v>191</v>
      </c>
      <c r="G89">
        <v>12345</v>
      </c>
      <c r="H89" t="s">
        <v>216</v>
      </c>
      <c r="I89">
        <v>1</v>
      </c>
      <c r="J89" t="s">
        <v>192</v>
      </c>
      <c r="K89">
        <v>1E-3</v>
      </c>
      <c r="L89" t="s">
        <v>3</v>
      </c>
      <c r="M89">
        <v>1</v>
      </c>
      <c r="N89" t="s">
        <v>2</v>
      </c>
      <c r="O89">
        <v>0</v>
      </c>
      <c r="P89" t="s">
        <v>17</v>
      </c>
      <c r="Q89">
        <v>16</v>
      </c>
      <c r="R89" t="s">
        <v>0</v>
      </c>
      <c r="S89">
        <v>28.3</v>
      </c>
      <c r="T89" t="s">
        <v>152</v>
      </c>
      <c r="U89">
        <v>2</v>
      </c>
      <c r="V89" t="s">
        <v>153</v>
      </c>
      <c r="W89">
        <v>13</v>
      </c>
      <c r="X89" t="s">
        <v>151</v>
      </c>
      <c r="Y89">
        <v>12510</v>
      </c>
      <c r="Z89" t="s">
        <v>1</v>
      </c>
      <c r="AA89" t="s">
        <v>156</v>
      </c>
      <c r="AB89" t="s">
        <v>4</v>
      </c>
      <c r="AC89">
        <v>1</v>
      </c>
      <c r="AD89" t="s">
        <v>5</v>
      </c>
      <c r="AE89">
        <v>0</v>
      </c>
    </row>
    <row r="90" spans="1:31" x14ac:dyDescent="0.25">
      <c r="A90" t="s">
        <v>37</v>
      </c>
      <c r="B90" t="s">
        <v>189</v>
      </c>
      <c r="C90">
        <v>1200</v>
      </c>
      <c r="D90" t="s">
        <v>190</v>
      </c>
      <c r="E90">
        <v>1000000</v>
      </c>
      <c r="F90" t="s">
        <v>191</v>
      </c>
      <c r="G90">
        <v>12345</v>
      </c>
      <c r="H90" t="s">
        <v>216</v>
      </c>
      <c r="I90">
        <v>1</v>
      </c>
      <c r="J90" t="s">
        <v>192</v>
      </c>
      <c r="K90">
        <v>1E-3</v>
      </c>
      <c r="L90" t="s">
        <v>3</v>
      </c>
      <c r="M90">
        <v>1</v>
      </c>
      <c r="N90" t="s">
        <v>2</v>
      </c>
      <c r="O90">
        <v>0</v>
      </c>
      <c r="P90" t="s">
        <v>17</v>
      </c>
      <c r="Q90">
        <v>6</v>
      </c>
      <c r="R90" t="s">
        <v>0</v>
      </c>
      <c r="S90">
        <v>2.7</v>
      </c>
      <c r="T90" t="s">
        <v>152</v>
      </c>
      <c r="U90">
        <v>1</v>
      </c>
      <c r="V90" t="s">
        <v>153</v>
      </c>
      <c r="W90">
        <v>2</v>
      </c>
      <c r="X90" t="s">
        <v>151</v>
      </c>
      <c r="Y90">
        <v>540</v>
      </c>
      <c r="Z90" t="s">
        <v>1</v>
      </c>
      <c r="AA90" t="s">
        <v>157</v>
      </c>
      <c r="AB90" t="s">
        <v>4</v>
      </c>
      <c r="AC90">
        <v>1</v>
      </c>
      <c r="AD90" t="s">
        <v>5</v>
      </c>
      <c r="AE90">
        <v>0</v>
      </c>
    </row>
    <row r="91" spans="1:31" x14ac:dyDescent="0.25">
      <c r="A91" t="s">
        <v>58</v>
      </c>
      <c r="B91" t="s">
        <v>189</v>
      </c>
      <c r="C91">
        <v>1200</v>
      </c>
      <c r="D91" t="s">
        <v>190</v>
      </c>
      <c r="E91">
        <v>1000000</v>
      </c>
      <c r="F91" t="s">
        <v>191</v>
      </c>
      <c r="G91">
        <v>12345</v>
      </c>
      <c r="H91" t="s">
        <v>216</v>
      </c>
      <c r="I91">
        <v>1</v>
      </c>
      <c r="J91" t="s">
        <v>192</v>
      </c>
      <c r="K91">
        <v>1E-3</v>
      </c>
      <c r="L91" t="s">
        <v>3</v>
      </c>
      <c r="M91">
        <v>0.99999760000000004</v>
      </c>
      <c r="N91" t="s">
        <v>2</v>
      </c>
      <c r="O91">
        <v>1.8814999999999999E-3</v>
      </c>
      <c r="P91" t="s">
        <v>17</v>
      </c>
      <c r="Q91">
        <v>17</v>
      </c>
      <c r="R91" t="s">
        <v>0</v>
      </c>
      <c r="S91">
        <v>1202.8</v>
      </c>
      <c r="T91" t="s">
        <v>152</v>
      </c>
      <c r="U91">
        <v>26</v>
      </c>
      <c r="V91" t="s">
        <v>153</v>
      </c>
      <c r="W91">
        <v>77</v>
      </c>
      <c r="X91" t="s">
        <v>151</v>
      </c>
      <c r="Y91">
        <v>97931</v>
      </c>
      <c r="Z91" t="s">
        <v>1</v>
      </c>
      <c r="AA91" t="s">
        <v>295</v>
      </c>
      <c r="AB91" t="s">
        <v>4</v>
      </c>
      <c r="AC91">
        <v>0.99999769999999999</v>
      </c>
      <c r="AD91" t="s">
        <v>5</v>
      </c>
      <c r="AE91">
        <v>1.8675E-3</v>
      </c>
    </row>
    <row r="92" spans="1:31" x14ac:dyDescent="0.25">
      <c r="A92" t="s">
        <v>68</v>
      </c>
      <c r="B92" t="s">
        <v>189</v>
      </c>
      <c r="C92">
        <v>1200</v>
      </c>
      <c r="D92" t="s">
        <v>190</v>
      </c>
      <c r="E92">
        <v>1000000</v>
      </c>
      <c r="F92" t="s">
        <v>191</v>
      </c>
      <c r="G92">
        <v>12345</v>
      </c>
      <c r="H92" t="s">
        <v>216</v>
      </c>
      <c r="I92">
        <v>1</v>
      </c>
      <c r="J92" t="s">
        <v>192</v>
      </c>
      <c r="K92">
        <v>1E-3</v>
      </c>
      <c r="L92" t="s">
        <v>3</v>
      </c>
      <c r="M92">
        <v>1</v>
      </c>
      <c r="N92" t="s">
        <v>2</v>
      </c>
      <c r="O92">
        <v>0</v>
      </c>
      <c r="P92" t="s">
        <v>17</v>
      </c>
      <c r="Q92">
        <v>14</v>
      </c>
      <c r="R92" t="s">
        <v>0</v>
      </c>
      <c r="S92">
        <v>21.2</v>
      </c>
      <c r="T92" t="s">
        <v>152</v>
      </c>
      <c r="U92">
        <v>1</v>
      </c>
      <c r="V92" t="s">
        <v>153</v>
      </c>
      <c r="W92">
        <v>5</v>
      </c>
      <c r="X92" t="s">
        <v>151</v>
      </c>
      <c r="Y92">
        <v>3364</v>
      </c>
      <c r="Z92" t="s">
        <v>1</v>
      </c>
      <c r="AA92" t="s">
        <v>244</v>
      </c>
      <c r="AB92" t="s">
        <v>4</v>
      </c>
      <c r="AC92">
        <v>1</v>
      </c>
      <c r="AD92" t="s">
        <v>5</v>
      </c>
      <c r="AE92">
        <v>0</v>
      </c>
    </row>
    <row r="93" spans="1:31" x14ac:dyDescent="0.25">
      <c r="A93" t="s">
        <v>78</v>
      </c>
      <c r="B93" t="s">
        <v>189</v>
      </c>
      <c r="C93">
        <v>1200</v>
      </c>
      <c r="D93" t="s">
        <v>190</v>
      </c>
      <c r="E93">
        <v>1000000</v>
      </c>
      <c r="F93" t="s">
        <v>191</v>
      </c>
      <c r="G93">
        <v>12345</v>
      </c>
      <c r="H93" t="s">
        <v>216</v>
      </c>
      <c r="I93">
        <v>1</v>
      </c>
      <c r="J93" t="s">
        <v>192</v>
      </c>
      <c r="K93">
        <v>1E-3</v>
      </c>
      <c r="L93" t="s">
        <v>3</v>
      </c>
      <c r="M93">
        <v>1</v>
      </c>
      <c r="N93" t="s">
        <v>2</v>
      </c>
      <c r="O93">
        <v>0</v>
      </c>
      <c r="P93" t="s">
        <v>17</v>
      </c>
      <c r="Q93">
        <v>9</v>
      </c>
      <c r="R93" t="s">
        <v>0</v>
      </c>
      <c r="S93">
        <v>8.6999999999999993</v>
      </c>
      <c r="T93" t="s">
        <v>152</v>
      </c>
      <c r="U93">
        <v>1</v>
      </c>
      <c r="V93" t="s">
        <v>153</v>
      </c>
      <c r="W93">
        <v>4</v>
      </c>
      <c r="X93" t="s">
        <v>151</v>
      </c>
      <c r="Y93">
        <v>1546</v>
      </c>
      <c r="Z93" t="s">
        <v>1</v>
      </c>
      <c r="AA93" t="s">
        <v>186</v>
      </c>
      <c r="AB93" t="s">
        <v>4</v>
      </c>
      <c r="AC93">
        <v>1</v>
      </c>
      <c r="AD93" t="s">
        <v>5</v>
      </c>
      <c r="AE93">
        <v>0</v>
      </c>
    </row>
    <row r="94" spans="1:31" x14ac:dyDescent="0.25">
      <c r="A94" t="s">
        <v>146</v>
      </c>
      <c r="B94" t="s">
        <v>189</v>
      </c>
      <c r="C94">
        <v>1200</v>
      </c>
      <c r="D94" t="s">
        <v>190</v>
      </c>
      <c r="E94">
        <v>1000000</v>
      </c>
      <c r="F94" t="s">
        <v>191</v>
      </c>
      <c r="G94">
        <v>12345</v>
      </c>
      <c r="H94" t="s">
        <v>216</v>
      </c>
      <c r="I94">
        <v>1</v>
      </c>
      <c r="J94" t="s">
        <v>192</v>
      </c>
      <c r="K94">
        <v>1E-3</v>
      </c>
      <c r="L94" t="s">
        <v>3</v>
      </c>
      <c r="M94">
        <v>0.9896665</v>
      </c>
      <c r="N94" t="s">
        <v>2</v>
      </c>
      <c r="O94">
        <v>4.6103100000000001E-2</v>
      </c>
      <c r="P94" t="s">
        <v>17</v>
      </c>
      <c r="Q94">
        <v>47</v>
      </c>
      <c r="R94" t="s">
        <v>0</v>
      </c>
      <c r="S94">
        <v>1201.8</v>
      </c>
      <c r="T94" t="s">
        <v>152</v>
      </c>
      <c r="U94">
        <v>4</v>
      </c>
      <c r="V94" t="s">
        <v>153</v>
      </c>
      <c r="W94">
        <v>40</v>
      </c>
      <c r="X94" t="s">
        <v>151</v>
      </c>
      <c r="Y94">
        <v>135825</v>
      </c>
      <c r="Z94" t="s">
        <v>1</v>
      </c>
      <c r="AA94" t="s">
        <v>296</v>
      </c>
      <c r="AB94" t="s">
        <v>4</v>
      </c>
      <c r="AC94">
        <v>0.98992040000000003</v>
      </c>
      <c r="AD94" t="s">
        <v>5</v>
      </c>
      <c r="AE94">
        <v>4.6592000000000001E-2</v>
      </c>
    </row>
    <row r="95" spans="1:31" x14ac:dyDescent="0.25">
      <c r="A95" t="s">
        <v>64</v>
      </c>
      <c r="B95" t="s">
        <v>189</v>
      </c>
      <c r="C95">
        <v>1200</v>
      </c>
      <c r="D95" t="s">
        <v>190</v>
      </c>
      <c r="E95">
        <v>1000000</v>
      </c>
      <c r="F95" t="s">
        <v>191</v>
      </c>
      <c r="G95">
        <v>12345</v>
      </c>
      <c r="H95" t="s">
        <v>216</v>
      </c>
      <c r="I95">
        <v>1</v>
      </c>
      <c r="J95" t="s">
        <v>192</v>
      </c>
      <c r="K95">
        <v>1E-3</v>
      </c>
      <c r="L95" t="s">
        <v>3</v>
      </c>
      <c r="M95">
        <v>0.99929840000000003</v>
      </c>
      <c r="N95" t="s">
        <v>2</v>
      </c>
      <c r="O95">
        <v>6.8151500000000004E-2</v>
      </c>
      <c r="P95" t="s">
        <v>17</v>
      </c>
      <c r="Q95">
        <v>67</v>
      </c>
      <c r="R95" t="s">
        <v>0</v>
      </c>
      <c r="S95">
        <v>1201</v>
      </c>
      <c r="T95" t="s">
        <v>152</v>
      </c>
      <c r="U95">
        <v>4</v>
      </c>
      <c r="V95" t="s">
        <v>153</v>
      </c>
      <c r="W95">
        <v>49</v>
      </c>
      <c r="X95" t="s">
        <v>151</v>
      </c>
      <c r="Y95">
        <v>115241</v>
      </c>
      <c r="Z95" t="s">
        <v>1</v>
      </c>
      <c r="AA95" t="e" cm="1">
        <f t="array" aca="1" ref="AA95" ca="1">-0.0236983034234+((1.2694139597062*v0)*pow((V1+(-0.45*pow(V1,-1))),-1))+((0.1852848656806*v0)*SIN((-1.5707963267949+(V1*V2))))+((0.0009630090243*v0)*EXP((1.4137166941154*V1)))+(((1.990320899327*v0)*pow(V1,-2))*SIN((-1.5707963267949+(V1*V2))))+((((0.0014123072143*v0)*V1)*EXP(V1))*SIN((-1.5707963267949+(V1*V2))))</f>
        <v>#NAME?</v>
      </c>
      <c r="AB95" t="s">
        <v>4</v>
      </c>
      <c r="AC95">
        <v>0.99929590000000001</v>
      </c>
      <c r="AD95" t="s">
        <v>5</v>
      </c>
      <c r="AE95">
        <v>6.8566600000000005E-2</v>
      </c>
    </row>
    <row r="96" spans="1:31" x14ac:dyDescent="0.25">
      <c r="A96" t="s">
        <v>132</v>
      </c>
      <c r="B96" t="s">
        <v>189</v>
      </c>
      <c r="C96">
        <v>1200</v>
      </c>
      <c r="D96" t="s">
        <v>190</v>
      </c>
      <c r="E96">
        <v>1000000</v>
      </c>
      <c r="F96" t="s">
        <v>191</v>
      </c>
      <c r="G96">
        <v>12345</v>
      </c>
      <c r="H96" t="s">
        <v>216</v>
      </c>
      <c r="I96">
        <v>1</v>
      </c>
      <c r="J96" t="s">
        <v>192</v>
      </c>
      <c r="K96">
        <v>1E-3</v>
      </c>
      <c r="L96" t="s">
        <v>3</v>
      </c>
      <c r="M96">
        <v>0.95518840000000005</v>
      </c>
      <c r="N96" t="s">
        <v>2</v>
      </c>
      <c r="O96">
        <v>3.2540999999999998E-3</v>
      </c>
      <c r="P96" t="s">
        <v>17</v>
      </c>
      <c r="Q96">
        <v>33</v>
      </c>
      <c r="R96" t="s">
        <v>0</v>
      </c>
      <c r="S96">
        <v>1200.9000000000001</v>
      </c>
      <c r="T96" t="s">
        <v>152</v>
      </c>
      <c r="U96">
        <v>9</v>
      </c>
      <c r="V96" t="s">
        <v>153</v>
      </c>
      <c r="W96">
        <v>76</v>
      </c>
      <c r="X96" t="s">
        <v>151</v>
      </c>
      <c r="Y96">
        <v>147132</v>
      </c>
      <c r="Z96" t="s">
        <v>1</v>
      </c>
      <c r="AA96" t="s">
        <v>297</v>
      </c>
      <c r="AB96" t="s">
        <v>4</v>
      </c>
      <c r="AC96">
        <v>0.95437119999999998</v>
      </c>
      <c r="AD96" t="s">
        <v>5</v>
      </c>
      <c r="AE96">
        <v>3.2594999999999998E-3</v>
      </c>
    </row>
    <row r="97" spans="1:31" x14ac:dyDescent="0.25">
      <c r="A97" t="s">
        <v>115</v>
      </c>
      <c r="B97" t="s">
        <v>189</v>
      </c>
      <c r="C97">
        <v>1200</v>
      </c>
      <c r="D97" t="s">
        <v>190</v>
      </c>
      <c r="E97">
        <v>1000000</v>
      </c>
      <c r="F97" t="s">
        <v>191</v>
      </c>
      <c r="G97">
        <v>12345</v>
      </c>
      <c r="H97" t="s">
        <v>216</v>
      </c>
      <c r="I97">
        <v>1</v>
      </c>
      <c r="J97" t="s">
        <v>192</v>
      </c>
      <c r="K97">
        <v>1E-3</v>
      </c>
      <c r="L97" t="s">
        <v>3</v>
      </c>
      <c r="M97">
        <v>0.91569250000000002</v>
      </c>
      <c r="N97" t="s">
        <v>2</v>
      </c>
      <c r="O97">
        <v>8.6894999999999993E-3</v>
      </c>
      <c r="P97" t="s">
        <v>17</v>
      </c>
      <c r="Q97">
        <v>37</v>
      </c>
      <c r="R97" t="s">
        <v>0</v>
      </c>
      <c r="S97">
        <v>1200.4000000000001</v>
      </c>
      <c r="T97" t="s">
        <v>152</v>
      </c>
      <c r="U97">
        <v>7</v>
      </c>
      <c r="V97" t="s">
        <v>153</v>
      </c>
      <c r="W97">
        <v>63</v>
      </c>
      <c r="X97" t="s">
        <v>151</v>
      </c>
      <c r="Y97">
        <v>130459</v>
      </c>
      <c r="Z97" t="s">
        <v>1</v>
      </c>
      <c r="AA97" t="e" cm="1">
        <f t="array" aca="1" ref="AA97" ca="1">-0.1065917487983+(0.0657433486122*V2)+((0.0595260895791*COS(V2))*EXP((0.5*pow(V3,-1))))+(((((0.2020384365793*V1)*pow(v0,-1))*pow(V2,-1))*pow(V3,-2.4))*COS(V2))</f>
        <v>#VALUE!</v>
      </c>
      <c r="AB97" t="s">
        <v>4</v>
      </c>
      <c r="AC97">
        <v>0.91716399999999998</v>
      </c>
      <c r="AD97" t="s">
        <v>5</v>
      </c>
      <c r="AE97">
        <v>8.4966E-3</v>
      </c>
    </row>
    <row r="98" spans="1:31" x14ac:dyDescent="0.25">
      <c r="A98" t="s">
        <v>91</v>
      </c>
      <c r="B98" t="s">
        <v>189</v>
      </c>
      <c r="C98">
        <v>1200</v>
      </c>
      <c r="D98" t="s">
        <v>190</v>
      </c>
      <c r="E98">
        <v>1000000</v>
      </c>
      <c r="F98" t="s">
        <v>191</v>
      </c>
      <c r="G98">
        <v>12345</v>
      </c>
      <c r="H98" t="s">
        <v>216</v>
      </c>
      <c r="I98">
        <v>1</v>
      </c>
      <c r="J98" t="s">
        <v>192</v>
      </c>
      <c r="K98">
        <v>1E-3</v>
      </c>
      <c r="L98" t="s">
        <v>3</v>
      </c>
      <c r="M98">
        <v>0.98813580000000001</v>
      </c>
      <c r="N98" t="s">
        <v>2</v>
      </c>
      <c r="O98">
        <v>0.1130864</v>
      </c>
      <c r="P98" t="s">
        <v>17</v>
      </c>
      <c r="Q98">
        <v>57</v>
      </c>
      <c r="R98" t="s">
        <v>0</v>
      </c>
      <c r="S98">
        <v>1201</v>
      </c>
      <c r="T98" t="s">
        <v>152</v>
      </c>
      <c r="U98">
        <v>7</v>
      </c>
      <c r="V98" t="s">
        <v>153</v>
      </c>
      <c r="W98">
        <v>41</v>
      </c>
      <c r="X98" t="s">
        <v>151</v>
      </c>
      <c r="Y98">
        <v>116173</v>
      </c>
      <c r="Z98" t="s">
        <v>1</v>
      </c>
      <c r="AA98" t="s">
        <v>298</v>
      </c>
      <c r="AB98" t="s">
        <v>4</v>
      </c>
      <c r="AC98">
        <v>0.98802160000000006</v>
      </c>
      <c r="AD98" t="s">
        <v>5</v>
      </c>
      <c r="AE98">
        <v>0.11328340000000001</v>
      </c>
    </row>
    <row r="99" spans="1:31" x14ac:dyDescent="0.25">
      <c r="A99" t="s">
        <v>101</v>
      </c>
      <c r="B99" t="s">
        <v>189</v>
      </c>
      <c r="C99">
        <v>1200</v>
      </c>
      <c r="D99" t="s">
        <v>190</v>
      </c>
      <c r="E99">
        <v>1000000</v>
      </c>
      <c r="F99" t="s">
        <v>191</v>
      </c>
      <c r="G99">
        <v>12345</v>
      </c>
      <c r="H99" t="s">
        <v>216</v>
      </c>
      <c r="I99">
        <v>1</v>
      </c>
      <c r="J99" t="s">
        <v>192</v>
      </c>
      <c r="K99">
        <v>1E-3</v>
      </c>
      <c r="L99" t="s">
        <v>3</v>
      </c>
      <c r="M99">
        <v>1</v>
      </c>
      <c r="N99" t="s">
        <v>2</v>
      </c>
      <c r="O99">
        <v>0</v>
      </c>
      <c r="P99" t="s">
        <v>17</v>
      </c>
      <c r="Q99">
        <v>12</v>
      </c>
      <c r="R99" t="s">
        <v>0</v>
      </c>
      <c r="S99">
        <v>15.7</v>
      </c>
      <c r="T99" t="s">
        <v>152</v>
      </c>
      <c r="U99">
        <v>1</v>
      </c>
      <c r="V99" t="s">
        <v>153</v>
      </c>
      <c r="W99">
        <v>4</v>
      </c>
      <c r="X99" t="s">
        <v>151</v>
      </c>
      <c r="Y99">
        <v>2574</v>
      </c>
      <c r="Z99" t="s">
        <v>1</v>
      </c>
      <c r="AA99" t="s">
        <v>203</v>
      </c>
      <c r="AB99" t="s">
        <v>4</v>
      </c>
      <c r="AC99">
        <v>1</v>
      </c>
      <c r="AD99" t="s">
        <v>5</v>
      </c>
      <c r="AE99">
        <v>0</v>
      </c>
    </row>
    <row r="100" spans="1:31" x14ac:dyDescent="0.25">
      <c r="A100" t="s">
        <v>47</v>
      </c>
      <c r="B100" t="s">
        <v>189</v>
      </c>
      <c r="C100">
        <v>1200</v>
      </c>
      <c r="D100" t="s">
        <v>190</v>
      </c>
      <c r="E100">
        <v>1000000</v>
      </c>
      <c r="F100" t="s">
        <v>191</v>
      </c>
      <c r="G100">
        <v>12345</v>
      </c>
      <c r="H100" t="s">
        <v>216</v>
      </c>
      <c r="I100">
        <v>1</v>
      </c>
      <c r="J100" t="s">
        <v>192</v>
      </c>
      <c r="K100">
        <v>1E-3</v>
      </c>
      <c r="L100" t="s">
        <v>3</v>
      </c>
      <c r="M100">
        <v>0.99625810000000004</v>
      </c>
      <c r="N100" t="s">
        <v>2</v>
      </c>
      <c r="O100">
        <v>3.0612299999999999E-2</v>
      </c>
      <c r="P100" t="s">
        <v>17</v>
      </c>
      <c r="Q100">
        <v>8</v>
      </c>
      <c r="R100" t="s">
        <v>0</v>
      </c>
      <c r="S100">
        <v>1200.9000000000001</v>
      </c>
      <c r="T100" t="s">
        <v>152</v>
      </c>
      <c r="U100">
        <v>44</v>
      </c>
      <c r="V100" t="s">
        <v>153</v>
      </c>
      <c r="W100">
        <v>115</v>
      </c>
      <c r="X100" t="s">
        <v>151</v>
      </c>
      <c r="Y100">
        <v>69371</v>
      </c>
      <c r="Z100" t="s">
        <v>1</v>
      </c>
      <c r="AA100" t="s">
        <v>198</v>
      </c>
      <c r="AB100" t="s">
        <v>4</v>
      </c>
      <c r="AC100">
        <v>0.99635030000000002</v>
      </c>
      <c r="AD100" t="s">
        <v>5</v>
      </c>
      <c r="AE100">
        <v>3.0258899999999998E-2</v>
      </c>
    </row>
    <row r="101" spans="1:31" x14ac:dyDescent="0.25">
      <c r="A101" t="s">
        <v>88</v>
      </c>
      <c r="B101" t="s">
        <v>189</v>
      </c>
      <c r="C101">
        <v>1200</v>
      </c>
      <c r="D101" t="s">
        <v>190</v>
      </c>
      <c r="E101">
        <v>1000000</v>
      </c>
      <c r="F101" t="s">
        <v>191</v>
      </c>
      <c r="G101">
        <v>12345</v>
      </c>
      <c r="H101" t="s">
        <v>216</v>
      </c>
      <c r="I101">
        <v>1</v>
      </c>
      <c r="J101" t="s">
        <v>192</v>
      </c>
      <c r="K101">
        <v>1E-3</v>
      </c>
      <c r="L101" t="s">
        <v>3</v>
      </c>
      <c r="M101">
        <v>0.97077650000000004</v>
      </c>
      <c r="N101" t="s">
        <v>2</v>
      </c>
      <c r="O101">
        <v>0.32835930000000002</v>
      </c>
      <c r="P101" t="s">
        <v>17</v>
      </c>
      <c r="Q101">
        <v>56</v>
      </c>
      <c r="R101" t="s">
        <v>0</v>
      </c>
      <c r="S101">
        <v>1201.9000000000001</v>
      </c>
      <c r="T101" t="s">
        <v>152</v>
      </c>
      <c r="U101">
        <v>19</v>
      </c>
      <c r="V101" t="s">
        <v>153</v>
      </c>
      <c r="W101">
        <v>73</v>
      </c>
      <c r="X101" t="s">
        <v>151</v>
      </c>
      <c r="Y101">
        <v>100881</v>
      </c>
      <c r="Z101" t="s">
        <v>1</v>
      </c>
      <c r="AA101" t="e" cm="1">
        <f t="array" aca="1" ref="AA101" ca="1">-9.2746814247196+(8.5813356649783*pow((((((1+(0.4151876232832*V1))+(-0.3183098861838*v0))+((0.737770967337*pow(v0,2))*pow((v0+V1),-1)))+((-0.4042705201678*v0)*COS((V2+(-1*V3)))))+(((0.0962639322609*pow(v0,2))*pow(V1,-1))*COS((V2+(-1*V3))))),0.5))</f>
        <v>#NAME?</v>
      </c>
      <c r="AB101" t="s">
        <v>4</v>
      </c>
      <c r="AC101">
        <v>0.9710799</v>
      </c>
      <c r="AD101" t="s">
        <v>5</v>
      </c>
      <c r="AE101">
        <v>0.32535770000000003</v>
      </c>
    </row>
    <row r="102" spans="1:31" x14ac:dyDescent="0.25">
      <c r="A102" t="s">
        <v>74</v>
      </c>
      <c r="B102" t="s">
        <v>189</v>
      </c>
      <c r="C102">
        <v>1200</v>
      </c>
      <c r="D102" t="s">
        <v>190</v>
      </c>
      <c r="E102">
        <v>1000000</v>
      </c>
      <c r="F102" t="s">
        <v>191</v>
      </c>
      <c r="G102">
        <v>12345</v>
      </c>
      <c r="H102" t="s">
        <v>216</v>
      </c>
      <c r="I102">
        <v>1</v>
      </c>
      <c r="J102" t="s">
        <v>192</v>
      </c>
      <c r="K102">
        <v>1E-3</v>
      </c>
      <c r="L102" t="s">
        <v>3</v>
      </c>
      <c r="M102">
        <v>0.47607500000000003</v>
      </c>
      <c r="N102" t="s">
        <v>2</v>
      </c>
      <c r="O102">
        <v>0.25547619999999999</v>
      </c>
      <c r="P102" t="s">
        <v>17</v>
      </c>
      <c r="Q102">
        <v>43</v>
      </c>
      <c r="R102" t="s">
        <v>0</v>
      </c>
      <c r="S102">
        <v>1200.8</v>
      </c>
      <c r="T102" t="s">
        <v>152</v>
      </c>
      <c r="U102">
        <v>16</v>
      </c>
      <c r="V102" t="s">
        <v>153</v>
      </c>
      <c r="W102">
        <v>78</v>
      </c>
      <c r="X102" t="s">
        <v>151</v>
      </c>
      <c r="Y102">
        <v>126492</v>
      </c>
      <c r="Z102" t="s">
        <v>1</v>
      </c>
      <c r="AA102" t="s">
        <v>299</v>
      </c>
      <c r="AB102" t="s">
        <v>4</v>
      </c>
      <c r="AC102">
        <v>0.4754699</v>
      </c>
      <c r="AD102" t="s">
        <v>5</v>
      </c>
      <c r="AE102">
        <v>0.25704700000000003</v>
      </c>
    </row>
    <row r="103" spans="1:31" x14ac:dyDescent="0.25">
      <c r="A103" t="s">
        <v>84</v>
      </c>
      <c r="B103" t="s">
        <v>189</v>
      </c>
      <c r="C103">
        <v>1200</v>
      </c>
      <c r="D103" t="s">
        <v>190</v>
      </c>
      <c r="E103">
        <v>1000000</v>
      </c>
      <c r="F103" t="s">
        <v>191</v>
      </c>
      <c r="G103">
        <v>12345</v>
      </c>
      <c r="H103" t="s">
        <v>216</v>
      </c>
      <c r="I103">
        <v>1</v>
      </c>
      <c r="J103" t="s">
        <v>192</v>
      </c>
      <c r="K103">
        <v>1E-3</v>
      </c>
      <c r="L103" t="s">
        <v>3</v>
      </c>
      <c r="M103">
        <v>1</v>
      </c>
      <c r="N103" t="s">
        <v>2</v>
      </c>
      <c r="O103">
        <v>0</v>
      </c>
      <c r="P103" t="s">
        <v>17</v>
      </c>
      <c r="Q103">
        <v>14</v>
      </c>
      <c r="R103" t="s">
        <v>0</v>
      </c>
      <c r="S103">
        <v>20.9</v>
      </c>
      <c r="T103" t="s">
        <v>152</v>
      </c>
      <c r="U103">
        <v>1</v>
      </c>
      <c r="V103" t="s">
        <v>153</v>
      </c>
      <c r="W103">
        <v>5</v>
      </c>
      <c r="X103" t="s">
        <v>151</v>
      </c>
      <c r="Y103">
        <v>3559</v>
      </c>
      <c r="Z103" t="s">
        <v>1</v>
      </c>
      <c r="AA103" t="s">
        <v>166</v>
      </c>
      <c r="AB103" t="s">
        <v>4</v>
      </c>
      <c r="AC103">
        <v>1</v>
      </c>
      <c r="AD103" t="s">
        <v>5</v>
      </c>
      <c r="AE103">
        <v>0</v>
      </c>
    </row>
    <row r="104" spans="1:31" x14ac:dyDescent="0.25">
      <c r="A104" t="s">
        <v>142</v>
      </c>
      <c r="B104" t="s">
        <v>189</v>
      </c>
      <c r="C104">
        <v>1200</v>
      </c>
      <c r="D104" t="s">
        <v>190</v>
      </c>
      <c r="E104">
        <v>1000000</v>
      </c>
      <c r="F104" t="s">
        <v>191</v>
      </c>
      <c r="G104">
        <v>12345</v>
      </c>
      <c r="H104" t="s">
        <v>216</v>
      </c>
      <c r="I104">
        <v>1</v>
      </c>
      <c r="J104" t="s">
        <v>192</v>
      </c>
      <c r="K104">
        <v>1E-3</v>
      </c>
      <c r="L104" t="s">
        <v>3</v>
      </c>
      <c r="M104">
        <v>0.99926400000000004</v>
      </c>
      <c r="N104" t="s">
        <v>2</v>
      </c>
      <c r="O104">
        <v>1.01137E-2</v>
      </c>
      <c r="P104" t="s">
        <v>17</v>
      </c>
      <c r="Q104">
        <v>32</v>
      </c>
      <c r="R104" t="s">
        <v>0</v>
      </c>
      <c r="S104">
        <v>1201.5</v>
      </c>
      <c r="T104" t="s">
        <v>152</v>
      </c>
      <c r="U104">
        <v>7</v>
      </c>
      <c r="V104" t="s">
        <v>153</v>
      </c>
      <c r="W104">
        <v>61</v>
      </c>
      <c r="X104" t="s">
        <v>151</v>
      </c>
      <c r="Y104">
        <v>141162</v>
      </c>
      <c r="Z104" t="s">
        <v>1</v>
      </c>
      <c r="AA104" t="s">
        <v>300</v>
      </c>
      <c r="AB104" t="s">
        <v>4</v>
      </c>
      <c r="AC104">
        <v>0.99928510000000004</v>
      </c>
      <c r="AD104" t="s">
        <v>5</v>
      </c>
      <c r="AE104">
        <v>1.01686E-2</v>
      </c>
    </row>
    <row r="105" spans="1:31" x14ac:dyDescent="0.25">
      <c r="A105" t="s">
        <v>111</v>
      </c>
      <c r="B105" t="s">
        <v>189</v>
      </c>
      <c r="C105">
        <v>1200</v>
      </c>
      <c r="D105" t="s">
        <v>190</v>
      </c>
      <c r="E105">
        <v>1000000</v>
      </c>
      <c r="F105" t="s">
        <v>191</v>
      </c>
      <c r="G105">
        <v>12345</v>
      </c>
      <c r="H105" t="s">
        <v>216</v>
      </c>
      <c r="I105">
        <v>1</v>
      </c>
      <c r="J105" t="s">
        <v>192</v>
      </c>
      <c r="K105">
        <v>1E-3</v>
      </c>
      <c r="L105" t="s">
        <v>3</v>
      </c>
      <c r="M105">
        <v>1</v>
      </c>
      <c r="N105" t="s">
        <v>2</v>
      </c>
      <c r="O105">
        <v>0</v>
      </c>
      <c r="P105" t="s">
        <v>17</v>
      </c>
      <c r="Q105">
        <v>11</v>
      </c>
      <c r="R105" t="s">
        <v>0</v>
      </c>
      <c r="S105">
        <v>889.6</v>
      </c>
      <c r="T105" t="s">
        <v>152</v>
      </c>
      <c r="U105">
        <v>1</v>
      </c>
      <c r="V105" t="s">
        <v>153</v>
      </c>
      <c r="W105">
        <v>24</v>
      </c>
      <c r="X105" t="s">
        <v>151</v>
      </c>
      <c r="Y105">
        <v>71682</v>
      </c>
      <c r="Z105" t="s">
        <v>1</v>
      </c>
      <c r="AA105" t="s">
        <v>212</v>
      </c>
      <c r="AB105" t="s">
        <v>4</v>
      </c>
      <c r="AC105">
        <v>1</v>
      </c>
      <c r="AD105" t="s">
        <v>5</v>
      </c>
      <c r="AE105">
        <v>0</v>
      </c>
    </row>
    <row r="106" spans="1:31" x14ac:dyDescent="0.25">
      <c r="A106" t="s">
        <v>125</v>
      </c>
      <c r="B106" t="s">
        <v>189</v>
      </c>
      <c r="C106">
        <v>1200</v>
      </c>
      <c r="D106" t="s">
        <v>190</v>
      </c>
      <c r="E106">
        <v>1000000</v>
      </c>
      <c r="F106" t="s">
        <v>191</v>
      </c>
      <c r="G106">
        <v>12345</v>
      </c>
      <c r="H106" t="s">
        <v>216</v>
      </c>
      <c r="I106">
        <v>1</v>
      </c>
      <c r="J106" t="s">
        <v>192</v>
      </c>
      <c r="K106">
        <v>1E-3</v>
      </c>
      <c r="L106" t="s">
        <v>3</v>
      </c>
      <c r="M106">
        <v>0.99974510000000005</v>
      </c>
      <c r="N106" t="s">
        <v>2</v>
      </c>
      <c r="O106">
        <v>4.8088899999999997E-2</v>
      </c>
      <c r="P106" t="s">
        <v>17</v>
      </c>
      <c r="Q106">
        <v>46</v>
      </c>
      <c r="R106" t="s">
        <v>0</v>
      </c>
      <c r="S106">
        <v>1201.3</v>
      </c>
      <c r="T106" t="s">
        <v>152</v>
      </c>
      <c r="U106">
        <v>6</v>
      </c>
      <c r="V106" t="s">
        <v>153</v>
      </c>
      <c r="W106">
        <v>81</v>
      </c>
      <c r="X106" t="s">
        <v>151</v>
      </c>
      <c r="Y106">
        <v>157645</v>
      </c>
      <c r="Z106" t="s">
        <v>1</v>
      </c>
      <c r="AA106" t="s">
        <v>301</v>
      </c>
      <c r="AB106" t="s">
        <v>4</v>
      </c>
      <c r="AC106">
        <v>0.99975970000000003</v>
      </c>
      <c r="AD106" t="s">
        <v>5</v>
      </c>
      <c r="AE106">
        <v>4.5172700000000003E-2</v>
      </c>
    </row>
    <row r="107" spans="1:31" x14ac:dyDescent="0.25">
      <c r="A107" t="s">
        <v>135</v>
      </c>
      <c r="B107" t="s">
        <v>189</v>
      </c>
      <c r="C107">
        <v>1200</v>
      </c>
      <c r="D107" t="s">
        <v>190</v>
      </c>
      <c r="E107">
        <v>1000000</v>
      </c>
      <c r="F107" t="s">
        <v>191</v>
      </c>
      <c r="G107">
        <v>12345</v>
      </c>
      <c r="H107" t="s">
        <v>216</v>
      </c>
      <c r="I107">
        <v>1</v>
      </c>
      <c r="J107" t="s">
        <v>192</v>
      </c>
      <c r="K107">
        <v>1E-3</v>
      </c>
      <c r="L107" t="s">
        <v>3</v>
      </c>
      <c r="M107">
        <v>1</v>
      </c>
      <c r="N107" t="s">
        <v>2</v>
      </c>
      <c r="O107">
        <v>0</v>
      </c>
      <c r="P107" t="s">
        <v>17</v>
      </c>
      <c r="Q107">
        <v>20</v>
      </c>
      <c r="R107" t="s">
        <v>0</v>
      </c>
      <c r="S107">
        <v>202</v>
      </c>
      <c r="T107" t="s">
        <v>152</v>
      </c>
      <c r="U107">
        <v>2</v>
      </c>
      <c r="V107" t="s">
        <v>153</v>
      </c>
      <c r="W107">
        <v>16</v>
      </c>
      <c r="X107" t="s">
        <v>151</v>
      </c>
      <c r="Y107">
        <v>26923</v>
      </c>
      <c r="Z107" t="s">
        <v>1</v>
      </c>
      <c r="AA107" t="s">
        <v>302</v>
      </c>
      <c r="AB107" t="s">
        <v>4</v>
      </c>
      <c r="AC107">
        <v>1</v>
      </c>
      <c r="AD107" t="s">
        <v>5</v>
      </c>
      <c r="AE107">
        <v>0</v>
      </c>
    </row>
    <row r="108" spans="1:31" x14ac:dyDescent="0.25">
      <c r="A108" t="s">
        <v>57</v>
      </c>
      <c r="B108" t="s">
        <v>189</v>
      </c>
      <c r="C108">
        <v>1200</v>
      </c>
      <c r="D108" t="s">
        <v>190</v>
      </c>
      <c r="E108">
        <v>1000000</v>
      </c>
      <c r="F108" t="s">
        <v>191</v>
      </c>
      <c r="G108">
        <v>12345</v>
      </c>
      <c r="H108" t="s">
        <v>216</v>
      </c>
      <c r="I108">
        <v>1</v>
      </c>
      <c r="J108" t="s">
        <v>192</v>
      </c>
      <c r="K108">
        <v>1E-3</v>
      </c>
      <c r="L108" t="s">
        <v>3</v>
      </c>
      <c r="M108">
        <v>0.99999760000000004</v>
      </c>
      <c r="N108" t="s">
        <v>2</v>
      </c>
      <c r="O108">
        <v>1.8916E-3</v>
      </c>
      <c r="P108" t="s">
        <v>17</v>
      </c>
      <c r="Q108">
        <v>17</v>
      </c>
      <c r="R108" t="s">
        <v>0</v>
      </c>
      <c r="S108">
        <v>1202.5999999999999</v>
      </c>
      <c r="T108" t="s">
        <v>152</v>
      </c>
      <c r="U108">
        <v>26</v>
      </c>
      <c r="V108" t="s">
        <v>153</v>
      </c>
      <c r="W108">
        <v>75</v>
      </c>
      <c r="X108" t="s">
        <v>151</v>
      </c>
      <c r="Y108">
        <v>95188</v>
      </c>
      <c r="Z108" t="s">
        <v>1</v>
      </c>
      <c r="AA108" t="s">
        <v>303</v>
      </c>
      <c r="AB108" t="s">
        <v>4</v>
      </c>
      <c r="AC108">
        <v>0.99999760000000004</v>
      </c>
      <c r="AD108" t="s">
        <v>5</v>
      </c>
      <c r="AE108">
        <v>1.864E-3</v>
      </c>
    </row>
    <row r="109" spans="1:31" x14ac:dyDescent="0.25">
      <c r="A109" t="s">
        <v>145</v>
      </c>
      <c r="B109" t="s">
        <v>189</v>
      </c>
      <c r="C109">
        <v>1200</v>
      </c>
      <c r="D109" t="s">
        <v>190</v>
      </c>
      <c r="E109">
        <v>1000000</v>
      </c>
      <c r="F109" t="s">
        <v>191</v>
      </c>
      <c r="G109">
        <v>12345</v>
      </c>
      <c r="H109" t="s">
        <v>216</v>
      </c>
      <c r="I109">
        <v>1</v>
      </c>
      <c r="J109" t="s">
        <v>192</v>
      </c>
      <c r="K109">
        <v>1E-3</v>
      </c>
      <c r="L109" t="s">
        <v>3</v>
      </c>
      <c r="M109">
        <v>1</v>
      </c>
      <c r="N109" t="s">
        <v>2</v>
      </c>
      <c r="O109">
        <v>0</v>
      </c>
      <c r="P109" t="s">
        <v>17</v>
      </c>
      <c r="Q109">
        <v>40</v>
      </c>
      <c r="R109" t="s">
        <v>0</v>
      </c>
      <c r="S109">
        <v>193.3</v>
      </c>
      <c r="T109" t="s">
        <v>152</v>
      </c>
      <c r="U109">
        <v>1</v>
      </c>
      <c r="V109" t="s">
        <v>153</v>
      </c>
      <c r="W109">
        <v>13</v>
      </c>
      <c r="X109" t="s">
        <v>151</v>
      </c>
      <c r="Y109">
        <v>23220</v>
      </c>
      <c r="Z109" t="s">
        <v>1</v>
      </c>
      <c r="AA109" t="s">
        <v>264</v>
      </c>
      <c r="AB109" t="s">
        <v>4</v>
      </c>
      <c r="AC109">
        <v>1</v>
      </c>
      <c r="AD109" t="s">
        <v>5</v>
      </c>
      <c r="AE109">
        <v>0</v>
      </c>
    </row>
    <row r="110" spans="1:31" x14ac:dyDescent="0.25">
      <c r="A110" t="s">
        <v>98</v>
      </c>
      <c r="B110" t="s">
        <v>189</v>
      </c>
      <c r="C110">
        <v>1200</v>
      </c>
      <c r="D110" t="s">
        <v>190</v>
      </c>
      <c r="E110">
        <v>1000000</v>
      </c>
      <c r="F110" t="s">
        <v>191</v>
      </c>
      <c r="G110">
        <v>12345</v>
      </c>
      <c r="H110" t="s">
        <v>216</v>
      </c>
      <c r="I110">
        <v>1</v>
      </c>
      <c r="J110" t="s">
        <v>192</v>
      </c>
      <c r="K110">
        <v>1E-3</v>
      </c>
      <c r="L110" t="s">
        <v>3</v>
      </c>
      <c r="M110">
        <v>0.99999689999999997</v>
      </c>
      <c r="N110" t="s">
        <v>2</v>
      </c>
      <c r="O110">
        <v>1.6266699999999999E-2</v>
      </c>
      <c r="P110" t="s">
        <v>17</v>
      </c>
      <c r="Q110">
        <v>16</v>
      </c>
      <c r="R110" t="s">
        <v>0</v>
      </c>
      <c r="S110">
        <v>1201.9000000000001</v>
      </c>
      <c r="T110" t="s">
        <v>152</v>
      </c>
      <c r="U110">
        <v>19</v>
      </c>
      <c r="V110" t="s">
        <v>153</v>
      </c>
      <c r="W110">
        <v>94</v>
      </c>
      <c r="X110" t="s">
        <v>151</v>
      </c>
      <c r="Y110">
        <v>123808</v>
      </c>
      <c r="Z110" t="s">
        <v>1</v>
      </c>
      <c r="AA110" t="e" cm="1">
        <f t="array" aca="1" ref="AA110" ca="1">-0.4697848492733+((((6.2754963665281*V2)*V3)*pow(v0,-1))*pow(V1,-1))</f>
        <v>#VALUE!</v>
      </c>
      <c r="AB110" t="s">
        <v>4</v>
      </c>
      <c r="AC110">
        <v>0.99999709999999997</v>
      </c>
      <c r="AD110" t="s">
        <v>5</v>
      </c>
      <c r="AE110">
        <v>1.6003900000000001E-2</v>
      </c>
    </row>
    <row r="111" spans="1:31" x14ac:dyDescent="0.25">
      <c r="A111" t="s">
        <v>67</v>
      </c>
      <c r="B111" t="s">
        <v>189</v>
      </c>
      <c r="C111">
        <v>1200</v>
      </c>
      <c r="D111" t="s">
        <v>190</v>
      </c>
      <c r="E111">
        <v>1000000</v>
      </c>
      <c r="F111" t="s">
        <v>191</v>
      </c>
      <c r="G111">
        <v>12345</v>
      </c>
      <c r="H111" t="s">
        <v>216</v>
      </c>
      <c r="I111">
        <v>1</v>
      </c>
      <c r="J111" t="s">
        <v>192</v>
      </c>
      <c r="K111">
        <v>1E-3</v>
      </c>
      <c r="L111" t="s">
        <v>3</v>
      </c>
      <c r="M111">
        <v>1</v>
      </c>
      <c r="N111" t="s">
        <v>2</v>
      </c>
      <c r="O111">
        <v>0</v>
      </c>
      <c r="P111" t="s">
        <v>17</v>
      </c>
      <c r="Q111">
        <v>17</v>
      </c>
      <c r="R111" t="s">
        <v>0</v>
      </c>
      <c r="S111">
        <v>512</v>
      </c>
      <c r="T111" t="s">
        <v>152</v>
      </c>
      <c r="U111">
        <v>3</v>
      </c>
      <c r="V111" t="s">
        <v>153</v>
      </c>
      <c r="W111">
        <v>35</v>
      </c>
      <c r="X111" t="s">
        <v>151</v>
      </c>
      <c r="Y111">
        <v>59291</v>
      </c>
      <c r="Z111" t="s">
        <v>1</v>
      </c>
      <c r="AA111" t="s">
        <v>304</v>
      </c>
      <c r="AB111" t="s">
        <v>4</v>
      </c>
      <c r="AC111">
        <v>1</v>
      </c>
      <c r="AD111" t="s">
        <v>5</v>
      </c>
      <c r="AE111">
        <v>0</v>
      </c>
    </row>
    <row r="112" spans="1:31" x14ac:dyDescent="0.25">
      <c r="A112" t="s">
        <v>77</v>
      </c>
      <c r="B112" t="s">
        <v>189</v>
      </c>
      <c r="C112">
        <v>1200</v>
      </c>
      <c r="D112" t="s">
        <v>190</v>
      </c>
      <c r="E112">
        <v>1000000</v>
      </c>
      <c r="F112" t="s">
        <v>191</v>
      </c>
      <c r="G112">
        <v>12345</v>
      </c>
      <c r="H112" t="s">
        <v>216</v>
      </c>
      <c r="I112">
        <v>1</v>
      </c>
      <c r="J112" t="s">
        <v>192</v>
      </c>
      <c r="K112">
        <v>1E-3</v>
      </c>
      <c r="L112" t="s">
        <v>3</v>
      </c>
      <c r="M112">
        <v>1</v>
      </c>
      <c r="N112" t="s">
        <v>2</v>
      </c>
      <c r="O112">
        <v>0</v>
      </c>
      <c r="P112" t="s">
        <v>17</v>
      </c>
      <c r="Q112">
        <v>13</v>
      </c>
      <c r="R112" t="s">
        <v>0</v>
      </c>
      <c r="S112">
        <v>19</v>
      </c>
      <c r="T112" t="s">
        <v>152</v>
      </c>
      <c r="U112">
        <v>1</v>
      </c>
      <c r="V112" t="s">
        <v>153</v>
      </c>
      <c r="W112">
        <v>5</v>
      </c>
      <c r="X112" t="s">
        <v>151</v>
      </c>
      <c r="Y112">
        <v>3060</v>
      </c>
      <c r="Z112" t="s">
        <v>1</v>
      </c>
      <c r="AA112" t="s">
        <v>162</v>
      </c>
      <c r="AB112" t="s">
        <v>4</v>
      </c>
      <c r="AC112">
        <v>1</v>
      </c>
      <c r="AD112" t="s">
        <v>5</v>
      </c>
      <c r="AE112">
        <v>0</v>
      </c>
    </row>
    <row r="113" spans="1:31" x14ac:dyDescent="0.25">
      <c r="A113" t="s">
        <v>108</v>
      </c>
      <c r="B113" t="s">
        <v>189</v>
      </c>
      <c r="C113">
        <v>1200</v>
      </c>
      <c r="D113" t="s">
        <v>190</v>
      </c>
      <c r="E113">
        <v>1000000</v>
      </c>
      <c r="F113" t="s">
        <v>191</v>
      </c>
      <c r="G113">
        <v>12345</v>
      </c>
      <c r="H113" t="s">
        <v>216</v>
      </c>
      <c r="I113">
        <v>1</v>
      </c>
      <c r="J113" t="s">
        <v>192</v>
      </c>
      <c r="K113">
        <v>1E-3</v>
      </c>
      <c r="L113" t="s">
        <v>3</v>
      </c>
      <c r="M113">
        <v>1</v>
      </c>
      <c r="N113" t="s">
        <v>2</v>
      </c>
      <c r="O113">
        <v>0</v>
      </c>
      <c r="P113" t="s">
        <v>17</v>
      </c>
      <c r="Q113">
        <v>22</v>
      </c>
      <c r="R113" t="s">
        <v>0</v>
      </c>
      <c r="S113">
        <v>299.60000000000002</v>
      </c>
      <c r="T113" t="s">
        <v>152</v>
      </c>
      <c r="U113">
        <v>2</v>
      </c>
      <c r="V113" t="s">
        <v>153</v>
      </c>
      <c r="W113">
        <v>20</v>
      </c>
      <c r="X113" t="s">
        <v>151</v>
      </c>
      <c r="Y113">
        <v>37292</v>
      </c>
      <c r="Z113" t="s">
        <v>1</v>
      </c>
      <c r="AA113" t="s">
        <v>305</v>
      </c>
      <c r="AB113" t="s">
        <v>4</v>
      </c>
      <c r="AC113">
        <v>1</v>
      </c>
      <c r="AD113" t="s">
        <v>5</v>
      </c>
      <c r="AE113">
        <v>0</v>
      </c>
    </row>
    <row r="114" spans="1:31" x14ac:dyDescent="0.25">
      <c r="A114" t="s">
        <v>94</v>
      </c>
      <c r="B114" t="s">
        <v>189</v>
      </c>
      <c r="C114">
        <v>1200</v>
      </c>
      <c r="D114" t="s">
        <v>190</v>
      </c>
      <c r="E114">
        <v>1000000</v>
      </c>
      <c r="F114" t="s">
        <v>191</v>
      </c>
      <c r="G114">
        <v>12345</v>
      </c>
      <c r="H114" t="s">
        <v>216</v>
      </c>
      <c r="I114">
        <v>1</v>
      </c>
      <c r="J114" t="s">
        <v>192</v>
      </c>
      <c r="K114">
        <v>1E-3</v>
      </c>
      <c r="L114" t="s">
        <v>3</v>
      </c>
      <c r="M114">
        <v>0.99980420000000003</v>
      </c>
      <c r="N114" t="s">
        <v>2</v>
      </c>
      <c r="O114">
        <v>4.4626699999999998E-2</v>
      </c>
      <c r="P114" t="s">
        <v>17</v>
      </c>
      <c r="Q114">
        <v>38</v>
      </c>
      <c r="R114" t="s">
        <v>0</v>
      </c>
      <c r="S114">
        <v>1201.4000000000001</v>
      </c>
      <c r="T114" t="s">
        <v>152</v>
      </c>
      <c r="U114">
        <v>7</v>
      </c>
      <c r="V114" t="s">
        <v>153</v>
      </c>
      <c r="W114">
        <v>47</v>
      </c>
      <c r="X114" t="s">
        <v>151</v>
      </c>
      <c r="Y114">
        <v>113125</v>
      </c>
      <c r="Z114" t="s">
        <v>1</v>
      </c>
      <c r="AA114" t="e" cm="1">
        <f t="array" aca="1" ref="AA114" ca="1">-0.3030485648565+(0.2568987346496*v0)+((18.6603761622746*v0)*pow((((V2+V3)+(1*pow(v0,-0.5)))+(V1*pow(v0,-0.5))),-1.2))+((0.9250193370743*pow(v0,2))*pow(V1,-1))</f>
        <v>#NAME?</v>
      </c>
      <c r="AB114" t="s">
        <v>4</v>
      </c>
      <c r="AC114">
        <v>0.99980690000000005</v>
      </c>
      <c r="AD114" t="s">
        <v>5</v>
      </c>
      <c r="AE114">
        <v>4.4306499999999999E-2</v>
      </c>
    </row>
    <row r="115" spans="1:31" x14ac:dyDescent="0.25">
      <c r="A115" t="s">
        <v>121</v>
      </c>
      <c r="B115" t="s">
        <v>189</v>
      </c>
      <c r="C115">
        <v>1200</v>
      </c>
      <c r="D115" t="s">
        <v>190</v>
      </c>
      <c r="E115">
        <v>1000000</v>
      </c>
      <c r="F115" t="s">
        <v>191</v>
      </c>
      <c r="G115">
        <v>12345</v>
      </c>
      <c r="H115" t="s">
        <v>216</v>
      </c>
      <c r="I115">
        <v>1</v>
      </c>
      <c r="J115" t="s">
        <v>192</v>
      </c>
      <c r="K115">
        <v>1E-3</v>
      </c>
      <c r="L115" t="s">
        <v>3</v>
      </c>
      <c r="M115">
        <v>0.98782749999999997</v>
      </c>
      <c r="N115" t="s">
        <v>2</v>
      </c>
      <c r="O115">
        <v>0.55589869999999997</v>
      </c>
      <c r="P115" t="s">
        <v>17</v>
      </c>
      <c r="Q115">
        <v>42</v>
      </c>
      <c r="R115" t="s">
        <v>0</v>
      </c>
      <c r="S115">
        <v>1201.5</v>
      </c>
      <c r="T115" t="s">
        <v>152</v>
      </c>
      <c r="U115">
        <v>9</v>
      </c>
      <c r="V115" t="s">
        <v>153</v>
      </c>
      <c r="W115">
        <v>43</v>
      </c>
      <c r="X115" t="s">
        <v>151</v>
      </c>
      <c r="Y115">
        <v>121572</v>
      </c>
      <c r="Z115" t="s">
        <v>1</v>
      </c>
      <c r="AA115" t="s">
        <v>306</v>
      </c>
      <c r="AB115" t="s">
        <v>4</v>
      </c>
      <c r="AC115">
        <v>0.9882763</v>
      </c>
      <c r="AD115" t="s">
        <v>5</v>
      </c>
      <c r="AE115">
        <v>0.545431</v>
      </c>
    </row>
    <row r="116" spans="1:31" x14ac:dyDescent="0.25">
      <c r="A116" t="s">
        <v>104</v>
      </c>
      <c r="B116" t="s">
        <v>189</v>
      </c>
      <c r="C116">
        <v>1200</v>
      </c>
      <c r="D116" t="s">
        <v>190</v>
      </c>
      <c r="E116">
        <v>1000000</v>
      </c>
      <c r="F116" t="s">
        <v>191</v>
      </c>
      <c r="G116">
        <v>12345</v>
      </c>
      <c r="H116" t="s">
        <v>216</v>
      </c>
      <c r="I116">
        <v>1</v>
      </c>
      <c r="J116" t="s">
        <v>192</v>
      </c>
      <c r="K116">
        <v>1E-3</v>
      </c>
      <c r="L116" t="s">
        <v>3</v>
      </c>
      <c r="M116">
        <v>1</v>
      </c>
      <c r="N116" t="s">
        <v>2</v>
      </c>
      <c r="O116">
        <v>5.9999999999999997E-7</v>
      </c>
      <c r="P116" t="s">
        <v>17</v>
      </c>
      <c r="Q116">
        <v>25</v>
      </c>
      <c r="R116" t="s">
        <v>0</v>
      </c>
      <c r="S116">
        <v>427.5</v>
      </c>
      <c r="T116" t="s">
        <v>152</v>
      </c>
      <c r="U116">
        <v>2</v>
      </c>
      <c r="V116" t="s">
        <v>153</v>
      </c>
      <c r="W116">
        <v>21</v>
      </c>
      <c r="X116" t="s">
        <v>151</v>
      </c>
      <c r="Y116">
        <v>47640</v>
      </c>
      <c r="Z116" t="s">
        <v>1</v>
      </c>
      <c r="AA116" t="e" cm="1">
        <f t="array" aca="1" ref="AA116" ca="1">-0.0000001517696+((((100.000038963966*V3)*pow(V1,-1))*pow(V2,2))*SIN(((0.0031830988618*pow(v0,-1))*pow(V1,-1))))</f>
        <v>#VALUE!</v>
      </c>
      <c r="AB116" t="s">
        <v>4</v>
      </c>
      <c r="AC116">
        <v>1</v>
      </c>
      <c r="AD116" t="s">
        <v>5</v>
      </c>
      <c r="AE116" s="7">
        <v>5.9999999999999997E-7</v>
      </c>
    </row>
    <row r="117" spans="1:31" x14ac:dyDescent="0.25">
      <c r="A117" t="s">
        <v>114</v>
      </c>
      <c r="B117" t="s">
        <v>189</v>
      </c>
      <c r="C117">
        <v>1200</v>
      </c>
      <c r="D117" t="s">
        <v>190</v>
      </c>
      <c r="E117">
        <v>1000000</v>
      </c>
      <c r="F117" t="s">
        <v>191</v>
      </c>
      <c r="G117">
        <v>12345</v>
      </c>
      <c r="H117" t="s">
        <v>216</v>
      </c>
      <c r="I117">
        <v>1</v>
      </c>
      <c r="J117" t="s">
        <v>192</v>
      </c>
      <c r="K117">
        <v>1E-3</v>
      </c>
      <c r="L117" t="s">
        <v>3</v>
      </c>
      <c r="M117">
        <v>1</v>
      </c>
      <c r="N117" t="s">
        <v>2</v>
      </c>
      <c r="O117">
        <v>0</v>
      </c>
      <c r="P117" t="s">
        <v>17</v>
      </c>
      <c r="Q117">
        <v>16</v>
      </c>
      <c r="R117" t="s">
        <v>0</v>
      </c>
      <c r="S117">
        <v>29.9</v>
      </c>
      <c r="T117" t="s">
        <v>152</v>
      </c>
      <c r="U117">
        <v>1</v>
      </c>
      <c r="V117" t="s">
        <v>153</v>
      </c>
      <c r="W117">
        <v>5</v>
      </c>
      <c r="X117" t="s">
        <v>151</v>
      </c>
      <c r="Y117">
        <v>4088</v>
      </c>
      <c r="Z117" t="s">
        <v>1</v>
      </c>
      <c r="AA117" t="s">
        <v>262</v>
      </c>
      <c r="AB117" t="s">
        <v>4</v>
      </c>
      <c r="AC117">
        <v>1</v>
      </c>
      <c r="AD117" t="s">
        <v>5</v>
      </c>
      <c r="AE117">
        <v>0</v>
      </c>
    </row>
    <row r="118" spans="1:31" x14ac:dyDescent="0.25">
      <c r="A118" t="s">
        <v>87</v>
      </c>
      <c r="B118" t="s">
        <v>189</v>
      </c>
      <c r="C118">
        <v>1200</v>
      </c>
      <c r="D118" t="s">
        <v>190</v>
      </c>
      <c r="E118">
        <v>1000000</v>
      </c>
      <c r="F118" t="s">
        <v>191</v>
      </c>
      <c r="G118">
        <v>12345</v>
      </c>
      <c r="H118" t="s">
        <v>216</v>
      </c>
      <c r="I118">
        <v>1</v>
      </c>
      <c r="J118" t="s">
        <v>192</v>
      </c>
      <c r="K118">
        <v>1E-3</v>
      </c>
      <c r="L118" t="s">
        <v>3</v>
      </c>
      <c r="M118">
        <v>0.99280829999999998</v>
      </c>
      <c r="N118" t="s">
        <v>2</v>
      </c>
      <c r="O118">
        <v>3.8160399999999997E-2</v>
      </c>
      <c r="P118" t="s">
        <v>17</v>
      </c>
      <c r="Q118">
        <v>28</v>
      </c>
      <c r="R118" t="s">
        <v>0</v>
      </c>
      <c r="S118">
        <v>1201.3</v>
      </c>
      <c r="T118" t="s">
        <v>152</v>
      </c>
      <c r="U118">
        <v>12</v>
      </c>
      <c r="V118" t="s">
        <v>153</v>
      </c>
      <c r="W118">
        <v>69</v>
      </c>
      <c r="X118" t="s">
        <v>151</v>
      </c>
      <c r="Y118">
        <v>127185</v>
      </c>
      <c r="Z118" t="s">
        <v>1</v>
      </c>
      <c r="AA118" t="s">
        <v>307</v>
      </c>
      <c r="AB118" t="s">
        <v>4</v>
      </c>
      <c r="AC118">
        <v>0.99268780000000001</v>
      </c>
      <c r="AD118" t="s">
        <v>5</v>
      </c>
      <c r="AE118">
        <v>3.8418099999999997E-2</v>
      </c>
    </row>
    <row r="119" spans="1:31" x14ac:dyDescent="0.25">
      <c r="A119" t="s">
        <v>118</v>
      </c>
      <c r="B119" t="s">
        <v>189</v>
      </c>
      <c r="C119">
        <v>1200</v>
      </c>
      <c r="D119" t="s">
        <v>190</v>
      </c>
      <c r="E119">
        <v>1000000</v>
      </c>
      <c r="F119" t="s">
        <v>191</v>
      </c>
      <c r="G119">
        <v>12345</v>
      </c>
      <c r="H119" t="s">
        <v>216</v>
      </c>
      <c r="I119">
        <v>1</v>
      </c>
      <c r="J119" t="s">
        <v>192</v>
      </c>
      <c r="K119">
        <v>1E-3</v>
      </c>
      <c r="L119" t="s">
        <v>3</v>
      </c>
      <c r="M119">
        <v>0.99959019999999998</v>
      </c>
      <c r="N119" t="s">
        <v>2</v>
      </c>
      <c r="O119">
        <v>2.49705E-2</v>
      </c>
      <c r="P119" t="s">
        <v>17</v>
      </c>
      <c r="Q119">
        <v>22</v>
      </c>
      <c r="R119" t="s">
        <v>0</v>
      </c>
      <c r="S119">
        <v>1200.2</v>
      </c>
      <c r="T119" t="s">
        <v>152</v>
      </c>
      <c r="U119">
        <v>19</v>
      </c>
      <c r="V119" t="s">
        <v>153</v>
      </c>
      <c r="W119">
        <v>94</v>
      </c>
      <c r="X119" t="s">
        <v>151</v>
      </c>
      <c r="Y119">
        <v>123718</v>
      </c>
      <c r="Z119" t="s">
        <v>1</v>
      </c>
      <c r="AA119" t="e" cm="1">
        <f t="array" aca="1" ref="AA119" ca="1">-0.1092255541282+(2.9515825097419*pow((v0*V1),0.5))+(((-0.0975659742018*V2)*pow(V3,2))*pow(V4,-2))</f>
        <v>#NAME?</v>
      </c>
      <c r="AB119" t="s">
        <v>4</v>
      </c>
      <c r="AC119">
        <v>0.99959759999999998</v>
      </c>
      <c r="AD119" t="s">
        <v>5</v>
      </c>
      <c r="AE119">
        <v>2.4769699999999999E-2</v>
      </c>
    </row>
    <row r="120" spans="1:31" x14ac:dyDescent="0.25">
      <c r="A120" t="s">
        <v>128</v>
      </c>
      <c r="B120" t="s">
        <v>189</v>
      </c>
      <c r="C120">
        <v>1200</v>
      </c>
      <c r="D120" t="s">
        <v>190</v>
      </c>
      <c r="E120">
        <v>1000000</v>
      </c>
      <c r="F120" t="s">
        <v>191</v>
      </c>
      <c r="G120">
        <v>12345</v>
      </c>
      <c r="H120" t="s">
        <v>216</v>
      </c>
      <c r="I120">
        <v>1</v>
      </c>
      <c r="J120" t="s">
        <v>192</v>
      </c>
      <c r="K120">
        <v>1E-3</v>
      </c>
      <c r="L120" t="s">
        <v>3</v>
      </c>
      <c r="M120">
        <v>1</v>
      </c>
      <c r="N120" t="s">
        <v>2</v>
      </c>
      <c r="O120">
        <v>0</v>
      </c>
      <c r="P120" t="s">
        <v>17</v>
      </c>
      <c r="Q120">
        <v>26</v>
      </c>
      <c r="R120" t="s">
        <v>0</v>
      </c>
      <c r="S120">
        <v>137.9</v>
      </c>
      <c r="T120" t="s">
        <v>152</v>
      </c>
      <c r="U120">
        <v>1</v>
      </c>
      <c r="V120" t="s">
        <v>153</v>
      </c>
      <c r="W120">
        <v>12</v>
      </c>
      <c r="X120" t="s">
        <v>151</v>
      </c>
      <c r="Y120">
        <v>16615</v>
      </c>
      <c r="Z120" t="s">
        <v>1</v>
      </c>
      <c r="AA120" t="s">
        <v>308</v>
      </c>
      <c r="AB120" t="s">
        <v>4</v>
      </c>
      <c r="AC120">
        <v>1</v>
      </c>
      <c r="AD120" t="s">
        <v>5</v>
      </c>
      <c r="AE120">
        <v>0</v>
      </c>
    </row>
    <row r="121" spans="1:31" x14ac:dyDescent="0.25">
      <c r="A121" t="s">
        <v>131</v>
      </c>
      <c r="B121" t="s">
        <v>189</v>
      </c>
      <c r="C121">
        <v>1200</v>
      </c>
      <c r="D121" t="s">
        <v>190</v>
      </c>
      <c r="E121">
        <v>1000000</v>
      </c>
      <c r="F121" t="s">
        <v>191</v>
      </c>
      <c r="G121">
        <v>12345</v>
      </c>
      <c r="H121" t="s">
        <v>216</v>
      </c>
      <c r="I121">
        <v>1</v>
      </c>
      <c r="J121" t="s">
        <v>192</v>
      </c>
      <c r="K121">
        <v>1E-3</v>
      </c>
      <c r="L121" t="s">
        <v>3</v>
      </c>
      <c r="M121">
        <v>-1.1851634</v>
      </c>
      <c r="N121" t="s">
        <v>2</v>
      </c>
      <c r="O121">
        <v>19.4102788</v>
      </c>
      <c r="P121" t="s">
        <v>17</v>
      </c>
      <c r="Q121">
        <v>104</v>
      </c>
      <c r="R121" t="s">
        <v>0</v>
      </c>
      <c r="S121">
        <v>1201.7</v>
      </c>
      <c r="T121" t="s">
        <v>152</v>
      </c>
      <c r="U121">
        <v>2</v>
      </c>
      <c r="V121" t="s">
        <v>153</v>
      </c>
      <c r="W121">
        <v>29</v>
      </c>
      <c r="X121" t="s">
        <v>151</v>
      </c>
      <c r="Y121">
        <v>99904</v>
      </c>
      <c r="Z121" t="s">
        <v>1</v>
      </c>
      <c r="AA121" t="s">
        <v>322</v>
      </c>
      <c r="AB121" t="s">
        <v>4</v>
      </c>
      <c r="AC121">
        <v>0.61124420000000002</v>
      </c>
      <c r="AD121" t="s">
        <v>5</v>
      </c>
      <c r="AE121">
        <v>8.0747020000000003</v>
      </c>
    </row>
    <row r="122" spans="1:31" x14ac:dyDescent="0.25">
      <c r="A122" t="s">
        <v>138</v>
      </c>
      <c r="B122" t="s">
        <v>189</v>
      </c>
      <c r="C122">
        <v>1200</v>
      </c>
      <c r="D122" t="s">
        <v>190</v>
      </c>
      <c r="E122">
        <v>1000000</v>
      </c>
      <c r="F122" t="s">
        <v>191</v>
      </c>
      <c r="G122">
        <v>12345</v>
      </c>
      <c r="H122" t="s">
        <v>216</v>
      </c>
      <c r="I122">
        <v>1</v>
      </c>
      <c r="J122" t="s">
        <v>192</v>
      </c>
      <c r="K122">
        <v>1E-3</v>
      </c>
      <c r="L122" t="s">
        <v>3</v>
      </c>
      <c r="M122">
        <v>1</v>
      </c>
      <c r="N122" t="s">
        <v>2</v>
      </c>
      <c r="O122">
        <v>0</v>
      </c>
      <c r="P122" t="s">
        <v>17</v>
      </c>
      <c r="Q122">
        <v>18</v>
      </c>
      <c r="R122" t="s">
        <v>0</v>
      </c>
      <c r="S122">
        <v>39.200000000000003</v>
      </c>
      <c r="T122" t="s">
        <v>152</v>
      </c>
      <c r="U122">
        <v>1</v>
      </c>
      <c r="V122" t="s">
        <v>153</v>
      </c>
      <c r="W122">
        <v>6</v>
      </c>
      <c r="X122" t="s">
        <v>151</v>
      </c>
      <c r="Y122">
        <v>4924</v>
      </c>
      <c r="Z122" t="s">
        <v>1</v>
      </c>
      <c r="AA122" t="s">
        <v>188</v>
      </c>
      <c r="AB122" t="s">
        <v>4</v>
      </c>
      <c r="AC122">
        <v>1</v>
      </c>
      <c r="AD122" t="s">
        <v>5</v>
      </c>
      <c r="AE122">
        <v>0</v>
      </c>
    </row>
    <row r="123" spans="1:31" x14ac:dyDescent="0.25">
      <c r="A123" t="s">
        <v>124</v>
      </c>
      <c r="B123" t="s">
        <v>189</v>
      </c>
      <c r="C123">
        <v>1200</v>
      </c>
      <c r="D123" t="s">
        <v>190</v>
      </c>
      <c r="E123">
        <v>1000000</v>
      </c>
      <c r="F123" t="s">
        <v>191</v>
      </c>
      <c r="G123">
        <v>12345</v>
      </c>
      <c r="H123" t="s">
        <v>216</v>
      </c>
      <c r="I123">
        <v>1</v>
      </c>
      <c r="J123" t="s">
        <v>192</v>
      </c>
      <c r="K123">
        <v>1E-3</v>
      </c>
      <c r="L123" t="s">
        <v>3</v>
      </c>
      <c r="M123">
        <v>0.99999890000000002</v>
      </c>
      <c r="N123" t="s">
        <v>2</v>
      </c>
      <c r="O123">
        <v>1.5486E-2</v>
      </c>
      <c r="P123" t="s">
        <v>17</v>
      </c>
      <c r="Q123">
        <v>14</v>
      </c>
      <c r="R123" t="s">
        <v>0</v>
      </c>
      <c r="S123">
        <v>1201.5</v>
      </c>
      <c r="T123" t="s">
        <v>152</v>
      </c>
      <c r="U123">
        <v>12</v>
      </c>
      <c r="V123" t="s">
        <v>153</v>
      </c>
      <c r="W123">
        <v>97</v>
      </c>
      <c r="X123" t="s">
        <v>151</v>
      </c>
      <c r="Y123">
        <v>140522</v>
      </c>
      <c r="Z123" t="s">
        <v>1</v>
      </c>
      <c r="AA123" t="e" cm="1">
        <f t="array" aca="1" ref="AA123" ca="1">-0.0107517354642+((((1.00008633707*v0)*V2)*V3)*pow(V1,-2))</f>
        <v>#NAME?</v>
      </c>
      <c r="AB123" t="s">
        <v>4</v>
      </c>
      <c r="AC123">
        <v>0.99999879999999997</v>
      </c>
      <c r="AD123" t="s">
        <v>5</v>
      </c>
      <c r="AE123">
        <v>1.5565000000000001E-2</v>
      </c>
    </row>
    <row r="124" spans="1:31" x14ac:dyDescent="0.25">
      <c r="A124" t="s">
        <v>97</v>
      </c>
      <c r="B124" t="s">
        <v>189</v>
      </c>
      <c r="C124">
        <v>1200</v>
      </c>
      <c r="D124" t="s">
        <v>190</v>
      </c>
      <c r="E124">
        <v>1000000</v>
      </c>
      <c r="F124" t="s">
        <v>191</v>
      </c>
      <c r="G124">
        <v>12345</v>
      </c>
      <c r="H124" t="s">
        <v>216</v>
      </c>
      <c r="I124">
        <v>1</v>
      </c>
      <c r="J124" t="s">
        <v>192</v>
      </c>
      <c r="K124">
        <v>1E-3</v>
      </c>
      <c r="L124" t="s">
        <v>3</v>
      </c>
      <c r="M124">
        <v>0.99548099999999995</v>
      </c>
      <c r="N124" t="s">
        <v>2</v>
      </c>
      <c r="O124">
        <v>8.4892200000000001E-2</v>
      </c>
      <c r="P124" t="s">
        <v>17</v>
      </c>
      <c r="Q124">
        <v>17</v>
      </c>
      <c r="R124" t="s">
        <v>0</v>
      </c>
      <c r="S124">
        <v>1203.5</v>
      </c>
      <c r="T124" t="s">
        <v>152</v>
      </c>
      <c r="U124">
        <v>23</v>
      </c>
      <c r="V124" t="s">
        <v>153</v>
      </c>
      <c r="W124">
        <v>79</v>
      </c>
      <c r="X124" t="s">
        <v>151</v>
      </c>
      <c r="Y124">
        <v>105932</v>
      </c>
      <c r="Z124" t="s">
        <v>1</v>
      </c>
      <c r="AA124" t="s">
        <v>323</v>
      </c>
      <c r="AB124" t="s">
        <v>4</v>
      </c>
      <c r="AC124">
        <v>0.99576960000000003</v>
      </c>
      <c r="AD124" t="s">
        <v>5</v>
      </c>
      <c r="AE124">
        <v>8.2008600000000001E-2</v>
      </c>
    </row>
    <row r="125" spans="1:31" x14ac:dyDescent="0.25">
      <c r="A125" t="s">
        <v>107</v>
      </c>
      <c r="B125" t="s">
        <v>189</v>
      </c>
      <c r="C125">
        <v>1200</v>
      </c>
      <c r="D125" t="s">
        <v>190</v>
      </c>
      <c r="E125">
        <v>1000000</v>
      </c>
      <c r="F125" t="s">
        <v>191</v>
      </c>
      <c r="G125">
        <v>12345</v>
      </c>
      <c r="H125" t="s">
        <v>216</v>
      </c>
      <c r="I125">
        <v>1</v>
      </c>
      <c r="J125" t="s">
        <v>192</v>
      </c>
      <c r="K125">
        <v>1E-3</v>
      </c>
      <c r="L125" t="s">
        <v>3</v>
      </c>
      <c r="M125">
        <v>1</v>
      </c>
      <c r="N125" t="s">
        <v>2</v>
      </c>
      <c r="O125">
        <v>0</v>
      </c>
      <c r="P125" t="s">
        <v>17</v>
      </c>
      <c r="Q125">
        <v>24</v>
      </c>
      <c r="R125" t="s">
        <v>0</v>
      </c>
      <c r="S125">
        <v>206.4</v>
      </c>
      <c r="T125" t="s">
        <v>152</v>
      </c>
      <c r="U125">
        <v>1</v>
      </c>
      <c r="V125" t="s">
        <v>153</v>
      </c>
      <c r="W125">
        <v>14</v>
      </c>
      <c r="X125" t="s">
        <v>151</v>
      </c>
      <c r="Y125">
        <v>20856</v>
      </c>
      <c r="Z125" t="s">
        <v>1</v>
      </c>
      <c r="AA125" t="s">
        <v>204</v>
      </c>
      <c r="AB125" t="s">
        <v>4</v>
      </c>
      <c r="AC125">
        <v>1</v>
      </c>
      <c r="AD125" t="s">
        <v>5</v>
      </c>
      <c r="AE125">
        <v>0</v>
      </c>
    </row>
    <row r="126" spans="1:31" x14ac:dyDescent="0.25">
      <c r="A126" t="s">
        <v>141</v>
      </c>
      <c r="B126" t="s">
        <v>189</v>
      </c>
      <c r="C126">
        <v>1200</v>
      </c>
      <c r="D126" t="s">
        <v>190</v>
      </c>
      <c r="E126">
        <v>1000000</v>
      </c>
      <c r="F126" t="s">
        <v>191</v>
      </c>
      <c r="G126">
        <v>12345</v>
      </c>
      <c r="H126" t="s">
        <v>216</v>
      </c>
      <c r="I126">
        <v>1</v>
      </c>
      <c r="J126" t="s">
        <v>192</v>
      </c>
      <c r="K126">
        <v>1E-3</v>
      </c>
      <c r="L126" t="s">
        <v>3</v>
      </c>
      <c r="M126">
        <v>0.33341110000000002</v>
      </c>
      <c r="N126" t="s">
        <v>2</v>
      </c>
      <c r="O126">
        <v>11.6947753</v>
      </c>
      <c r="P126" t="s">
        <v>17</v>
      </c>
      <c r="Q126">
        <v>14</v>
      </c>
      <c r="R126" t="s">
        <v>0</v>
      </c>
      <c r="S126">
        <v>1200.3</v>
      </c>
      <c r="T126" t="s">
        <v>152</v>
      </c>
      <c r="U126">
        <v>20</v>
      </c>
      <c r="V126" t="s">
        <v>153</v>
      </c>
      <c r="W126">
        <v>86</v>
      </c>
      <c r="X126" t="s">
        <v>151</v>
      </c>
      <c r="Y126">
        <v>116094</v>
      </c>
      <c r="Z126" t="s">
        <v>1</v>
      </c>
      <c r="AA126" t="s">
        <v>324</v>
      </c>
      <c r="AB126" t="s">
        <v>4</v>
      </c>
      <c r="AC126">
        <v>0.33097880000000002</v>
      </c>
      <c r="AD126" t="s">
        <v>5</v>
      </c>
      <c r="AE126">
        <v>11.790588400000001</v>
      </c>
    </row>
    <row r="127" spans="1:31" x14ac:dyDescent="0.25">
      <c r="A127" t="s">
        <v>148</v>
      </c>
      <c r="B127" t="s">
        <v>189</v>
      </c>
      <c r="C127">
        <v>1200</v>
      </c>
      <c r="D127" t="s">
        <v>190</v>
      </c>
      <c r="E127">
        <v>1000000</v>
      </c>
      <c r="F127" t="s">
        <v>191</v>
      </c>
      <c r="G127">
        <v>12345</v>
      </c>
      <c r="H127" t="s">
        <v>216</v>
      </c>
      <c r="I127">
        <v>1</v>
      </c>
      <c r="J127" t="s">
        <v>192</v>
      </c>
      <c r="K127">
        <v>1E-3</v>
      </c>
      <c r="L127" t="s">
        <v>3</v>
      </c>
      <c r="M127">
        <v>0.98491379999999995</v>
      </c>
      <c r="N127" t="s">
        <v>2</v>
      </c>
      <c r="O127">
        <v>1.9266247000000001</v>
      </c>
      <c r="P127" t="s">
        <v>17</v>
      </c>
      <c r="Q127">
        <v>34</v>
      </c>
      <c r="R127" t="s">
        <v>0</v>
      </c>
      <c r="S127">
        <v>1200.3</v>
      </c>
      <c r="T127" t="s">
        <v>152</v>
      </c>
      <c r="U127">
        <v>4</v>
      </c>
      <c r="V127" t="s">
        <v>153</v>
      </c>
      <c r="W127">
        <v>57</v>
      </c>
      <c r="X127" t="s">
        <v>151</v>
      </c>
      <c r="Y127">
        <v>141930</v>
      </c>
      <c r="Z127" t="s">
        <v>1</v>
      </c>
      <c r="AA127" t="s">
        <v>325</v>
      </c>
      <c r="AB127" t="s">
        <v>4</v>
      </c>
      <c r="AC127">
        <v>0.98272139999999997</v>
      </c>
      <c r="AD127" t="s">
        <v>5</v>
      </c>
      <c r="AE127">
        <v>1.6749674999999999</v>
      </c>
    </row>
    <row r="128" spans="1:31" x14ac:dyDescent="0.25">
      <c r="A128" t="s">
        <v>134</v>
      </c>
      <c r="B128" t="s">
        <v>189</v>
      </c>
      <c r="C128">
        <v>1200</v>
      </c>
      <c r="D128" t="s">
        <v>190</v>
      </c>
      <c r="E128">
        <v>1000000</v>
      </c>
      <c r="F128" t="s">
        <v>191</v>
      </c>
      <c r="G128">
        <v>12345</v>
      </c>
      <c r="H128" t="s">
        <v>216</v>
      </c>
      <c r="I128">
        <v>1</v>
      </c>
      <c r="J128" t="s">
        <v>192</v>
      </c>
      <c r="K128">
        <v>1E-3</v>
      </c>
      <c r="L128" t="s">
        <v>3</v>
      </c>
      <c r="M128">
        <v>0.99287800000000004</v>
      </c>
      <c r="N128" t="s">
        <v>2</v>
      </c>
      <c r="O128">
        <v>4.1098999999999997E-3</v>
      </c>
      <c r="P128" t="s">
        <v>17</v>
      </c>
      <c r="Q128">
        <v>32</v>
      </c>
      <c r="R128" t="s">
        <v>0</v>
      </c>
      <c r="S128">
        <v>1202.2</v>
      </c>
      <c r="T128" t="s">
        <v>152</v>
      </c>
      <c r="U128">
        <v>14</v>
      </c>
      <c r="V128" t="s">
        <v>153</v>
      </c>
      <c r="W128">
        <v>77</v>
      </c>
      <c r="X128" t="s">
        <v>151</v>
      </c>
      <c r="Y128">
        <v>125385</v>
      </c>
      <c r="Z128" t="s">
        <v>1</v>
      </c>
      <c r="AA128" t="e" cm="1">
        <f t="array" aca="1" ref="AA128" ca="1">-0.0020297621363+(((0.0781828889107*v0)*pow(V1,-1))*pow(V2,-1))+(((0.6509948147351*v0)*pow(V2,-1))*pow((V1+(V4*pow(V3,-1))),-2))</f>
        <v>#NAME?</v>
      </c>
      <c r="AB128" t="s">
        <v>4</v>
      </c>
      <c r="AC128">
        <v>0.99267260000000002</v>
      </c>
      <c r="AD128" t="s">
        <v>5</v>
      </c>
      <c r="AE128">
        <v>4.1111999999999998E-3</v>
      </c>
    </row>
    <row r="129" spans="1:31" x14ac:dyDescent="0.25">
      <c r="A129" t="s">
        <v>117</v>
      </c>
      <c r="B129" t="s">
        <v>189</v>
      </c>
      <c r="C129">
        <v>1200</v>
      </c>
      <c r="D129" t="s">
        <v>190</v>
      </c>
      <c r="E129">
        <v>1000000</v>
      </c>
      <c r="F129" t="s">
        <v>191</v>
      </c>
      <c r="G129">
        <v>12345</v>
      </c>
      <c r="H129" t="s">
        <v>216</v>
      </c>
      <c r="I129">
        <v>1</v>
      </c>
      <c r="J129" t="s">
        <v>192</v>
      </c>
      <c r="K129">
        <v>1E-3</v>
      </c>
      <c r="L129" t="s">
        <v>3</v>
      </c>
      <c r="M129">
        <v>0.99949180000000004</v>
      </c>
      <c r="N129" t="s">
        <v>2</v>
      </c>
      <c r="O129">
        <v>1.1239300000000001E-2</v>
      </c>
      <c r="P129" t="s">
        <v>17</v>
      </c>
      <c r="Q129">
        <v>35</v>
      </c>
      <c r="R129" t="s">
        <v>0</v>
      </c>
      <c r="S129">
        <v>1201.2</v>
      </c>
      <c r="T129" t="s">
        <v>152</v>
      </c>
      <c r="U129">
        <v>12</v>
      </c>
      <c r="V129" t="s">
        <v>153</v>
      </c>
      <c r="W129">
        <v>78</v>
      </c>
      <c r="X129" t="s">
        <v>151</v>
      </c>
      <c r="Y129">
        <v>129351</v>
      </c>
      <c r="Z129" t="s">
        <v>1</v>
      </c>
      <c r="AA129" t="e" cm="1">
        <f t="array" aca="1" ref="AA129" ca="1">-3.5911073586528+(1.43212300298*pow(((V1*pow(v0,-1))+((-1*V2)*pow(v0,-1))),0.5))+(3.558409924319*COS((((0.2867285033823*V3)*pow(v0,-0.8))*pow(V4,-1))))</f>
        <v>#NAME?</v>
      </c>
      <c r="AB129" t="s">
        <v>4</v>
      </c>
      <c r="AC129">
        <v>0.99952079999999999</v>
      </c>
      <c r="AD129" t="s">
        <v>5</v>
      </c>
      <c r="AE129">
        <v>1.0823899999999999E-2</v>
      </c>
    </row>
    <row r="130" spans="1:31" x14ac:dyDescent="0.25">
      <c r="A130" t="s">
        <v>127</v>
      </c>
      <c r="B130" t="s">
        <v>189</v>
      </c>
      <c r="C130">
        <v>1200</v>
      </c>
      <c r="D130" t="s">
        <v>190</v>
      </c>
      <c r="E130">
        <v>1000000</v>
      </c>
      <c r="F130" t="s">
        <v>191</v>
      </c>
      <c r="G130">
        <v>12345</v>
      </c>
      <c r="H130" t="s">
        <v>216</v>
      </c>
      <c r="I130">
        <v>1</v>
      </c>
      <c r="J130" t="s">
        <v>192</v>
      </c>
      <c r="K130">
        <v>1E-3</v>
      </c>
      <c r="L130" t="s">
        <v>3</v>
      </c>
      <c r="M130">
        <v>1</v>
      </c>
      <c r="N130" t="s">
        <v>2</v>
      </c>
      <c r="O130">
        <v>0</v>
      </c>
      <c r="P130" t="s">
        <v>17</v>
      </c>
      <c r="Q130">
        <v>24</v>
      </c>
      <c r="R130" t="s">
        <v>0</v>
      </c>
      <c r="S130">
        <v>108.2</v>
      </c>
      <c r="T130" t="s">
        <v>152</v>
      </c>
      <c r="U130">
        <v>1</v>
      </c>
      <c r="V130" t="s">
        <v>153</v>
      </c>
      <c r="W130">
        <v>10</v>
      </c>
      <c r="X130" t="s">
        <v>151</v>
      </c>
      <c r="Y130">
        <v>14028</v>
      </c>
      <c r="Z130" t="s">
        <v>1</v>
      </c>
      <c r="AA130" t="s">
        <v>187</v>
      </c>
      <c r="AB130" t="s">
        <v>4</v>
      </c>
      <c r="AC130">
        <v>1</v>
      </c>
      <c r="AD130" t="s">
        <v>5</v>
      </c>
      <c r="AE130">
        <v>0</v>
      </c>
    </row>
    <row r="131" spans="1:31" x14ac:dyDescent="0.25">
      <c r="A131" t="s">
        <v>144</v>
      </c>
      <c r="B131" t="s">
        <v>189</v>
      </c>
      <c r="C131">
        <v>1200</v>
      </c>
      <c r="D131" t="s">
        <v>190</v>
      </c>
      <c r="E131">
        <v>1000000</v>
      </c>
      <c r="F131" t="s">
        <v>191</v>
      </c>
      <c r="G131">
        <v>12345</v>
      </c>
      <c r="H131" t="s">
        <v>216</v>
      </c>
      <c r="I131">
        <v>1</v>
      </c>
      <c r="J131" t="s">
        <v>192</v>
      </c>
      <c r="K131">
        <v>1E-3</v>
      </c>
      <c r="L131" t="s">
        <v>3</v>
      </c>
      <c r="M131">
        <v>0.93131580000000003</v>
      </c>
      <c r="N131" t="s">
        <v>2</v>
      </c>
      <c r="O131">
        <v>0.17117540000000001</v>
      </c>
      <c r="P131" t="s">
        <v>17</v>
      </c>
      <c r="Q131">
        <v>44</v>
      </c>
      <c r="R131" t="s">
        <v>0</v>
      </c>
      <c r="S131">
        <v>1200.5999999999999</v>
      </c>
      <c r="T131" t="s">
        <v>152</v>
      </c>
      <c r="U131">
        <v>5</v>
      </c>
      <c r="V131" t="s">
        <v>153</v>
      </c>
      <c r="W131">
        <v>40</v>
      </c>
      <c r="X131" t="s">
        <v>151</v>
      </c>
      <c r="Y131">
        <v>116459</v>
      </c>
      <c r="Z131" t="s">
        <v>1</v>
      </c>
      <c r="AA131" t="s">
        <v>326</v>
      </c>
      <c r="AB131" t="s">
        <v>4</v>
      </c>
      <c r="AC131" s="7">
        <v>0.93120970000000003</v>
      </c>
      <c r="AD131" t="s">
        <v>5</v>
      </c>
      <c r="AE131" s="7">
        <v>0.17025999999999999</v>
      </c>
    </row>
    <row r="132" spans="1:31" x14ac:dyDescent="0.25">
      <c r="A132" t="s">
        <v>137</v>
      </c>
      <c r="B132" t="s">
        <v>189</v>
      </c>
      <c r="C132">
        <v>1200</v>
      </c>
      <c r="D132" t="s">
        <v>190</v>
      </c>
      <c r="E132">
        <v>1000000</v>
      </c>
      <c r="F132" t="s">
        <v>191</v>
      </c>
      <c r="G132">
        <v>12345</v>
      </c>
      <c r="H132" t="s">
        <v>216</v>
      </c>
      <c r="I132">
        <v>1</v>
      </c>
      <c r="J132" t="s">
        <v>192</v>
      </c>
      <c r="K132">
        <v>1E-3</v>
      </c>
      <c r="L132" t="s">
        <v>3</v>
      </c>
      <c r="M132">
        <v>0.99928950000000005</v>
      </c>
      <c r="N132" t="s">
        <v>2</v>
      </c>
      <c r="O132">
        <v>0.1252828</v>
      </c>
      <c r="P132" t="s">
        <v>17</v>
      </c>
      <c r="Q132">
        <v>64</v>
      </c>
      <c r="R132" t="s">
        <v>0</v>
      </c>
      <c r="S132">
        <v>1201.0999999999999</v>
      </c>
      <c r="T132" t="s">
        <v>152</v>
      </c>
      <c r="U132">
        <v>3</v>
      </c>
      <c r="V132" t="s">
        <v>153</v>
      </c>
      <c r="W132">
        <v>32</v>
      </c>
      <c r="X132" t="s">
        <v>151</v>
      </c>
      <c r="Y132">
        <v>119936</v>
      </c>
      <c r="Z132" t="s">
        <v>1</v>
      </c>
      <c r="AA132" t="s">
        <v>327</v>
      </c>
      <c r="AB132" t="s">
        <v>4</v>
      </c>
      <c r="AC132">
        <v>0.99922610000000001</v>
      </c>
      <c r="AD132" t="s">
        <v>5</v>
      </c>
      <c r="AE132">
        <v>0.12803729999999999</v>
      </c>
    </row>
    <row r="133" spans="1:31" x14ac:dyDescent="0.25">
      <c r="A133" t="s">
        <v>147</v>
      </c>
      <c r="B133" t="s">
        <v>189</v>
      </c>
      <c r="C133">
        <v>1200</v>
      </c>
      <c r="D133" t="s">
        <v>190</v>
      </c>
      <c r="E133">
        <v>1000000</v>
      </c>
      <c r="F133" t="s">
        <v>191</v>
      </c>
      <c r="G133">
        <v>12345</v>
      </c>
      <c r="H133" t="s">
        <v>216</v>
      </c>
      <c r="I133">
        <v>1</v>
      </c>
      <c r="J133" t="s">
        <v>192</v>
      </c>
      <c r="K133">
        <v>1E-3</v>
      </c>
      <c r="L133" t="s">
        <v>3</v>
      </c>
      <c r="M133">
        <v>0.9995425</v>
      </c>
      <c r="N133" t="s">
        <v>2</v>
      </c>
      <c r="O133">
        <v>0.2531429</v>
      </c>
      <c r="P133" t="s">
        <v>17</v>
      </c>
      <c r="Q133">
        <v>43</v>
      </c>
      <c r="R133" t="s">
        <v>0</v>
      </c>
      <c r="S133">
        <v>1200.7</v>
      </c>
      <c r="T133" t="s">
        <v>152</v>
      </c>
      <c r="U133">
        <v>4</v>
      </c>
      <c r="V133" t="s">
        <v>153</v>
      </c>
      <c r="W133">
        <v>31</v>
      </c>
      <c r="X133" t="s">
        <v>151</v>
      </c>
      <c r="Y133">
        <v>122138</v>
      </c>
      <c r="Z133" t="s">
        <v>1</v>
      </c>
      <c r="AA133" t="s">
        <v>328</v>
      </c>
      <c r="AB133" t="s">
        <v>4</v>
      </c>
      <c r="AC133">
        <v>0.99956350000000005</v>
      </c>
      <c r="AD133" t="s">
        <v>5</v>
      </c>
      <c r="AE133">
        <v>0.24722079999999999</v>
      </c>
    </row>
  </sheetData>
  <autoFilter ref="A1:A133" xr:uid="{9B180E60-41BE-41A1-A6BA-C30F23AD950B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DBC07-E8BC-405A-BB7A-759EA912FD5C}">
  <dimension ref="A1:AC130"/>
  <sheetViews>
    <sheetView workbookViewId="0">
      <selection activeCell="K1" sqref="K1"/>
    </sheetView>
  </sheetViews>
  <sheetFormatPr defaultRowHeight="15" x14ac:dyDescent="0.25"/>
  <sheetData>
    <row r="1" spans="1:29" x14ac:dyDescent="0.25">
      <c r="A1" t="s">
        <v>18</v>
      </c>
      <c r="B1" t="s">
        <v>189</v>
      </c>
      <c r="C1">
        <v>1200</v>
      </c>
      <c r="D1" t="s">
        <v>190</v>
      </c>
      <c r="E1">
        <v>1000000</v>
      </c>
      <c r="F1" t="s">
        <v>191</v>
      </c>
      <c r="G1">
        <v>12345</v>
      </c>
      <c r="H1" t="s">
        <v>192</v>
      </c>
      <c r="I1">
        <v>5.0000000000000001E-4</v>
      </c>
      <c r="J1" t="s">
        <v>3</v>
      </c>
      <c r="K1">
        <v>1</v>
      </c>
      <c r="L1" t="s">
        <v>2</v>
      </c>
      <c r="M1">
        <v>0</v>
      </c>
      <c r="N1" t="s">
        <v>17</v>
      </c>
      <c r="O1">
        <v>4</v>
      </c>
      <c r="P1" t="s">
        <v>0</v>
      </c>
      <c r="Q1">
        <v>0.4</v>
      </c>
      <c r="R1" t="s">
        <v>152</v>
      </c>
      <c r="S1">
        <v>1</v>
      </c>
      <c r="T1" t="s">
        <v>153</v>
      </c>
      <c r="U1">
        <v>2</v>
      </c>
      <c r="V1" t="s">
        <v>151</v>
      </c>
      <c r="W1">
        <v>234</v>
      </c>
      <c r="X1" t="s">
        <v>1</v>
      </c>
      <c r="Y1" t="s">
        <v>154</v>
      </c>
      <c r="Z1" t="s">
        <v>4</v>
      </c>
      <c r="AA1">
        <v>1</v>
      </c>
      <c r="AB1" t="s">
        <v>5</v>
      </c>
      <c r="AC1">
        <v>0</v>
      </c>
    </row>
    <row r="2" spans="1:29" x14ac:dyDescent="0.25">
      <c r="A2" t="s">
        <v>25</v>
      </c>
      <c r="B2" t="s">
        <v>189</v>
      </c>
      <c r="C2">
        <v>1200</v>
      </c>
      <c r="D2" t="s">
        <v>190</v>
      </c>
      <c r="E2">
        <v>1000000</v>
      </c>
      <c r="F2" t="s">
        <v>191</v>
      </c>
      <c r="G2">
        <v>12345</v>
      </c>
      <c r="H2" t="s">
        <v>192</v>
      </c>
      <c r="I2">
        <v>5.0000000000000001E-4</v>
      </c>
      <c r="J2" t="s">
        <v>3</v>
      </c>
      <c r="K2">
        <v>1</v>
      </c>
      <c r="L2" t="s">
        <v>2</v>
      </c>
      <c r="M2">
        <v>0</v>
      </c>
      <c r="N2" t="s">
        <v>17</v>
      </c>
      <c r="O2">
        <v>13</v>
      </c>
      <c r="P2" t="s">
        <v>0</v>
      </c>
      <c r="Q2">
        <v>9.9</v>
      </c>
      <c r="R2" t="s">
        <v>152</v>
      </c>
      <c r="S2">
        <v>1</v>
      </c>
      <c r="T2" t="s">
        <v>153</v>
      </c>
      <c r="U2">
        <v>8</v>
      </c>
      <c r="V2" t="s">
        <v>151</v>
      </c>
      <c r="W2">
        <v>4960</v>
      </c>
      <c r="X2" t="s">
        <v>1</v>
      </c>
      <c r="Y2" t="s">
        <v>217</v>
      </c>
      <c r="Z2" t="s">
        <v>4</v>
      </c>
      <c r="AA2">
        <v>1</v>
      </c>
      <c r="AB2" t="s">
        <v>5</v>
      </c>
      <c r="AC2">
        <v>0</v>
      </c>
    </row>
    <row r="3" spans="1:29" x14ac:dyDescent="0.25">
      <c r="A3" t="s">
        <v>35</v>
      </c>
      <c r="B3" t="s">
        <v>189</v>
      </c>
      <c r="C3">
        <v>1200</v>
      </c>
      <c r="D3" t="s">
        <v>190</v>
      </c>
      <c r="E3">
        <v>1000000</v>
      </c>
      <c r="F3" t="s">
        <v>191</v>
      </c>
      <c r="G3">
        <v>12345</v>
      </c>
      <c r="H3" t="s">
        <v>192</v>
      </c>
      <c r="I3">
        <v>5.0000000000000001E-4</v>
      </c>
      <c r="J3" t="s">
        <v>3</v>
      </c>
      <c r="K3">
        <v>1</v>
      </c>
      <c r="L3" t="s">
        <v>2</v>
      </c>
      <c r="M3">
        <v>0</v>
      </c>
      <c r="N3" t="s">
        <v>17</v>
      </c>
      <c r="O3">
        <v>8</v>
      </c>
      <c r="P3" t="s">
        <v>0</v>
      </c>
      <c r="Q3">
        <v>3.9</v>
      </c>
      <c r="R3" t="s">
        <v>152</v>
      </c>
      <c r="S3">
        <v>1</v>
      </c>
      <c r="T3" t="s">
        <v>153</v>
      </c>
      <c r="U3">
        <v>2</v>
      </c>
      <c r="V3" t="s">
        <v>151</v>
      </c>
      <c r="W3">
        <v>730</v>
      </c>
      <c r="X3" t="s">
        <v>1</v>
      </c>
      <c r="Y3" t="s">
        <v>155</v>
      </c>
      <c r="Z3" t="s">
        <v>4</v>
      </c>
      <c r="AA3">
        <v>1</v>
      </c>
      <c r="AB3" t="s">
        <v>5</v>
      </c>
      <c r="AC3">
        <v>0</v>
      </c>
    </row>
    <row r="4" spans="1:29" x14ac:dyDescent="0.25">
      <c r="A4" t="s">
        <v>27</v>
      </c>
      <c r="B4" t="s">
        <v>189</v>
      </c>
      <c r="C4">
        <v>1200</v>
      </c>
      <c r="D4" t="s">
        <v>190</v>
      </c>
      <c r="E4">
        <v>1000000</v>
      </c>
      <c r="F4" t="s">
        <v>191</v>
      </c>
      <c r="G4">
        <v>12345</v>
      </c>
      <c r="H4" t="s">
        <v>192</v>
      </c>
      <c r="I4">
        <v>5.0000000000000001E-4</v>
      </c>
      <c r="J4" t="s">
        <v>3</v>
      </c>
      <c r="K4">
        <v>1</v>
      </c>
      <c r="L4" t="s">
        <v>2</v>
      </c>
      <c r="M4">
        <v>0</v>
      </c>
      <c r="N4" t="s">
        <v>17</v>
      </c>
      <c r="O4">
        <v>16</v>
      </c>
      <c r="P4" t="s">
        <v>0</v>
      </c>
      <c r="Q4">
        <v>28.4</v>
      </c>
      <c r="R4" t="s">
        <v>152</v>
      </c>
      <c r="S4">
        <v>2</v>
      </c>
      <c r="T4" t="s">
        <v>153</v>
      </c>
      <c r="U4">
        <v>13</v>
      </c>
      <c r="V4" t="s">
        <v>151</v>
      </c>
      <c r="W4">
        <v>12510</v>
      </c>
      <c r="X4" t="s">
        <v>1</v>
      </c>
      <c r="Y4" t="s">
        <v>156</v>
      </c>
      <c r="Z4" t="s">
        <v>4</v>
      </c>
      <c r="AA4">
        <v>1</v>
      </c>
      <c r="AB4" t="s">
        <v>5</v>
      </c>
      <c r="AC4">
        <v>0</v>
      </c>
    </row>
    <row r="5" spans="1:29" x14ac:dyDescent="0.25">
      <c r="A5" t="s">
        <v>37</v>
      </c>
      <c r="B5" t="s">
        <v>189</v>
      </c>
      <c r="C5">
        <v>1200</v>
      </c>
      <c r="D5" t="s">
        <v>190</v>
      </c>
      <c r="E5">
        <v>1000000</v>
      </c>
      <c r="F5" t="s">
        <v>191</v>
      </c>
      <c r="G5">
        <v>12345</v>
      </c>
      <c r="H5" t="s">
        <v>192</v>
      </c>
      <c r="I5">
        <v>5.0000000000000001E-4</v>
      </c>
      <c r="J5" t="s">
        <v>3</v>
      </c>
      <c r="K5">
        <v>1</v>
      </c>
      <c r="L5" t="s">
        <v>2</v>
      </c>
      <c r="M5">
        <v>0</v>
      </c>
      <c r="N5" t="s">
        <v>17</v>
      </c>
      <c r="O5">
        <v>6</v>
      </c>
      <c r="P5" t="s">
        <v>0</v>
      </c>
      <c r="Q5">
        <v>2.7</v>
      </c>
      <c r="R5" t="s">
        <v>152</v>
      </c>
      <c r="S5">
        <v>1</v>
      </c>
      <c r="T5" t="s">
        <v>153</v>
      </c>
      <c r="U5">
        <v>2</v>
      </c>
      <c r="V5" t="s">
        <v>151</v>
      </c>
      <c r="W5">
        <v>540</v>
      </c>
      <c r="X5" t="s">
        <v>1</v>
      </c>
      <c r="Y5" t="s">
        <v>157</v>
      </c>
      <c r="Z5" t="s">
        <v>4</v>
      </c>
      <c r="AA5">
        <v>1</v>
      </c>
      <c r="AB5" t="s">
        <v>5</v>
      </c>
      <c r="AC5">
        <v>0</v>
      </c>
    </row>
    <row r="6" spans="1:29" x14ac:dyDescent="0.25">
      <c r="A6" t="s">
        <v>24</v>
      </c>
      <c r="B6" t="s">
        <v>189</v>
      </c>
      <c r="C6">
        <v>1200</v>
      </c>
      <c r="D6" t="s">
        <v>190</v>
      </c>
      <c r="E6">
        <v>1000000</v>
      </c>
      <c r="F6" t="s">
        <v>191</v>
      </c>
      <c r="G6">
        <v>12345</v>
      </c>
      <c r="H6" t="s">
        <v>192</v>
      </c>
      <c r="I6">
        <v>5.0000000000000001E-4</v>
      </c>
      <c r="J6" t="s">
        <v>3</v>
      </c>
      <c r="K6">
        <v>1</v>
      </c>
      <c r="L6" t="s">
        <v>2</v>
      </c>
      <c r="M6">
        <v>0</v>
      </c>
      <c r="N6" t="s">
        <v>17</v>
      </c>
      <c r="O6">
        <v>14</v>
      </c>
      <c r="P6" t="s">
        <v>0</v>
      </c>
      <c r="Q6">
        <v>45.4</v>
      </c>
      <c r="R6" t="s">
        <v>152</v>
      </c>
      <c r="S6">
        <v>3</v>
      </c>
      <c r="T6" t="s">
        <v>153</v>
      </c>
      <c r="U6">
        <v>15</v>
      </c>
      <c r="V6" t="s">
        <v>151</v>
      </c>
      <c r="W6">
        <v>18305</v>
      </c>
      <c r="X6" t="s">
        <v>1</v>
      </c>
      <c r="Y6" t="s">
        <v>176</v>
      </c>
      <c r="Z6" t="s">
        <v>4</v>
      </c>
      <c r="AA6">
        <v>1</v>
      </c>
      <c r="AB6" t="s">
        <v>5</v>
      </c>
      <c r="AC6">
        <v>0</v>
      </c>
    </row>
    <row r="7" spans="1:29" x14ac:dyDescent="0.25">
      <c r="A7" t="s">
        <v>19</v>
      </c>
      <c r="B7" t="s">
        <v>189</v>
      </c>
      <c r="C7">
        <v>1200</v>
      </c>
      <c r="D7" t="s">
        <v>190</v>
      </c>
      <c r="E7">
        <v>1000000</v>
      </c>
      <c r="F7" t="s">
        <v>191</v>
      </c>
      <c r="G7">
        <v>12345</v>
      </c>
      <c r="H7" t="s">
        <v>192</v>
      </c>
      <c r="I7">
        <v>5.0000000000000001E-4</v>
      </c>
      <c r="J7" t="s">
        <v>3</v>
      </c>
      <c r="K7">
        <v>1</v>
      </c>
      <c r="L7" t="s">
        <v>2</v>
      </c>
      <c r="M7">
        <v>0</v>
      </c>
      <c r="N7" t="s">
        <v>17</v>
      </c>
      <c r="O7">
        <v>21</v>
      </c>
      <c r="P7" t="s">
        <v>0</v>
      </c>
      <c r="Q7">
        <v>46.7</v>
      </c>
      <c r="R7" t="s">
        <v>152</v>
      </c>
      <c r="S7">
        <v>5</v>
      </c>
      <c r="T7" t="s">
        <v>153</v>
      </c>
      <c r="U7">
        <v>27</v>
      </c>
      <c r="V7" t="s">
        <v>151</v>
      </c>
      <c r="W7">
        <v>24720</v>
      </c>
      <c r="X7" t="s">
        <v>1</v>
      </c>
      <c r="Y7" t="s">
        <v>218</v>
      </c>
      <c r="Z7" t="s">
        <v>4</v>
      </c>
      <c r="AA7">
        <v>1</v>
      </c>
      <c r="AB7" t="s">
        <v>5</v>
      </c>
      <c r="AC7">
        <v>0</v>
      </c>
    </row>
    <row r="8" spans="1:29" x14ac:dyDescent="0.25">
      <c r="A8" t="s">
        <v>34</v>
      </c>
      <c r="B8" t="s">
        <v>189</v>
      </c>
      <c r="C8">
        <v>1200</v>
      </c>
      <c r="D8" t="s">
        <v>190</v>
      </c>
      <c r="E8">
        <v>1000000</v>
      </c>
      <c r="F8" t="s">
        <v>191</v>
      </c>
      <c r="G8">
        <v>12345</v>
      </c>
      <c r="H8" t="s">
        <v>192</v>
      </c>
      <c r="I8">
        <v>5.0000000000000001E-4</v>
      </c>
      <c r="J8" t="s">
        <v>3</v>
      </c>
      <c r="K8">
        <v>1</v>
      </c>
      <c r="L8" t="s">
        <v>2</v>
      </c>
      <c r="M8">
        <v>0</v>
      </c>
      <c r="N8" t="s">
        <v>17</v>
      </c>
      <c r="O8">
        <v>6</v>
      </c>
      <c r="P8" t="s">
        <v>0</v>
      </c>
      <c r="Q8">
        <v>2.6</v>
      </c>
      <c r="R8" t="s">
        <v>152</v>
      </c>
      <c r="S8">
        <v>1</v>
      </c>
      <c r="T8" t="s">
        <v>153</v>
      </c>
      <c r="U8">
        <v>2</v>
      </c>
      <c r="V8" t="s">
        <v>151</v>
      </c>
      <c r="W8">
        <v>540</v>
      </c>
      <c r="X8" t="s">
        <v>1</v>
      </c>
      <c r="Y8" t="s">
        <v>159</v>
      </c>
      <c r="Z8" t="s">
        <v>4</v>
      </c>
      <c r="AA8">
        <v>1</v>
      </c>
      <c r="AB8" t="s">
        <v>5</v>
      </c>
      <c r="AC8">
        <v>0</v>
      </c>
    </row>
    <row r="9" spans="1:29" x14ac:dyDescent="0.25">
      <c r="A9" t="s">
        <v>28</v>
      </c>
      <c r="B9" t="s">
        <v>189</v>
      </c>
      <c r="C9">
        <v>1200</v>
      </c>
      <c r="D9" t="s">
        <v>190</v>
      </c>
      <c r="E9">
        <v>1000000</v>
      </c>
      <c r="F9" t="s">
        <v>191</v>
      </c>
      <c r="G9">
        <v>12345</v>
      </c>
      <c r="H9" t="s">
        <v>192</v>
      </c>
      <c r="I9">
        <v>5.0000000000000001E-4</v>
      </c>
      <c r="J9" t="s">
        <v>3</v>
      </c>
      <c r="K9">
        <v>1</v>
      </c>
      <c r="L9" t="s">
        <v>2</v>
      </c>
      <c r="M9">
        <v>0</v>
      </c>
      <c r="N9" t="s">
        <v>17</v>
      </c>
      <c r="O9">
        <v>20</v>
      </c>
      <c r="P9" t="s">
        <v>0</v>
      </c>
      <c r="Q9">
        <v>351.4</v>
      </c>
      <c r="R9" t="s">
        <v>152</v>
      </c>
      <c r="S9">
        <v>8</v>
      </c>
      <c r="T9" t="s">
        <v>153</v>
      </c>
      <c r="U9">
        <v>71</v>
      </c>
      <c r="V9" t="s">
        <v>151</v>
      </c>
      <c r="W9">
        <v>115892</v>
      </c>
      <c r="X9" t="s">
        <v>1</v>
      </c>
      <c r="Y9" t="s">
        <v>378</v>
      </c>
      <c r="Z9" t="s">
        <v>4</v>
      </c>
      <c r="AA9">
        <v>1</v>
      </c>
      <c r="AB9" t="s">
        <v>5</v>
      </c>
      <c r="AC9">
        <v>0</v>
      </c>
    </row>
    <row r="10" spans="1:29" x14ac:dyDescent="0.25">
      <c r="A10" t="s">
        <v>38</v>
      </c>
      <c r="B10" t="s">
        <v>189</v>
      </c>
      <c r="C10">
        <v>1200</v>
      </c>
      <c r="D10" t="s">
        <v>190</v>
      </c>
      <c r="E10">
        <v>1000000</v>
      </c>
      <c r="F10" t="s">
        <v>191</v>
      </c>
      <c r="G10">
        <v>12345</v>
      </c>
      <c r="H10" t="s">
        <v>192</v>
      </c>
      <c r="I10">
        <v>5.0000000000000001E-4</v>
      </c>
      <c r="J10" t="s">
        <v>3</v>
      </c>
      <c r="K10">
        <v>1</v>
      </c>
      <c r="L10" t="s">
        <v>2</v>
      </c>
      <c r="M10">
        <v>0</v>
      </c>
      <c r="N10" t="s">
        <v>17</v>
      </c>
      <c r="O10">
        <v>8</v>
      </c>
      <c r="P10" t="s">
        <v>0</v>
      </c>
      <c r="Q10">
        <v>3.9</v>
      </c>
      <c r="R10" t="s">
        <v>152</v>
      </c>
      <c r="S10">
        <v>1</v>
      </c>
      <c r="T10" t="s">
        <v>153</v>
      </c>
      <c r="U10">
        <v>2</v>
      </c>
      <c r="V10" t="s">
        <v>151</v>
      </c>
      <c r="W10">
        <v>730</v>
      </c>
      <c r="X10" t="s">
        <v>1</v>
      </c>
      <c r="Y10" t="s">
        <v>155</v>
      </c>
      <c r="Z10" t="s">
        <v>4</v>
      </c>
      <c r="AA10">
        <v>1</v>
      </c>
      <c r="AB10" t="s">
        <v>5</v>
      </c>
      <c r="AC10">
        <v>0</v>
      </c>
    </row>
    <row r="11" spans="1:29" x14ac:dyDescent="0.25">
      <c r="A11" t="s">
        <v>29</v>
      </c>
      <c r="B11" t="s">
        <v>189</v>
      </c>
      <c r="C11">
        <v>1200</v>
      </c>
      <c r="D11" t="s">
        <v>190</v>
      </c>
      <c r="E11">
        <v>1000000</v>
      </c>
      <c r="F11" t="s">
        <v>191</v>
      </c>
      <c r="G11">
        <v>12345</v>
      </c>
      <c r="H11" t="s">
        <v>192</v>
      </c>
      <c r="I11">
        <v>5.0000000000000001E-4</v>
      </c>
      <c r="J11" t="s">
        <v>3</v>
      </c>
      <c r="K11">
        <v>1</v>
      </c>
      <c r="L11" t="s">
        <v>2</v>
      </c>
      <c r="M11">
        <v>0</v>
      </c>
      <c r="N11" t="s">
        <v>17</v>
      </c>
      <c r="O11">
        <v>18</v>
      </c>
      <c r="P11" t="s">
        <v>0</v>
      </c>
      <c r="Q11">
        <v>352.4</v>
      </c>
      <c r="R11" t="s">
        <v>152</v>
      </c>
      <c r="S11">
        <v>15</v>
      </c>
      <c r="T11" t="s">
        <v>153</v>
      </c>
      <c r="U11">
        <v>90</v>
      </c>
      <c r="V11" t="s">
        <v>151</v>
      </c>
      <c r="W11">
        <v>123946</v>
      </c>
      <c r="X11" t="s">
        <v>1</v>
      </c>
      <c r="Y11" t="s">
        <v>379</v>
      </c>
      <c r="Z11" t="s">
        <v>4</v>
      </c>
      <c r="AA11">
        <v>1</v>
      </c>
      <c r="AB11" t="s">
        <v>5</v>
      </c>
      <c r="AC11">
        <v>0</v>
      </c>
    </row>
    <row r="12" spans="1:29" x14ac:dyDescent="0.25">
      <c r="A12" t="s">
        <v>39</v>
      </c>
      <c r="B12" t="s">
        <v>189</v>
      </c>
      <c r="C12">
        <v>1200</v>
      </c>
      <c r="D12" t="s">
        <v>190</v>
      </c>
      <c r="E12">
        <v>1000000</v>
      </c>
      <c r="F12" t="s">
        <v>191</v>
      </c>
      <c r="G12">
        <v>12345</v>
      </c>
      <c r="H12" t="s">
        <v>192</v>
      </c>
      <c r="I12">
        <v>5.0000000000000001E-4</v>
      </c>
      <c r="J12" t="s">
        <v>3</v>
      </c>
      <c r="K12">
        <v>1</v>
      </c>
      <c r="L12" t="s">
        <v>2</v>
      </c>
      <c r="M12">
        <v>0</v>
      </c>
      <c r="N12" t="s">
        <v>17</v>
      </c>
      <c r="O12">
        <v>6</v>
      </c>
      <c r="P12" t="s">
        <v>0</v>
      </c>
      <c r="Q12">
        <v>2.6</v>
      </c>
      <c r="R12" t="s">
        <v>152</v>
      </c>
      <c r="S12">
        <v>1</v>
      </c>
      <c r="T12" t="s">
        <v>153</v>
      </c>
      <c r="U12">
        <v>2</v>
      </c>
      <c r="V12" t="s">
        <v>151</v>
      </c>
      <c r="W12">
        <v>536</v>
      </c>
      <c r="X12" t="s">
        <v>1</v>
      </c>
      <c r="Y12" t="s">
        <v>158</v>
      </c>
      <c r="Z12" t="s">
        <v>4</v>
      </c>
      <c r="AA12">
        <v>1</v>
      </c>
      <c r="AB12" t="s">
        <v>5</v>
      </c>
      <c r="AC12">
        <v>0</v>
      </c>
    </row>
    <row r="13" spans="1:29" x14ac:dyDescent="0.25">
      <c r="A13" t="s">
        <v>20</v>
      </c>
      <c r="B13" t="s">
        <v>189</v>
      </c>
      <c r="C13">
        <v>1200</v>
      </c>
      <c r="D13" t="s">
        <v>190</v>
      </c>
      <c r="E13">
        <v>1000000</v>
      </c>
      <c r="F13" t="s">
        <v>191</v>
      </c>
      <c r="G13">
        <v>12345</v>
      </c>
      <c r="H13" t="s">
        <v>192</v>
      </c>
      <c r="I13">
        <v>5.0000000000000001E-4</v>
      </c>
      <c r="J13" t="s">
        <v>3</v>
      </c>
      <c r="K13">
        <v>1</v>
      </c>
      <c r="L13" t="s">
        <v>2</v>
      </c>
      <c r="M13">
        <v>0</v>
      </c>
      <c r="N13" t="s">
        <v>17</v>
      </c>
      <c r="O13">
        <v>15</v>
      </c>
      <c r="P13" t="s">
        <v>0</v>
      </c>
      <c r="Q13">
        <v>574.20000000000005</v>
      </c>
      <c r="R13" t="s">
        <v>152</v>
      </c>
      <c r="S13">
        <v>13</v>
      </c>
      <c r="T13" t="s">
        <v>153</v>
      </c>
      <c r="U13">
        <v>102</v>
      </c>
      <c r="V13" t="s">
        <v>151</v>
      </c>
      <c r="W13">
        <v>180667</v>
      </c>
      <c r="X13" t="s">
        <v>1</v>
      </c>
      <c r="Y13" t="s">
        <v>182</v>
      </c>
      <c r="Z13" t="s">
        <v>4</v>
      </c>
      <c r="AA13">
        <v>1</v>
      </c>
      <c r="AB13" t="s">
        <v>5</v>
      </c>
      <c r="AC13">
        <v>0</v>
      </c>
    </row>
    <row r="14" spans="1:29" x14ac:dyDescent="0.25">
      <c r="A14" t="s">
        <v>23</v>
      </c>
      <c r="B14" t="s">
        <v>189</v>
      </c>
      <c r="C14">
        <v>1200</v>
      </c>
      <c r="D14" t="s">
        <v>190</v>
      </c>
      <c r="E14">
        <v>1000000</v>
      </c>
      <c r="F14" t="s">
        <v>191</v>
      </c>
      <c r="G14">
        <v>12345</v>
      </c>
      <c r="H14" t="s">
        <v>192</v>
      </c>
      <c r="I14">
        <v>5.0000000000000001E-4</v>
      </c>
      <c r="J14" t="s">
        <v>3</v>
      </c>
      <c r="K14">
        <v>0.8966151</v>
      </c>
      <c r="L14" t="s">
        <v>2</v>
      </c>
      <c r="M14">
        <v>0.18575520000000001</v>
      </c>
      <c r="N14" t="s">
        <v>17</v>
      </c>
      <c r="O14">
        <v>45</v>
      </c>
      <c r="P14" t="s">
        <v>0</v>
      </c>
      <c r="Q14">
        <v>1200.0999999999999</v>
      </c>
      <c r="R14" t="s">
        <v>152</v>
      </c>
      <c r="S14">
        <v>17</v>
      </c>
      <c r="T14" t="s">
        <v>153</v>
      </c>
      <c r="U14">
        <v>131</v>
      </c>
      <c r="V14" t="s">
        <v>151</v>
      </c>
      <c r="W14">
        <v>288741</v>
      </c>
      <c r="X14" t="s">
        <v>1</v>
      </c>
      <c r="Y14" t="s">
        <v>380</v>
      </c>
      <c r="Z14" t="s">
        <v>4</v>
      </c>
      <c r="AA14">
        <v>0.68872719999999998</v>
      </c>
      <c r="AB14" t="s">
        <v>5</v>
      </c>
      <c r="AC14">
        <v>0.36290070000000002</v>
      </c>
    </row>
    <row r="15" spans="1:29" x14ac:dyDescent="0.25">
      <c r="A15" t="s">
        <v>21</v>
      </c>
      <c r="B15" t="s">
        <v>189</v>
      </c>
      <c r="C15">
        <v>1200</v>
      </c>
      <c r="D15" t="s">
        <v>190</v>
      </c>
      <c r="E15">
        <v>1000000</v>
      </c>
      <c r="F15" t="s">
        <v>191</v>
      </c>
      <c r="G15">
        <v>12345</v>
      </c>
      <c r="H15" t="s">
        <v>192</v>
      </c>
      <c r="I15">
        <v>5.0000000000000001E-4</v>
      </c>
      <c r="J15" t="s">
        <v>3</v>
      </c>
      <c r="K15">
        <v>0.96883750000000002</v>
      </c>
      <c r="L15" t="s">
        <v>2</v>
      </c>
      <c r="M15">
        <v>3.8585599999999998E-2</v>
      </c>
      <c r="N15" t="s">
        <v>17</v>
      </c>
      <c r="O15">
        <v>20</v>
      </c>
      <c r="P15" t="s">
        <v>0</v>
      </c>
      <c r="Q15">
        <v>1200.2</v>
      </c>
      <c r="R15" t="s">
        <v>152</v>
      </c>
      <c r="S15">
        <v>56</v>
      </c>
      <c r="T15" t="s">
        <v>153</v>
      </c>
      <c r="U15">
        <v>259</v>
      </c>
      <c r="V15" t="s">
        <v>151</v>
      </c>
      <c r="W15">
        <v>328366</v>
      </c>
      <c r="X15" t="s">
        <v>1</v>
      </c>
      <c r="Y15" t="s">
        <v>381</v>
      </c>
      <c r="Z15" t="s">
        <v>4</v>
      </c>
      <c r="AA15">
        <v>0.97024829999999995</v>
      </c>
      <c r="AB15" t="s">
        <v>5</v>
      </c>
      <c r="AC15">
        <v>4.1797500000000001E-2</v>
      </c>
    </row>
    <row r="16" spans="1:29" x14ac:dyDescent="0.25">
      <c r="A16" t="s">
        <v>22</v>
      </c>
      <c r="B16" t="s">
        <v>189</v>
      </c>
      <c r="C16">
        <v>1200</v>
      </c>
      <c r="D16" t="s">
        <v>190</v>
      </c>
      <c r="E16">
        <v>1000000</v>
      </c>
      <c r="F16" t="s">
        <v>191</v>
      </c>
      <c r="G16">
        <v>12345</v>
      </c>
      <c r="H16" t="s">
        <v>192</v>
      </c>
      <c r="I16">
        <v>5.0000000000000001E-4</v>
      </c>
      <c r="J16" t="s">
        <v>3</v>
      </c>
      <c r="K16">
        <v>0.99999879999999997</v>
      </c>
      <c r="L16" t="s">
        <v>2</v>
      </c>
      <c r="M16">
        <v>2.3241E-3</v>
      </c>
      <c r="N16" t="s">
        <v>17</v>
      </c>
      <c r="O16">
        <v>16</v>
      </c>
      <c r="P16" t="s">
        <v>0</v>
      </c>
      <c r="Q16">
        <v>1200.2</v>
      </c>
      <c r="R16" t="s">
        <v>152</v>
      </c>
      <c r="S16">
        <v>106</v>
      </c>
      <c r="T16" t="s">
        <v>153</v>
      </c>
      <c r="U16">
        <v>437</v>
      </c>
      <c r="V16" t="s">
        <v>151</v>
      </c>
      <c r="W16">
        <v>376918</v>
      </c>
      <c r="X16" t="s">
        <v>1</v>
      </c>
      <c r="Y16" t="s">
        <v>382</v>
      </c>
      <c r="Z16" t="s">
        <v>4</v>
      </c>
      <c r="AA16">
        <v>0.99996660000000004</v>
      </c>
      <c r="AB16" t="s">
        <v>5</v>
      </c>
      <c r="AC16">
        <v>1.29607E-2</v>
      </c>
    </row>
    <row r="17" spans="1:29" x14ac:dyDescent="0.25">
      <c r="A17" t="s">
        <v>26</v>
      </c>
      <c r="B17" t="s">
        <v>189</v>
      </c>
      <c r="C17">
        <v>1200</v>
      </c>
      <c r="D17" t="s">
        <v>190</v>
      </c>
      <c r="E17">
        <v>1000000</v>
      </c>
      <c r="F17" t="s">
        <v>191</v>
      </c>
      <c r="G17">
        <v>12345</v>
      </c>
      <c r="H17" t="s">
        <v>192</v>
      </c>
      <c r="I17">
        <v>5.0000000000000001E-4</v>
      </c>
      <c r="J17" t="s">
        <v>3</v>
      </c>
      <c r="K17">
        <v>1</v>
      </c>
      <c r="L17" t="s">
        <v>2</v>
      </c>
      <c r="M17">
        <v>4.1639999999999998E-4</v>
      </c>
      <c r="N17" t="s">
        <v>17</v>
      </c>
      <c r="O17">
        <v>20</v>
      </c>
      <c r="P17" t="s">
        <v>0</v>
      </c>
      <c r="Q17">
        <v>1200.7</v>
      </c>
      <c r="R17" t="s">
        <v>152</v>
      </c>
      <c r="S17">
        <v>70</v>
      </c>
      <c r="T17" t="s">
        <v>153</v>
      </c>
      <c r="U17">
        <v>266</v>
      </c>
      <c r="V17" t="s">
        <v>151</v>
      </c>
      <c r="W17">
        <v>320001</v>
      </c>
      <c r="X17" t="s">
        <v>1</v>
      </c>
      <c r="Y17" t="s">
        <v>383</v>
      </c>
      <c r="Z17" t="s">
        <v>4</v>
      </c>
      <c r="AA17">
        <v>1</v>
      </c>
      <c r="AB17" t="s">
        <v>5</v>
      </c>
      <c r="AC17">
        <v>5.7189999999999997E-4</v>
      </c>
    </row>
    <row r="18" spans="1:29" x14ac:dyDescent="0.25">
      <c r="A18" t="s">
        <v>33</v>
      </c>
      <c r="B18" t="s">
        <v>189</v>
      </c>
      <c r="C18">
        <v>1200</v>
      </c>
      <c r="D18" t="s">
        <v>190</v>
      </c>
      <c r="E18">
        <v>1000000</v>
      </c>
      <c r="F18" t="s">
        <v>191</v>
      </c>
      <c r="G18">
        <v>12345</v>
      </c>
      <c r="H18" t="s">
        <v>192</v>
      </c>
      <c r="I18">
        <v>5.0000000000000001E-4</v>
      </c>
      <c r="J18" t="s">
        <v>3</v>
      </c>
      <c r="K18">
        <v>1</v>
      </c>
      <c r="L18" t="s">
        <v>2</v>
      </c>
      <c r="M18">
        <v>0</v>
      </c>
      <c r="N18" t="s">
        <v>17</v>
      </c>
      <c r="O18">
        <v>6</v>
      </c>
      <c r="P18" t="s">
        <v>0</v>
      </c>
      <c r="Q18">
        <v>2.7</v>
      </c>
      <c r="R18" t="s">
        <v>152</v>
      </c>
      <c r="S18">
        <v>1</v>
      </c>
      <c r="T18" t="s">
        <v>153</v>
      </c>
      <c r="U18">
        <v>2</v>
      </c>
      <c r="V18" t="s">
        <v>151</v>
      </c>
      <c r="W18">
        <v>540</v>
      </c>
      <c r="X18" t="s">
        <v>1</v>
      </c>
      <c r="Y18" t="s">
        <v>159</v>
      </c>
      <c r="Z18" t="s">
        <v>4</v>
      </c>
      <c r="AA18">
        <v>1</v>
      </c>
      <c r="AB18" t="s">
        <v>5</v>
      </c>
      <c r="AC18">
        <v>0</v>
      </c>
    </row>
    <row r="19" spans="1:29" x14ac:dyDescent="0.25">
      <c r="A19" t="s">
        <v>36</v>
      </c>
      <c r="B19" t="s">
        <v>189</v>
      </c>
      <c r="C19">
        <v>1200</v>
      </c>
      <c r="D19" t="s">
        <v>190</v>
      </c>
      <c r="E19">
        <v>1000000</v>
      </c>
      <c r="F19" t="s">
        <v>191</v>
      </c>
      <c r="G19">
        <v>12345</v>
      </c>
      <c r="H19" t="s">
        <v>192</v>
      </c>
      <c r="I19">
        <v>5.0000000000000001E-4</v>
      </c>
      <c r="J19" t="s">
        <v>3</v>
      </c>
      <c r="K19">
        <v>1</v>
      </c>
      <c r="L19" t="s">
        <v>2</v>
      </c>
      <c r="M19">
        <v>0</v>
      </c>
      <c r="N19" t="s">
        <v>17</v>
      </c>
      <c r="O19">
        <v>6</v>
      </c>
      <c r="P19" t="s">
        <v>0</v>
      </c>
      <c r="Q19">
        <v>2.7</v>
      </c>
      <c r="R19" t="s">
        <v>152</v>
      </c>
      <c r="S19">
        <v>1</v>
      </c>
      <c r="T19" t="s">
        <v>153</v>
      </c>
      <c r="U19">
        <v>2</v>
      </c>
      <c r="V19" t="s">
        <v>151</v>
      </c>
      <c r="W19">
        <v>540</v>
      </c>
      <c r="X19" t="s">
        <v>1</v>
      </c>
      <c r="Y19" t="s">
        <v>157</v>
      </c>
      <c r="Z19" t="s">
        <v>4</v>
      </c>
      <c r="AA19">
        <v>1</v>
      </c>
      <c r="AB19" t="s">
        <v>5</v>
      </c>
      <c r="AC19">
        <v>0</v>
      </c>
    </row>
    <row r="20" spans="1:29" x14ac:dyDescent="0.25">
      <c r="A20" t="s">
        <v>43</v>
      </c>
      <c r="B20" t="s">
        <v>189</v>
      </c>
      <c r="C20">
        <v>1200</v>
      </c>
      <c r="D20" t="s">
        <v>190</v>
      </c>
      <c r="E20">
        <v>1000000</v>
      </c>
      <c r="F20" t="s">
        <v>191</v>
      </c>
      <c r="G20">
        <v>12345</v>
      </c>
      <c r="H20" t="s">
        <v>192</v>
      </c>
      <c r="I20">
        <v>5.0000000000000001E-4</v>
      </c>
      <c r="J20" t="s">
        <v>3</v>
      </c>
      <c r="K20">
        <v>1</v>
      </c>
      <c r="L20" t="s">
        <v>2</v>
      </c>
      <c r="M20">
        <v>0</v>
      </c>
      <c r="N20" t="s">
        <v>17</v>
      </c>
      <c r="O20">
        <v>8</v>
      </c>
      <c r="P20" t="s">
        <v>0</v>
      </c>
      <c r="Q20">
        <v>5.6</v>
      </c>
      <c r="R20" t="s">
        <v>152</v>
      </c>
      <c r="S20">
        <v>1</v>
      </c>
      <c r="T20" t="s">
        <v>153</v>
      </c>
      <c r="U20">
        <v>3</v>
      </c>
      <c r="V20" t="s">
        <v>151</v>
      </c>
      <c r="W20">
        <v>1038</v>
      </c>
      <c r="X20" t="s">
        <v>1</v>
      </c>
      <c r="Y20" t="s">
        <v>172</v>
      </c>
      <c r="Z20" t="s">
        <v>4</v>
      </c>
      <c r="AA20">
        <v>1</v>
      </c>
      <c r="AB20" t="s">
        <v>5</v>
      </c>
      <c r="AC20">
        <v>0</v>
      </c>
    </row>
    <row r="21" spans="1:29" x14ac:dyDescent="0.25">
      <c r="A21" t="s">
        <v>46</v>
      </c>
      <c r="B21" t="s">
        <v>189</v>
      </c>
      <c r="C21">
        <v>1200</v>
      </c>
      <c r="D21" t="s">
        <v>190</v>
      </c>
      <c r="E21">
        <v>1000000</v>
      </c>
      <c r="F21" t="s">
        <v>191</v>
      </c>
      <c r="G21">
        <v>12345</v>
      </c>
      <c r="H21" t="s">
        <v>192</v>
      </c>
      <c r="I21">
        <v>5.0000000000000001E-4</v>
      </c>
      <c r="J21" t="s">
        <v>3</v>
      </c>
      <c r="K21">
        <v>1</v>
      </c>
      <c r="L21" t="s">
        <v>2</v>
      </c>
      <c r="M21">
        <v>0</v>
      </c>
      <c r="N21" t="s">
        <v>17</v>
      </c>
      <c r="O21">
        <v>8</v>
      </c>
      <c r="P21" t="s">
        <v>0</v>
      </c>
      <c r="Q21">
        <v>6.2</v>
      </c>
      <c r="R21" t="s">
        <v>152</v>
      </c>
      <c r="S21">
        <v>1</v>
      </c>
      <c r="T21" t="s">
        <v>153</v>
      </c>
      <c r="U21">
        <v>3</v>
      </c>
      <c r="V21" t="s">
        <v>151</v>
      </c>
      <c r="W21">
        <v>1137</v>
      </c>
      <c r="X21" t="s">
        <v>1</v>
      </c>
      <c r="Y21" t="s">
        <v>202</v>
      </c>
      <c r="Z21" t="s">
        <v>4</v>
      </c>
      <c r="AA21">
        <v>1</v>
      </c>
      <c r="AB21" t="s">
        <v>5</v>
      </c>
      <c r="AC21">
        <v>0</v>
      </c>
    </row>
    <row r="22" spans="1:29" x14ac:dyDescent="0.25">
      <c r="A22" t="s">
        <v>45</v>
      </c>
      <c r="B22" t="s">
        <v>189</v>
      </c>
      <c r="C22">
        <v>1200</v>
      </c>
      <c r="D22" t="s">
        <v>190</v>
      </c>
      <c r="E22">
        <v>1000000</v>
      </c>
      <c r="F22" t="s">
        <v>191</v>
      </c>
      <c r="G22">
        <v>12345</v>
      </c>
      <c r="H22" t="s">
        <v>192</v>
      </c>
      <c r="I22">
        <v>5.0000000000000001E-4</v>
      </c>
      <c r="J22" t="s">
        <v>3</v>
      </c>
      <c r="K22">
        <v>0.9999808</v>
      </c>
      <c r="L22" t="s">
        <v>2</v>
      </c>
      <c r="M22">
        <v>1.2792999999999999E-3</v>
      </c>
      <c r="N22" t="s">
        <v>17</v>
      </c>
      <c r="O22">
        <v>11</v>
      </c>
      <c r="P22" t="s">
        <v>0</v>
      </c>
      <c r="Q22">
        <v>1203.4000000000001</v>
      </c>
      <c r="R22" t="s">
        <v>152</v>
      </c>
      <c r="S22">
        <v>34</v>
      </c>
      <c r="T22" t="s">
        <v>153</v>
      </c>
      <c r="U22">
        <v>109</v>
      </c>
      <c r="V22" t="s">
        <v>151</v>
      </c>
      <c r="W22">
        <v>95823</v>
      </c>
      <c r="X22" t="s">
        <v>1</v>
      </c>
      <c r="Y22" t="e" cm="1">
        <f t="array" ref="Y22">-0.2980764594809+(1.2984066390254*EXP(((0.7610868541606*v0)*V1)))</f>
        <v>#NAME?</v>
      </c>
      <c r="Z22" t="s">
        <v>4</v>
      </c>
      <c r="AA22">
        <v>0.99998220000000004</v>
      </c>
      <c r="AB22" t="s">
        <v>5</v>
      </c>
      <c r="AC22">
        <v>1.2116E-3</v>
      </c>
    </row>
    <row r="23" spans="1:29" x14ac:dyDescent="0.25">
      <c r="A23" t="s">
        <v>49</v>
      </c>
      <c r="B23" t="s">
        <v>189</v>
      </c>
      <c r="C23">
        <v>1200</v>
      </c>
      <c r="D23" t="s">
        <v>190</v>
      </c>
      <c r="E23">
        <v>1000000</v>
      </c>
      <c r="F23" t="s">
        <v>191</v>
      </c>
      <c r="G23">
        <v>12345</v>
      </c>
      <c r="H23" t="s">
        <v>192</v>
      </c>
      <c r="I23">
        <v>5.0000000000000001E-4</v>
      </c>
      <c r="J23" t="s">
        <v>3</v>
      </c>
      <c r="K23">
        <v>0.99997130000000001</v>
      </c>
      <c r="L23" t="s">
        <v>2</v>
      </c>
      <c r="M23">
        <v>4.6153000000000001E-3</v>
      </c>
      <c r="N23" t="s">
        <v>17</v>
      </c>
      <c r="O23">
        <v>22</v>
      </c>
      <c r="P23" t="s">
        <v>0</v>
      </c>
      <c r="Q23">
        <v>1202.3</v>
      </c>
      <c r="R23" t="s">
        <v>152</v>
      </c>
      <c r="S23">
        <v>22</v>
      </c>
      <c r="T23" t="s">
        <v>153</v>
      </c>
      <c r="U23">
        <v>107</v>
      </c>
      <c r="V23" t="s">
        <v>151</v>
      </c>
      <c r="W23">
        <v>121540</v>
      </c>
      <c r="X23" t="s">
        <v>1</v>
      </c>
      <c r="Y23" t="s">
        <v>384</v>
      </c>
      <c r="Z23" t="s">
        <v>4</v>
      </c>
      <c r="AA23">
        <v>0.99996799999999997</v>
      </c>
      <c r="AB23" t="s">
        <v>5</v>
      </c>
      <c r="AC23">
        <v>4.8580999999999997E-3</v>
      </c>
    </row>
    <row r="24" spans="1:29" x14ac:dyDescent="0.25">
      <c r="A24" t="s">
        <v>59</v>
      </c>
      <c r="B24" t="s">
        <v>189</v>
      </c>
      <c r="C24">
        <v>1200</v>
      </c>
      <c r="D24" t="s">
        <v>190</v>
      </c>
      <c r="E24">
        <v>1000000</v>
      </c>
      <c r="F24" t="s">
        <v>191</v>
      </c>
      <c r="G24">
        <v>12345</v>
      </c>
      <c r="H24" t="s">
        <v>192</v>
      </c>
      <c r="I24">
        <v>5.0000000000000001E-4</v>
      </c>
      <c r="J24" t="s">
        <v>3</v>
      </c>
      <c r="K24">
        <v>1</v>
      </c>
      <c r="L24" t="s">
        <v>2</v>
      </c>
      <c r="M24">
        <v>0</v>
      </c>
      <c r="N24" t="s">
        <v>17</v>
      </c>
      <c r="O24">
        <v>12</v>
      </c>
      <c r="P24" t="s">
        <v>0</v>
      </c>
      <c r="Q24">
        <v>10.9</v>
      </c>
      <c r="R24" t="s">
        <v>152</v>
      </c>
      <c r="S24">
        <v>1</v>
      </c>
      <c r="T24" t="s">
        <v>153</v>
      </c>
      <c r="U24">
        <v>3</v>
      </c>
      <c r="V24" t="s">
        <v>151</v>
      </c>
      <c r="W24">
        <v>1730</v>
      </c>
      <c r="X24" t="s">
        <v>1</v>
      </c>
      <c r="Y24" t="s">
        <v>160</v>
      </c>
      <c r="Z24" t="s">
        <v>4</v>
      </c>
      <c r="AA24">
        <v>1</v>
      </c>
      <c r="AB24" t="s">
        <v>5</v>
      </c>
      <c r="AC24">
        <v>0</v>
      </c>
    </row>
    <row r="25" spans="1:29" x14ac:dyDescent="0.25">
      <c r="A25" t="s">
        <v>44</v>
      </c>
      <c r="B25" t="s">
        <v>189</v>
      </c>
      <c r="C25">
        <v>1200</v>
      </c>
      <c r="D25" t="s">
        <v>190</v>
      </c>
      <c r="E25">
        <v>1000000</v>
      </c>
      <c r="F25" t="s">
        <v>191</v>
      </c>
      <c r="G25">
        <v>12345</v>
      </c>
      <c r="H25" t="s">
        <v>192</v>
      </c>
      <c r="I25">
        <v>5.0000000000000001E-4</v>
      </c>
      <c r="J25" t="s">
        <v>3</v>
      </c>
      <c r="K25">
        <v>0.99344299999999996</v>
      </c>
      <c r="L25" t="s">
        <v>2</v>
      </c>
      <c r="M25">
        <v>3.4521999999999999E-3</v>
      </c>
      <c r="N25" t="s">
        <v>17</v>
      </c>
      <c r="O25">
        <v>30</v>
      </c>
      <c r="P25" t="s">
        <v>0</v>
      </c>
      <c r="Q25">
        <v>1201</v>
      </c>
      <c r="R25" t="s">
        <v>152</v>
      </c>
      <c r="S25">
        <v>14</v>
      </c>
      <c r="T25" t="s">
        <v>153</v>
      </c>
      <c r="U25">
        <v>82</v>
      </c>
      <c r="V25" t="s">
        <v>151</v>
      </c>
      <c r="W25">
        <v>140440</v>
      </c>
      <c r="X25" t="s">
        <v>1</v>
      </c>
      <c r="Y25" t="s">
        <v>385</v>
      </c>
      <c r="Z25" t="s">
        <v>4</v>
      </c>
      <c r="AA25">
        <v>0.99349200000000004</v>
      </c>
      <c r="AB25" t="s">
        <v>5</v>
      </c>
      <c r="AC25">
        <v>3.4315999999999999E-3</v>
      </c>
    </row>
    <row r="26" spans="1:29" x14ac:dyDescent="0.25">
      <c r="A26" t="s">
        <v>70</v>
      </c>
      <c r="B26" t="s">
        <v>189</v>
      </c>
      <c r="C26">
        <v>1200</v>
      </c>
      <c r="D26" t="s">
        <v>190</v>
      </c>
      <c r="E26">
        <v>1000000</v>
      </c>
      <c r="F26" t="s">
        <v>191</v>
      </c>
      <c r="G26">
        <v>12345</v>
      </c>
      <c r="H26" t="s">
        <v>192</v>
      </c>
      <c r="I26">
        <v>5.0000000000000001E-4</v>
      </c>
      <c r="J26" t="s">
        <v>3</v>
      </c>
      <c r="K26">
        <v>1</v>
      </c>
      <c r="L26" t="s">
        <v>2</v>
      </c>
      <c r="M26">
        <v>0</v>
      </c>
      <c r="N26" t="s">
        <v>17</v>
      </c>
      <c r="O26">
        <v>9</v>
      </c>
      <c r="P26" t="s">
        <v>0</v>
      </c>
      <c r="Q26">
        <v>7.8</v>
      </c>
      <c r="R26" t="s">
        <v>152</v>
      </c>
      <c r="S26">
        <v>1</v>
      </c>
      <c r="T26" t="s">
        <v>153</v>
      </c>
      <c r="U26">
        <v>4</v>
      </c>
      <c r="V26" t="s">
        <v>151</v>
      </c>
      <c r="W26">
        <v>1540</v>
      </c>
      <c r="X26" t="s">
        <v>1</v>
      </c>
      <c r="Y26" t="s">
        <v>178</v>
      </c>
      <c r="Z26" t="s">
        <v>4</v>
      </c>
      <c r="AA26">
        <v>1</v>
      </c>
      <c r="AB26" t="s">
        <v>5</v>
      </c>
      <c r="AC26">
        <v>0</v>
      </c>
    </row>
    <row r="27" spans="1:29" x14ac:dyDescent="0.25">
      <c r="A27" t="s">
        <v>80</v>
      </c>
      <c r="B27" t="s">
        <v>189</v>
      </c>
      <c r="C27">
        <v>1200</v>
      </c>
      <c r="D27" t="s">
        <v>190</v>
      </c>
      <c r="E27">
        <v>1000000</v>
      </c>
      <c r="F27" t="s">
        <v>191</v>
      </c>
      <c r="G27">
        <v>12345</v>
      </c>
      <c r="H27" t="s">
        <v>192</v>
      </c>
      <c r="I27">
        <v>5.0000000000000001E-4</v>
      </c>
      <c r="J27" t="s">
        <v>3</v>
      </c>
      <c r="K27">
        <v>1</v>
      </c>
      <c r="L27" t="s">
        <v>2</v>
      </c>
      <c r="M27">
        <v>0</v>
      </c>
      <c r="N27" t="s">
        <v>17</v>
      </c>
      <c r="O27">
        <v>14</v>
      </c>
      <c r="P27" t="s">
        <v>0</v>
      </c>
      <c r="Q27">
        <v>16</v>
      </c>
      <c r="R27" t="s">
        <v>152</v>
      </c>
      <c r="S27">
        <v>1</v>
      </c>
      <c r="T27" t="s">
        <v>153</v>
      </c>
      <c r="U27">
        <v>4</v>
      </c>
      <c r="V27" t="s">
        <v>151</v>
      </c>
      <c r="W27">
        <v>2825</v>
      </c>
      <c r="X27" t="s">
        <v>1</v>
      </c>
      <c r="Y27" t="s">
        <v>165</v>
      </c>
      <c r="Z27" t="s">
        <v>4</v>
      </c>
      <c r="AA27">
        <v>1</v>
      </c>
      <c r="AB27" t="s">
        <v>5</v>
      </c>
      <c r="AC27">
        <v>0</v>
      </c>
    </row>
    <row r="28" spans="1:29" x14ac:dyDescent="0.25">
      <c r="A28" t="s">
        <v>90</v>
      </c>
      <c r="B28" t="s">
        <v>189</v>
      </c>
      <c r="C28">
        <v>1200</v>
      </c>
      <c r="D28" t="s">
        <v>190</v>
      </c>
      <c r="E28">
        <v>1000000</v>
      </c>
      <c r="F28" t="s">
        <v>191</v>
      </c>
      <c r="G28">
        <v>12345</v>
      </c>
      <c r="H28" t="s">
        <v>192</v>
      </c>
      <c r="I28">
        <v>5.0000000000000001E-4</v>
      </c>
      <c r="J28" t="s">
        <v>3</v>
      </c>
      <c r="K28">
        <v>1</v>
      </c>
      <c r="L28" t="s">
        <v>2</v>
      </c>
      <c r="M28">
        <v>0</v>
      </c>
      <c r="N28" t="s">
        <v>17</v>
      </c>
      <c r="O28">
        <v>16</v>
      </c>
      <c r="P28" t="s">
        <v>0</v>
      </c>
      <c r="Q28">
        <v>27.2</v>
      </c>
      <c r="R28" t="s">
        <v>152</v>
      </c>
      <c r="S28">
        <v>1</v>
      </c>
      <c r="T28" t="s">
        <v>153</v>
      </c>
      <c r="U28">
        <v>5</v>
      </c>
      <c r="V28" t="s">
        <v>151</v>
      </c>
      <c r="W28">
        <v>4521</v>
      </c>
      <c r="X28" t="s">
        <v>1</v>
      </c>
      <c r="Y28" t="s">
        <v>240</v>
      </c>
      <c r="Z28" t="s">
        <v>4</v>
      </c>
      <c r="AA28">
        <v>1</v>
      </c>
      <c r="AB28" t="s">
        <v>5</v>
      </c>
      <c r="AC28">
        <v>0</v>
      </c>
    </row>
    <row r="29" spans="1:29" x14ac:dyDescent="0.25">
      <c r="A29" t="s">
        <v>100</v>
      </c>
      <c r="B29" t="s">
        <v>189</v>
      </c>
      <c r="C29">
        <v>1200</v>
      </c>
      <c r="D29" t="s">
        <v>190</v>
      </c>
      <c r="E29">
        <v>1000000</v>
      </c>
      <c r="F29" t="s">
        <v>191</v>
      </c>
      <c r="G29">
        <v>12345</v>
      </c>
      <c r="H29" t="s">
        <v>192</v>
      </c>
      <c r="I29">
        <v>5.0000000000000001E-4</v>
      </c>
      <c r="J29" t="s">
        <v>3</v>
      </c>
      <c r="K29">
        <v>1</v>
      </c>
      <c r="L29" t="s">
        <v>2</v>
      </c>
      <c r="M29">
        <v>0</v>
      </c>
      <c r="N29" t="s">
        <v>17</v>
      </c>
      <c r="O29">
        <v>12</v>
      </c>
      <c r="P29" t="s">
        <v>0</v>
      </c>
      <c r="Q29">
        <v>14.3</v>
      </c>
      <c r="R29" t="s">
        <v>152</v>
      </c>
      <c r="S29">
        <v>1</v>
      </c>
      <c r="T29" t="s">
        <v>153</v>
      </c>
      <c r="U29">
        <v>4</v>
      </c>
      <c r="V29" t="s">
        <v>151</v>
      </c>
      <c r="W29">
        <v>2574</v>
      </c>
      <c r="X29" t="s">
        <v>1</v>
      </c>
      <c r="Y29" t="s">
        <v>177</v>
      </c>
      <c r="Z29" t="s">
        <v>4</v>
      </c>
      <c r="AA29">
        <v>1</v>
      </c>
      <c r="AB29" t="s">
        <v>5</v>
      </c>
      <c r="AC29">
        <v>0</v>
      </c>
    </row>
    <row r="30" spans="1:29" x14ac:dyDescent="0.25">
      <c r="A30" t="s">
        <v>110</v>
      </c>
      <c r="B30" t="s">
        <v>189</v>
      </c>
      <c r="C30">
        <v>1200</v>
      </c>
      <c r="D30" t="s">
        <v>190</v>
      </c>
      <c r="E30">
        <v>1000000</v>
      </c>
      <c r="F30" t="s">
        <v>191</v>
      </c>
      <c r="G30">
        <v>12345</v>
      </c>
      <c r="H30" t="s">
        <v>192</v>
      </c>
      <c r="I30">
        <v>5.0000000000000001E-4</v>
      </c>
      <c r="J30" t="s">
        <v>3</v>
      </c>
      <c r="K30">
        <v>1</v>
      </c>
      <c r="L30" t="s">
        <v>2</v>
      </c>
      <c r="M30">
        <v>0</v>
      </c>
      <c r="N30" t="s">
        <v>17</v>
      </c>
      <c r="O30">
        <v>16</v>
      </c>
      <c r="P30" t="s">
        <v>0</v>
      </c>
      <c r="Q30">
        <v>31.7</v>
      </c>
      <c r="R30" t="s">
        <v>152</v>
      </c>
      <c r="S30">
        <v>1</v>
      </c>
      <c r="T30" t="s">
        <v>153</v>
      </c>
      <c r="U30">
        <v>5</v>
      </c>
      <c r="V30" t="s">
        <v>151</v>
      </c>
      <c r="W30">
        <v>4929</v>
      </c>
      <c r="X30" t="s">
        <v>1</v>
      </c>
      <c r="Y30" t="s">
        <v>241</v>
      </c>
      <c r="Z30" t="s">
        <v>4</v>
      </c>
      <c r="AA30">
        <v>1</v>
      </c>
      <c r="AB30" t="s">
        <v>5</v>
      </c>
      <c r="AC30">
        <v>0</v>
      </c>
    </row>
    <row r="31" spans="1:29" x14ac:dyDescent="0.25">
      <c r="A31" t="s">
        <v>30</v>
      </c>
      <c r="B31" t="s">
        <v>189</v>
      </c>
      <c r="C31">
        <v>1200</v>
      </c>
      <c r="D31" t="s">
        <v>190</v>
      </c>
      <c r="E31">
        <v>1000000</v>
      </c>
      <c r="F31" t="s">
        <v>191</v>
      </c>
      <c r="G31">
        <v>12345</v>
      </c>
      <c r="H31" t="s">
        <v>192</v>
      </c>
      <c r="I31">
        <v>5.0000000000000001E-4</v>
      </c>
      <c r="J31" t="s">
        <v>3</v>
      </c>
      <c r="K31">
        <v>1</v>
      </c>
      <c r="L31" t="s">
        <v>2</v>
      </c>
      <c r="M31">
        <v>0</v>
      </c>
      <c r="N31" t="s">
        <v>17</v>
      </c>
      <c r="O31">
        <v>14</v>
      </c>
      <c r="P31" t="s">
        <v>0</v>
      </c>
      <c r="Q31">
        <v>790.5</v>
      </c>
      <c r="R31" t="s">
        <v>152</v>
      </c>
      <c r="S31">
        <v>50</v>
      </c>
      <c r="T31" t="s">
        <v>153</v>
      </c>
      <c r="U31">
        <v>211</v>
      </c>
      <c r="V31" t="s">
        <v>151</v>
      </c>
      <c r="W31">
        <v>208449</v>
      </c>
      <c r="X31" t="s">
        <v>1</v>
      </c>
      <c r="Y31" t="s">
        <v>276</v>
      </c>
      <c r="Z31" t="s">
        <v>4</v>
      </c>
      <c r="AA31">
        <v>1</v>
      </c>
      <c r="AB31" t="s">
        <v>5</v>
      </c>
      <c r="AC31">
        <v>0</v>
      </c>
    </row>
    <row r="32" spans="1:29" x14ac:dyDescent="0.25">
      <c r="A32" t="s">
        <v>40</v>
      </c>
      <c r="B32" t="s">
        <v>189</v>
      </c>
      <c r="C32">
        <v>1200</v>
      </c>
      <c r="D32" t="s">
        <v>190</v>
      </c>
      <c r="E32">
        <v>1000000</v>
      </c>
      <c r="F32" t="s">
        <v>191</v>
      </c>
      <c r="G32">
        <v>12345</v>
      </c>
      <c r="H32" t="s">
        <v>192</v>
      </c>
      <c r="I32">
        <v>5.0000000000000001E-4</v>
      </c>
      <c r="J32" t="s">
        <v>3</v>
      </c>
      <c r="K32">
        <v>1</v>
      </c>
      <c r="L32" t="s">
        <v>2</v>
      </c>
      <c r="M32">
        <v>0</v>
      </c>
      <c r="N32" t="s">
        <v>17</v>
      </c>
      <c r="O32">
        <v>10</v>
      </c>
      <c r="P32" t="s">
        <v>0</v>
      </c>
      <c r="Q32">
        <v>7.7</v>
      </c>
      <c r="R32" t="s">
        <v>152</v>
      </c>
      <c r="S32">
        <v>1</v>
      </c>
      <c r="T32" t="s">
        <v>153</v>
      </c>
      <c r="U32">
        <v>3</v>
      </c>
      <c r="V32" t="s">
        <v>151</v>
      </c>
      <c r="W32">
        <v>1479</v>
      </c>
      <c r="X32" t="s">
        <v>1</v>
      </c>
      <c r="Y32" t="s">
        <v>200</v>
      </c>
      <c r="Z32" t="s">
        <v>4</v>
      </c>
      <c r="AA32">
        <v>1</v>
      </c>
      <c r="AB32" t="s">
        <v>5</v>
      </c>
      <c r="AC32">
        <v>0</v>
      </c>
    </row>
    <row r="33" spans="1:29" x14ac:dyDescent="0.25">
      <c r="A33" t="s">
        <v>52</v>
      </c>
      <c r="B33" t="s">
        <v>189</v>
      </c>
      <c r="C33">
        <v>1200</v>
      </c>
      <c r="D33" t="s">
        <v>190</v>
      </c>
      <c r="E33">
        <v>1000000</v>
      </c>
      <c r="F33" t="s">
        <v>191</v>
      </c>
      <c r="G33">
        <v>12345</v>
      </c>
      <c r="H33" t="s">
        <v>192</v>
      </c>
      <c r="I33">
        <v>5.0000000000000001E-4</v>
      </c>
      <c r="J33" t="s">
        <v>3</v>
      </c>
      <c r="K33">
        <v>1</v>
      </c>
      <c r="L33" t="s">
        <v>2</v>
      </c>
      <c r="M33">
        <v>0</v>
      </c>
      <c r="N33" t="s">
        <v>17</v>
      </c>
      <c r="O33">
        <v>18</v>
      </c>
      <c r="P33" t="s">
        <v>0</v>
      </c>
      <c r="Q33">
        <v>25.4</v>
      </c>
      <c r="R33" t="s">
        <v>152</v>
      </c>
      <c r="S33">
        <v>1</v>
      </c>
      <c r="T33" t="s">
        <v>153</v>
      </c>
      <c r="U33">
        <v>5</v>
      </c>
      <c r="V33" t="s">
        <v>151</v>
      </c>
      <c r="W33">
        <v>3750</v>
      </c>
      <c r="X33" t="s">
        <v>1</v>
      </c>
      <c r="Y33" t="s">
        <v>235</v>
      </c>
      <c r="Z33" t="s">
        <v>4</v>
      </c>
      <c r="AA33">
        <v>1</v>
      </c>
      <c r="AB33" t="s">
        <v>5</v>
      </c>
      <c r="AC33">
        <v>0</v>
      </c>
    </row>
    <row r="34" spans="1:29" x14ac:dyDescent="0.25">
      <c r="A34" t="s">
        <v>63</v>
      </c>
      <c r="B34" t="s">
        <v>189</v>
      </c>
      <c r="C34">
        <v>1200</v>
      </c>
      <c r="D34" t="s">
        <v>190</v>
      </c>
      <c r="E34">
        <v>1000000</v>
      </c>
      <c r="F34" t="s">
        <v>191</v>
      </c>
      <c r="G34">
        <v>12345</v>
      </c>
      <c r="H34" t="s">
        <v>192</v>
      </c>
      <c r="I34">
        <v>5.0000000000000001E-4</v>
      </c>
      <c r="J34" t="s">
        <v>3</v>
      </c>
      <c r="K34">
        <v>1</v>
      </c>
      <c r="L34" t="s">
        <v>2</v>
      </c>
      <c r="M34">
        <v>0</v>
      </c>
      <c r="N34" t="s">
        <v>17</v>
      </c>
      <c r="O34">
        <v>8</v>
      </c>
      <c r="P34" t="s">
        <v>0</v>
      </c>
      <c r="Q34">
        <v>6.1</v>
      </c>
      <c r="R34" t="s">
        <v>152</v>
      </c>
      <c r="S34">
        <v>1</v>
      </c>
      <c r="T34" t="s">
        <v>153</v>
      </c>
      <c r="U34">
        <v>3</v>
      </c>
      <c r="V34" t="s">
        <v>151</v>
      </c>
      <c r="W34">
        <v>1182</v>
      </c>
      <c r="X34" t="s">
        <v>1</v>
      </c>
      <c r="Y34" t="s">
        <v>206</v>
      </c>
      <c r="Z34" t="s">
        <v>4</v>
      </c>
      <c r="AA34">
        <v>1</v>
      </c>
      <c r="AB34" t="s">
        <v>5</v>
      </c>
      <c r="AC34">
        <v>0</v>
      </c>
    </row>
    <row r="35" spans="1:29" x14ac:dyDescent="0.25">
      <c r="A35" t="s">
        <v>73</v>
      </c>
      <c r="B35" t="s">
        <v>189</v>
      </c>
      <c r="C35">
        <v>1200</v>
      </c>
      <c r="D35" t="s">
        <v>190</v>
      </c>
      <c r="E35">
        <v>1000000</v>
      </c>
      <c r="F35" t="s">
        <v>191</v>
      </c>
      <c r="G35">
        <v>12345</v>
      </c>
      <c r="H35" t="s">
        <v>192</v>
      </c>
      <c r="I35">
        <v>5.0000000000000001E-4</v>
      </c>
      <c r="J35" t="s">
        <v>3</v>
      </c>
      <c r="K35">
        <v>1</v>
      </c>
      <c r="L35" t="s">
        <v>2</v>
      </c>
      <c r="M35">
        <v>0</v>
      </c>
      <c r="N35" t="s">
        <v>17</v>
      </c>
      <c r="O35">
        <v>8</v>
      </c>
      <c r="P35" t="s">
        <v>0</v>
      </c>
      <c r="Q35">
        <v>6.1</v>
      </c>
      <c r="R35" t="s">
        <v>152</v>
      </c>
      <c r="S35">
        <v>1</v>
      </c>
      <c r="T35" t="s">
        <v>153</v>
      </c>
      <c r="U35">
        <v>3</v>
      </c>
      <c r="V35" t="s">
        <v>151</v>
      </c>
      <c r="W35">
        <v>1184</v>
      </c>
      <c r="X35" t="s">
        <v>1</v>
      </c>
      <c r="Y35" t="s">
        <v>207</v>
      </c>
      <c r="Z35" t="s">
        <v>4</v>
      </c>
      <c r="AA35">
        <v>1</v>
      </c>
      <c r="AB35" t="s">
        <v>5</v>
      </c>
      <c r="AC35">
        <v>0</v>
      </c>
    </row>
    <row r="36" spans="1:29" x14ac:dyDescent="0.25">
      <c r="A36" t="s">
        <v>83</v>
      </c>
      <c r="B36" t="s">
        <v>189</v>
      </c>
      <c r="C36">
        <v>1200</v>
      </c>
      <c r="D36" t="s">
        <v>190</v>
      </c>
      <c r="E36">
        <v>1000000</v>
      </c>
      <c r="F36" t="s">
        <v>191</v>
      </c>
      <c r="G36">
        <v>12345</v>
      </c>
      <c r="H36" t="s">
        <v>192</v>
      </c>
      <c r="I36">
        <v>5.0000000000000001E-4</v>
      </c>
      <c r="J36" t="s">
        <v>3</v>
      </c>
      <c r="K36">
        <v>1</v>
      </c>
      <c r="L36" t="s">
        <v>2</v>
      </c>
      <c r="M36">
        <v>0</v>
      </c>
      <c r="N36" t="s">
        <v>17</v>
      </c>
      <c r="O36">
        <v>12</v>
      </c>
      <c r="P36" t="s">
        <v>0</v>
      </c>
      <c r="Q36">
        <v>14.4</v>
      </c>
      <c r="R36" t="s">
        <v>152</v>
      </c>
      <c r="S36">
        <v>1</v>
      </c>
      <c r="T36" t="s">
        <v>153</v>
      </c>
      <c r="U36">
        <v>4</v>
      </c>
      <c r="V36" t="s">
        <v>151</v>
      </c>
      <c r="W36">
        <v>2553</v>
      </c>
      <c r="X36" t="s">
        <v>1</v>
      </c>
      <c r="Y36" t="s">
        <v>163</v>
      </c>
      <c r="Z36" t="s">
        <v>4</v>
      </c>
      <c r="AA36">
        <v>1</v>
      </c>
      <c r="AB36" t="s">
        <v>5</v>
      </c>
      <c r="AC36">
        <v>0</v>
      </c>
    </row>
    <row r="37" spans="1:29" x14ac:dyDescent="0.25">
      <c r="A37" t="s">
        <v>50</v>
      </c>
      <c r="B37" t="s">
        <v>189</v>
      </c>
      <c r="C37">
        <v>1200</v>
      </c>
      <c r="D37" t="s">
        <v>190</v>
      </c>
      <c r="E37">
        <v>1000000</v>
      </c>
      <c r="F37" t="s">
        <v>191</v>
      </c>
      <c r="G37">
        <v>12345</v>
      </c>
      <c r="H37" t="s">
        <v>192</v>
      </c>
      <c r="I37">
        <v>5.0000000000000001E-4</v>
      </c>
      <c r="J37" t="s">
        <v>3</v>
      </c>
      <c r="K37">
        <v>0.99612120000000004</v>
      </c>
      <c r="L37" t="s">
        <v>2</v>
      </c>
      <c r="M37">
        <v>7.1031499999999997E-2</v>
      </c>
      <c r="N37" t="s">
        <v>17</v>
      </c>
      <c r="O37">
        <v>42</v>
      </c>
      <c r="P37" t="s">
        <v>0</v>
      </c>
      <c r="Q37">
        <v>1200.5</v>
      </c>
      <c r="R37" t="s">
        <v>152</v>
      </c>
      <c r="S37">
        <v>12</v>
      </c>
      <c r="T37" t="s">
        <v>153</v>
      </c>
      <c r="U37">
        <v>54</v>
      </c>
      <c r="V37" t="s">
        <v>151</v>
      </c>
      <c r="W37">
        <v>119850</v>
      </c>
      <c r="X37" t="s">
        <v>1</v>
      </c>
      <c r="Y37" t="e" cm="1">
        <f t="array" ref="Y37">-1.0387395162324+(2.1670451420423*v0)+(-0.3916668066286*V1)+(-0.3803540428345*V2)+((0.2993035707332*v0)*V2)+((0.304837336067*v0)*V1)+((-1.245061293358*v0)*LOG(v0))+(((-0.150227304501*V1)*V2)*LOG(v0))</f>
        <v>#NAME?</v>
      </c>
      <c r="Z37" t="s">
        <v>4</v>
      </c>
      <c r="AA37">
        <v>0.99609190000000003</v>
      </c>
      <c r="AB37" t="s">
        <v>5</v>
      </c>
      <c r="AC37">
        <v>7.0931800000000003E-2</v>
      </c>
    </row>
    <row r="38" spans="1:29" x14ac:dyDescent="0.25">
      <c r="A38" t="s">
        <v>51</v>
      </c>
      <c r="B38" t="s">
        <v>189</v>
      </c>
      <c r="C38">
        <v>1200</v>
      </c>
      <c r="D38" t="s">
        <v>190</v>
      </c>
      <c r="E38">
        <v>1000000</v>
      </c>
      <c r="F38" t="s">
        <v>191</v>
      </c>
      <c r="G38">
        <v>12345</v>
      </c>
      <c r="H38" t="s">
        <v>192</v>
      </c>
      <c r="I38">
        <v>5.0000000000000001E-4</v>
      </c>
      <c r="J38" t="s">
        <v>3</v>
      </c>
      <c r="K38">
        <v>0.99998929999999997</v>
      </c>
      <c r="L38" t="s">
        <v>2</v>
      </c>
      <c r="M38">
        <v>5.2864000000000001E-3</v>
      </c>
      <c r="N38" t="s">
        <v>17</v>
      </c>
      <c r="O38">
        <v>18</v>
      </c>
      <c r="P38" t="s">
        <v>0</v>
      </c>
      <c r="Q38">
        <v>1201.0999999999999</v>
      </c>
      <c r="R38" t="s">
        <v>152</v>
      </c>
      <c r="S38">
        <v>18</v>
      </c>
      <c r="T38" t="s">
        <v>153</v>
      </c>
      <c r="U38">
        <v>94</v>
      </c>
      <c r="V38" t="s">
        <v>151</v>
      </c>
      <c r="W38">
        <v>125385</v>
      </c>
      <c r="X38" t="s">
        <v>1</v>
      </c>
      <c r="Y38" t="s">
        <v>294</v>
      </c>
      <c r="Z38" t="s">
        <v>4</v>
      </c>
      <c r="AA38">
        <v>0.9999884</v>
      </c>
      <c r="AB38" t="s">
        <v>5</v>
      </c>
      <c r="AC38">
        <v>5.5148000000000003E-3</v>
      </c>
    </row>
    <row r="39" spans="1:29" x14ac:dyDescent="0.25">
      <c r="A39" t="s">
        <v>60</v>
      </c>
      <c r="B39" t="s">
        <v>189</v>
      </c>
      <c r="C39">
        <v>1200</v>
      </c>
      <c r="D39" t="s">
        <v>190</v>
      </c>
      <c r="E39">
        <v>1000000</v>
      </c>
      <c r="F39" t="s">
        <v>191</v>
      </c>
      <c r="G39">
        <v>12345</v>
      </c>
      <c r="H39" t="s">
        <v>192</v>
      </c>
      <c r="I39">
        <v>5.0000000000000001E-4</v>
      </c>
      <c r="J39" t="s">
        <v>3</v>
      </c>
      <c r="K39">
        <v>1</v>
      </c>
      <c r="L39" t="s">
        <v>2</v>
      </c>
      <c r="M39">
        <v>0</v>
      </c>
      <c r="N39" t="s">
        <v>17</v>
      </c>
      <c r="O39">
        <v>14</v>
      </c>
      <c r="P39" t="s">
        <v>0</v>
      </c>
      <c r="Q39">
        <v>809.2</v>
      </c>
      <c r="R39" t="s">
        <v>152</v>
      </c>
      <c r="S39">
        <v>8</v>
      </c>
      <c r="T39" t="s">
        <v>153</v>
      </c>
      <c r="U39">
        <v>68</v>
      </c>
      <c r="V39" t="s">
        <v>151</v>
      </c>
      <c r="W39">
        <v>102642</v>
      </c>
      <c r="X39" t="s">
        <v>1</v>
      </c>
      <c r="Y39" t="s">
        <v>278</v>
      </c>
      <c r="Z39" t="s">
        <v>4</v>
      </c>
      <c r="AA39">
        <v>1</v>
      </c>
      <c r="AB39" t="s">
        <v>5</v>
      </c>
      <c r="AC39">
        <v>0</v>
      </c>
    </row>
    <row r="40" spans="1:29" x14ac:dyDescent="0.25">
      <c r="A40" t="s">
        <v>71</v>
      </c>
      <c r="B40" t="s">
        <v>189</v>
      </c>
      <c r="C40">
        <v>1200</v>
      </c>
      <c r="D40" t="s">
        <v>190</v>
      </c>
      <c r="E40">
        <v>1000000</v>
      </c>
      <c r="F40" t="s">
        <v>191</v>
      </c>
      <c r="G40">
        <v>12345</v>
      </c>
      <c r="H40" t="s">
        <v>192</v>
      </c>
      <c r="I40">
        <v>5.0000000000000001E-4</v>
      </c>
      <c r="J40" t="s">
        <v>3</v>
      </c>
      <c r="K40">
        <v>1</v>
      </c>
      <c r="L40" t="s">
        <v>2</v>
      </c>
      <c r="M40">
        <v>0</v>
      </c>
      <c r="N40" t="s">
        <v>17</v>
      </c>
      <c r="O40">
        <v>10</v>
      </c>
      <c r="P40" t="s">
        <v>0</v>
      </c>
      <c r="Q40">
        <v>7.6</v>
      </c>
      <c r="R40" t="s">
        <v>152</v>
      </c>
      <c r="S40">
        <v>1</v>
      </c>
      <c r="T40" t="s">
        <v>153</v>
      </c>
      <c r="U40">
        <v>3</v>
      </c>
      <c r="V40" t="s">
        <v>151</v>
      </c>
      <c r="W40">
        <v>1492</v>
      </c>
      <c r="X40" t="s">
        <v>1</v>
      </c>
      <c r="Y40" t="s">
        <v>211</v>
      </c>
      <c r="Z40" t="s">
        <v>4</v>
      </c>
      <c r="AA40">
        <v>1</v>
      </c>
      <c r="AB40" t="s">
        <v>5</v>
      </c>
      <c r="AC40">
        <v>0</v>
      </c>
    </row>
    <row r="41" spans="1:29" x14ac:dyDescent="0.25">
      <c r="A41" t="s">
        <v>81</v>
      </c>
      <c r="B41" t="s">
        <v>189</v>
      </c>
      <c r="C41">
        <v>1200</v>
      </c>
      <c r="D41" t="s">
        <v>190</v>
      </c>
      <c r="E41">
        <v>1000000</v>
      </c>
      <c r="F41" t="s">
        <v>191</v>
      </c>
      <c r="G41">
        <v>12345</v>
      </c>
      <c r="H41" t="s">
        <v>192</v>
      </c>
      <c r="I41">
        <v>5.0000000000000001E-4</v>
      </c>
      <c r="J41" t="s">
        <v>3</v>
      </c>
      <c r="K41">
        <v>1</v>
      </c>
      <c r="L41" t="s">
        <v>2</v>
      </c>
      <c r="M41">
        <v>0</v>
      </c>
      <c r="N41" t="s">
        <v>17</v>
      </c>
      <c r="O41">
        <v>12</v>
      </c>
      <c r="P41" t="s">
        <v>0</v>
      </c>
      <c r="Q41">
        <v>9.1999999999999993</v>
      </c>
      <c r="R41" t="s">
        <v>152</v>
      </c>
      <c r="S41">
        <v>1</v>
      </c>
      <c r="T41" t="s">
        <v>153</v>
      </c>
      <c r="U41">
        <v>3</v>
      </c>
      <c r="V41" t="s">
        <v>151</v>
      </c>
      <c r="W41">
        <v>1736</v>
      </c>
      <c r="X41" t="s">
        <v>1</v>
      </c>
      <c r="Y41" t="s">
        <v>174</v>
      </c>
      <c r="Z41" t="s">
        <v>4</v>
      </c>
      <c r="AA41">
        <v>1</v>
      </c>
      <c r="AB41" t="s">
        <v>5</v>
      </c>
      <c r="AC41">
        <v>0</v>
      </c>
    </row>
    <row r="42" spans="1:29" x14ac:dyDescent="0.25">
      <c r="A42" t="s">
        <v>31</v>
      </c>
      <c r="B42" t="s">
        <v>189</v>
      </c>
      <c r="C42">
        <v>1200</v>
      </c>
      <c r="D42" t="s">
        <v>190</v>
      </c>
      <c r="E42">
        <v>1000000</v>
      </c>
      <c r="F42" t="s">
        <v>191</v>
      </c>
      <c r="G42">
        <v>12345</v>
      </c>
      <c r="H42" t="s">
        <v>192</v>
      </c>
      <c r="I42">
        <v>5.0000000000000001E-4</v>
      </c>
      <c r="J42" t="s">
        <v>3</v>
      </c>
      <c r="K42">
        <v>0.99704720000000002</v>
      </c>
      <c r="L42" t="s">
        <v>2</v>
      </c>
      <c r="M42">
        <v>0.1193488</v>
      </c>
      <c r="N42" t="s">
        <v>17</v>
      </c>
      <c r="O42">
        <v>32</v>
      </c>
      <c r="P42" t="s">
        <v>0</v>
      </c>
      <c r="Q42">
        <v>1201.0999999999999</v>
      </c>
      <c r="R42" t="s">
        <v>152</v>
      </c>
      <c r="S42">
        <v>21</v>
      </c>
      <c r="T42" t="s">
        <v>153</v>
      </c>
      <c r="U42">
        <v>214</v>
      </c>
      <c r="V42" t="s">
        <v>151</v>
      </c>
      <c r="W42">
        <v>357761</v>
      </c>
      <c r="X42" t="s">
        <v>1</v>
      </c>
      <c r="Y42" t="s">
        <v>386</v>
      </c>
      <c r="Z42" t="s">
        <v>4</v>
      </c>
      <c r="AA42">
        <v>0.99477230000000005</v>
      </c>
      <c r="AB42" t="s">
        <v>5</v>
      </c>
      <c r="AC42">
        <v>0.21412539999999999</v>
      </c>
    </row>
    <row r="43" spans="1:29" x14ac:dyDescent="0.25">
      <c r="A43" t="s">
        <v>32</v>
      </c>
      <c r="B43" t="s">
        <v>189</v>
      </c>
      <c r="C43">
        <v>1200</v>
      </c>
      <c r="D43" t="s">
        <v>190</v>
      </c>
      <c r="E43">
        <v>1000000</v>
      </c>
      <c r="F43" t="s">
        <v>191</v>
      </c>
      <c r="G43">
        <v>12345</v>
      </c>
      <c r="H43" t="s">
        <v>192</v>
      </c>
      <c r="I43">
        <v>5.0000000000000001E-4</v>
      </c>
      <c r="J43" t="s">
        <v>3</v>
      </c>
      <c r="K43">
        <v>0.99994369999999999</v>
      </c>
      <c r="L43" t="s">
        <v>2</v>
      </c>
      <c r="M43">
        <v>5.2570000000000004E-4</v>
      </c>
      <c r="N43" t="s">
        <v>17</v>
      </c>
      <c r="O43">
        <v>11</v>
      </c>
      <c r="P43" t="s">
        <v>0</v>
      </c>
      <c r="Q43">
        <v>1203.0999999999999</v>
      </c>
      <c r="R43" t="s">
        <v>152</v>
      </c>
      <c r="S43">
        <v>44</v>
      </c>
      <c r="T43" t="s">
        <v>153</v>
      </c>
      <c r="U43">
        <v>103</v>
      </c>
      <c r="V43" t="s">
        <v>151</v>
      </c>
      <c r="W43">
        <v>57391</v>
      </c>
      <c r="X43" t="s">
        <v>1</v>
      </c>
      <c r="Y43" t="s">
        <v>199</v>
      </c>
      <c r="Z43" t="s">
        <v>4</v>
      </c>
      <c r="AA43">
        <v>0.99994249999999996</v>
      </c>
      <c r="AB43" t="s">
        <v>5</v>
      </c>
      <c r="AC43">
        <v>5.3030000000000004E-4</v>
      </c>
    </row>
    <row r="44" spans="1:29" x14ac:dyDescent="0.25">
      <c r="A44" t="s">
        <v>41</v>
      </c>
      <c r="B44" t="s">
        <v>189</v>
      </c>
      <c r="C44">
        <v>1200</v>
      </c>
      <c r="D44" t="s">
        <v>190</v>
      </c>
      <c r="E44">
        <v>1000000</v>
      </c>
      <c r="F44" t="s">
        <v>191</v>
      </c>
      <c r="G44">
        <v>12345</v>
      </c>
      <c r="H44" t="s">
        <v>192</v>
      </c>
      <c r="I44">
        <v>5.0000000000000001E-4</v>
      </c>
      <c r="J44" t="s">
        <v>3</v>
      </c>
      <c r="K44">
        <v>1</v>
      </c>
      <c r="L44" t="s">
        <v>2</v>
      </c>
      <c r="M44">
        <v>0</v>
      </c>
      <c r="N44" t="s">
        <v>17</v>
      </c>
      <c r="O44">
        <v>8</v>
      </c>
      <c r="P44" t="s">
        <v>0</v>
      </c>
      <c r="Q44">
        <v>5.2</v>
      </c>
      <c r="R44" t="s">
        <v>152</v>
      </c>
      <c r="S44">
        <v>1</v>
      </c>
      <c r="T44" t="s">
        <v>153</v>
      </c>
      <c r="U44">
        <v>3</v>
      </c>
      <c r="V44" t="s">
        <v>151</v>
      </c>
      <c r="W44">
        <v>1036</v>
      </c>
      <c r="X44" t="s">
        <v>1</v>
      </c>
      <c r="Y44" t="s">
        <v>205</v>
      </c>
      <c r="Z44" t="s">
        <v>4</v>
      </c>
      <c r="AA44">
        <v>1</v>
      </c>
      <c r="AB44" t="s">
        <v>5</v>
      </c>
      <c r="AC44">
        <v>0</v>
      </c>
    </row>
    <row r="45" spans="1:29" x14ac:dyDescent="0.25">
      <c r="A45" t="s">
        <v>42</v>
      </c>
      <c r="B45" t="s">
        <v>189</v>
      </c>
      <c r="C45">
        <v>1200</v>
      </c>
      <c r="D45" t="s">
        <v>190</v>
      </c>
      <c r="E45">
        <v>1000000</v>
      </c>
      <c r="F45" t="s">
        <v>191</v>
      </c>
      <c r="G45">
        <v>12345</v>
      </c>
      <c r="H45" t="s">
        <v>192</v>
      </c>
      <c r="I45">
        <v>5.0000000000000001E-4</v>
      </c>
      <c r="J45" t="s">
        <v>3</v>
      </c>
      <c r="K45">
        <v>1</v>
      </c>
      <c r="L45" t="s">
        <v>2</v>
      </c>
      <c r="M45">
        <v>0</v>
      </c>
      <c r="N45" t="s">
        <v>17</v>
      </c>
      <c r="O45">
        <v>8</v>
      </c>
      <c r="P45" t="s">
        <v>0</v>
      </c>
      <c r="Q45">
        <v>5.3</v>
      </c>
      <c r="R45" t="s">
        <v>152</v>
      </c>
      <c r="S45">
        <v>1</v>
      </c>
      <c r="T45" t="s">
        <v>153</v>
      </c>
      <c r="U45">
        <v>3</v>
      </c>
      <c r="V45" t="s">
        <v>151</v>
      </c>
      <c r="W45">
        <v>1036</v>
      </c>
      <c r="X45" t="s">
        <v>1</v>
      </c>
      <c r="Y45" t="s">
        <v>205</v>
      </c>
      <c r="Z45" t="s">
        <v>4</v>
      </c>
      <c r="AA45">
        <v>1</v>
      </c>
      <c r="AB45" t="s">
        <v>5</v>
      </c>
      <c r="AC45">
        <v>0</v>
      </c>
    </row>
    <row r="46" spans="1:29" x14ac:dyDescent="0.25">
      <c r="A46" t="s">
        <v>55</v>
      </c>
      <c r="B46" t="s">
        <v>189</v>
      </c>
      <c r="C46">
        <v>1200</v>
      </c>
      <c r="D46" t="s">
        <v>190</v>
      </c>
      <c r="E46">
        <v>1000000</v>
      </c>
      <c r="F46" t="s">
        <v>191</v>
      </c>
      <c r="G46">
        <v>12345</v>
      </c>
      <c r="H46" t="s">
        <v>192</v>
      </c>
      <c r="I46">
        <v>5.0000000000000001E-4</v>
      </c>
      <c r="J46" t="s">
        <v>3</v>
      </c>
      <c r="K46">
        <v>0.9999979</v>
      </c>
      <c r="L46" t="s">
        <v>2</v>
      </c>
      <c r="M46">
        <v>3.0731999999999999E-3</v>
      </c>
      <c r="N46" t="s">
        <v>17</v>
      </c>
      <c r="O46">
        <v>32</v>
      </c>
      <c r="P46" t="s">
        <v>0</v>
      </c>
      <c r="Q46">
        <v>1202.5</v>
      </c>
      <c r="R46" t="s">
        <v>152</v>
      </c>
      <c r="S46">
        <v>14</v>
      </c>
      <c r="T46" t="s">
        <v>153</v>
      </c>
      <c r="U46">
        <v>71</v>
      </c>
      <c r="V46" t="s">
        <v>151</v>
      </c>
      <c r="W46">
        <v>127529</v>
      </c>
      <c r="X46" t="s">
        <v>1</v>
      </c>
      <c r="Y46" t="s">
        <v>387</v>
      </c>
      <c r="Z46" t="s">
        <v>4</v>
      </c>
      <c r="AA46">
        <v>0.9999979</v>
      </c>
      <c r="AB46" t="s">
        <v>5</v>
      </c>
      <c r="AC46">
        <v>3.0596E-3</v>
      </c>
    </row>
    <row r="47" spans="1:29" x14ac:dyDescent="0.25">
      <c r="A47" t="s">
        <v>58</v>
      </c>
      <c r="B47" t="s">
        <v>189</v>
      </c>
      <c r="C47">
        <v>1200</v>
      </c>
      <c r="D47" t="s">
        <v>190</v>
      </c>
      <c r="E47">
        <v>1000000</v>
      </c>
      <c r="F47" t="s">
        <v>191</v>
      </c>
      <c r="G47">
        <v>12345</v>
      </c>
      <c r="H47" t="s">
        <v>192</v>
      </c>
      <c r="I47">
        <v>5.0000000000000001E-4</v>
      </c>
      <c r="J47" t="s">
        <v>3</v>
      </c>
      <c r="K47">
        <v>0.99999950000000004</v>
      </c>
      <c r="L47" t="s">
        <v>2</v>
      </c>
      <c r="M47">
        <v>8.8449999999999998E-4</v>
      </c>
      <c r="N47" t="s">
        <v>17</v>
      </c>
      <c r="O47">
        <v>19</v>
      </c>
      <c r="P47" t="s">
        <v>0</v>
      </c>
      <c r="Q47">
        <v>1202.5999999999999</v>
      </c>
      <c r="R47" t="s">
        <v>152</v>
      </c>
      <c r="S47">
        <v>25</v>
      </c>
      <c r="T47" t="s">
        <v>153</v>
      </c>
      <c r="U47">
        <v>84</v>
      </c>
      <c r="V47" t="s">
        <v>151</v>
      </c>
      <c r="W47">
        <v>110650</v>
      </c>
      <c r="X47" t="s">
        <v>1</v>
      </c>
      <c r="Y47" t="s">
        <v>388</v>
      </c>
      <c r="Z47" t="s">
        <v>4</v>
      </c>
      <c r="AA47">
        <v>0.99999950000000004</v>
      </c>
      <c r="AB47" t="s">
        <v>5</v>
      </c>
      <c r="AC47">
        <v>8.8409999999999997E-4</v>
      </c>
    </row>
    <row r="48" spans="1:29" x14ac:dyDescent="0.25">
      <c r="A48" t="s">
        <v>57</v>
      </c>
      <c r="B48" t="s">
        <v>189</v>
      </c>
      <c r="C48">
        <v>1200</v>
      </c>
      <c r="D48" t="s">
        <v>190</v>
      </c>
      <c r="E48">
        <v>1000000</v>
      </c>
      <c r="F48" t="s">
        <v>191</v>
      </c>
      <c r="G48">
        <v>12345</v>
      </c>
      <c r="H48" t="s">
        <v>192</v>
      </c>
      <c r="I48">
        <v>5.0000000000000001E-4</v>
      </c>
      <c r="J48" t="s">
        <v>3</v>
      </c>
      <c r="K48">
        <v>0.99999950000000004</v>
      </c>
      <c r="L48" t="s">
        <v>2</v>
      </c>
      <c r="M48">
        <v>8.451E-4</v>
      </c>
      <c r="N48" t="s">
        <v>17</v>
      </c>
      <c r="O48">
        <v>27</v>
      </c>
      <c r="P48" t="s">
        <v>0</v>
      </c>
      <c r="Q48">
        <v>1200.5</v>
      </c>
      <c r="R48" t="s">
        <v>152</v>
      </c>
      <c r="S48">
        <v>22</v>
      </c>
      <c r="T48" t="s">
        <v>153</v>
      </c>
      <c r="U48">
        <v>82</v>
      </c>
      <c r="V48" t="s">
        <v>151</v>
      </c>
      <c r="W48">
        <v>115855</v>
      </c>
      <c r="X48" t="s">
        <v>1</v>
      </c>
      <c r="Y48" t="s">
        <v>389</v>
      </c>
      <c r="Z48" t="s">
        <v>4</v>
      </c>
      <c r="AA48">
        <v>0.99999950000000004</v>
      </c>
      <c r="AB48" t="s">
        <v>5</v>
      </c>
      <c r="AC48">
        <v>8.6680000000000004E-4</v>
      </c>
    </row>
    <row r="49" spans="1:29" x14ac:dyDescent="0.25">
      <c r="A49" t="s">
        <v>53</v>
      </c>
      <c r="B49" t="s">
        <v>189</v>
      </c>
      <c r="C49">
        <v>1200</v>
      </c>
      <c r="D49" t="s">
        <v>190</v>
      </c>
      <c r="E49">
        <v>1000000</v>
      </c>
      <c r="F49" t="s">
        <v>191</v>
      </c>
      <c r="G49">
        <v>12345</v>
      </c>
      <c r="H49" t="s">
        <v>192</v>
      </c>
      <c r="I49">
        <v>5.0000000000000001E-4</v>
      </c>
      <c r="J49" t="s">
        <v>3</v>
      </c>
      <c r="K49">
        <v>1</v>
      </c>
      <c r="L49" t="s">
        <v>2</v>
      </c>
      <c r="M49">
        <v>0</v>
      </c>
      <c r="N49" t="s">
        <v>17</v>
      </c>
      <c r="O49">
        <v>12</v>
      </c>
      <c r="P49" t="s">
        <v>0</v>
      </c>
      <c r="Q49">
        <v>14.2</v>
      </c>
      <c r="R49" t="s">
        <v>152</v>
      </c>
      <c r="S49">
        <v>1</v>
      </c>
      <c r="T49" t="s">
        <v>153</v>
      </c>
      <c r="U49">
        <v>4</v>
      </c>
      <c r="V49" t="s">
        <v>151</v>
      </c>
      <c r="W49">
        <v>2549</v>
      </c>
      <c r="X49" t="s">
        <v>1</v>
      </c>
      <c r="Y49" t="s">
        <v>226</v>
      </c>
      <c r="Z49" t="s">
        <v>4</v>
      </c>
      <c r="AA49">
        <v>1</v>
      </c>
      <c r="AB49" t="s">
        <v>5</v>
      </c>
      <c r="AC49">
        <v>0</v>
      </c>
    </row>
    <row r="50" spans="1:29" x14ac:dyDescent="0.25">
      <c r="A50" t="s">
        <v>66</v>
      </c>
      <c r="B50" t="s">
        <v>189</v>
      </c>
      <c r="C50">
        <v>1200</v>
      </c>
      <c r="D50" t="s">
        <v>190</v>
      </c>
      <c r="E50">
        <v>1000000</v>
      </c>
      <c r="F50" t="s">
        <v>191</v>
      </c>
      <c r="G50">
        <v>12345</v>
      </c>
      <c r="H50" t="s">
        <v>192</v>
      </c>
      <c r="I50">
        <v>5.0000000000000001E-4</v>
      </c>
      <c r="J50" t="s">
        <v>3</v>
      </c>
      <c r="K50">
        <v>1</v>
      </c>
      <c r="L50" t="s">
        <v>2</v>
      </c>
      <c r="M50">
        <v>0</v>
      </c>
      <c r="N50" t="s">
        <v>17</v>
      </c>
      <c r="O50">
        <v>10</v>
      </c>
      <c r="P50" t="s">
        <v>0</v>
      </c>
      <c r="Q50">
        <v>7.7</v>
      </c>
      <c r="R50" t="s">
        <v>152</v>
      </c>
      <c r="S50">
        <v>1</v>
      </c>
      <c r="T50" t="s">
        <v>153</v>
      </c>
      <c r="U50">
        <v>3</v>
      </c>
      <c r="V50" t="s">
        <v>151</v>
      </c>
      <c r="W50">
        <v>1492</v>
      </c>
      <c r="X50" t="s">
        <v>1</v>
      </c>
      <c r="Y50" t="s">
        <v>161</v>
      </c>
      <c r="Z50" t="s">
        <v>4</v>
      </c>
      <c r="AA50">
        <v>1</v>
      </c>
      <c r="AB50" t="s">
        <v>5</v>
      </c>
      <c r="AC50">
        <v>0</v>
      </c>
    </row>
    <row r="51" spans="1:29" x14ac:dyDescent="0.25">
      <c r="A51" t="s">
        <v>69</v>
      </c>
      <c r="B51" t="s">
        <v>189</v>
      </c>
      <c r="C51">
        <v>1200</v>
      </c>
      <c r="D51" t="s">
        <v>190</v>
      </c>
      <c r="E51">
        <v>1000000</v>
      </c>
      <c r="F51" t="s">
        <v>191</v>
      </c>
      <c r="G51">
        <v>12345</v>
      </c>
      <c r="H51" t="s">
        <v>192</v>
      </c>
      <c r="I51">
        <v>5.0000000000000001E-4</v>
      </c>
      <c r="J51" t="s">
        <v>3</v>
      </c>
      <c r="K51">
        <v>1</v>
      </c>
      <c r="L51" t="s">
        <v>2</v>
      </c>
      <c r="M51">
        <v>0</v>
      </c>
      <c r="N51" t="s">
        <v>17</v>
      </c>
      <c r="O51">
        <v>9</v>
      </c>
      <c r="P51" t="s">
        <v>0</v>
      </c>
      <c r="Q51">
        <v>8</v>
      </c>
      <c r="R51" t="s">
        <v>152</v>
      </c>
      <c r="S51">
        <v>1</v>
      </c>
      <c r="T51" t="s">
        <v>153</v>
      </c>
      <c r="U51">
        <v>4</v>
      </c>
      <c r="V51" t="s">
        <v>151</v>
      </c>
      <c r="W51">
        <v>1540</v>
      </c>
      <c r="X51" t="s">
        <v>1</v>
      </c>
      <c r="Y51" t="s">
        <v>178</v>
      </c>
      <c r="Z51" t="s">
        <v>4</v>
      </c>
      <c r="AA51">
        <v>1</v>
      </c>
      <c r="AB51" t="s">
        <v>5</v>
      </c>
      <c r="AC51">
        <v>0</v>
      </c>
    </row>
    <row r="52" spans="1:29" x14ac:dyDescent="0.25">
      <c r="A52" t="s">
        <v>54</v>
      </c>
      <c r="B52" t="s">
        <v>189</v>
      </c>
      <c r="C52">
        <v>1200</v>
      </c>
      <c r="D52" t="s">
        <v>190</v>
      </c>
      <c r="E52">
        <v>1000000</v>
      </c>
      <c r="F52" t="s">
        <v>191</v>
      </c>
      <c r="G52">
        <v>12345</v>
      </c>
      <c r="H52" t="s">
        <v>192</v>
      </c>
      <c r="I52">
        <v>5.0000000000000001E-4</v>
      </c>
      <c r="J52" t="s">
        <v>3</v>
      </c>
      <c r="K52">
        <v>1</v>
      </c>
      <c r="L52" t="s">
        <v>2</v>
      </c>
      <c r="M52">
        <v>0</v>
      </c>
      <c r="N52" t="s">
        <v>17</v>
      </c>
      <c r="O52">
        <v>12</v>
      </c>
      <c r="P52" t="s">
        <v>0</v>
      </c>
      <c r="Q52">
        <v>14.6</v>
      </c>
      <c r="R52" t="s">
        <v>152</v>
      </c>
      <c r="S52">
        <v>1</v>
      </c>
      <c r="T52" t="s">
        <v>153</v>
      </c>
      <c r="U52">
        <v>5</v>
      </c>
      <c r="V52" t="s">
        <v>151</v>
      </c>
      <c r="W52">
        <v>2522</v>
      </c>
      <c r="X52" t="s">
        <v>1</v>
      </c>
      <c r="Y52" t="s">
        <v>230</v>
      </c>
      <c r="Z52" t="s">
        <v>4</v>
      </c>
      <c r="AA52">
        <v>1</v>
      </c>
      <c r="AB52" t="s">
        <v>5</v>
      </c>
      <c r="AC52">
        <v>0</v>
      </c>
    </row>
    <row r="53" spans="1:29" x14ac:dyDescent="0.25">
      <c r="A53" t="s">
        <v>76</v>
      </c>
      <c r="B53" t="s">
        <v>189</v>
      </c>
      <c r="C53">
        <v>1200</v>
      </c>
      <c r="D53" t="s">
        <v>190</v>
      </c>
      <c r="E53">
        <v>1000000</v>
      </c>
      <c r="F53" t="s">
        <v>191</v>
      </c>
      <c r="G53">
        <v>12345</v>
      </c>
      <c r="H53" t="s">
        <v>192</v>
      </c>
      <c r="I53">
        <v>5.0000000000000001E-4</v>
      </c>
      <c r="J53" t="s">
        <v>3</v>
      </c>
      <c r="K53">
        <v>1</v>
      </c>
      <c r="L53" t="s">
        <v>2</v>
      </c>
      <c r="M53">
        <v>0</v>
      </c>
      <c r="N53" t="s">
        <v>17</v>
      </c>
      <c r="O53">
        <v>10</v>
      </c>
      <c r="P53" t="s">
        <v>0</v>
      </c>
      <c r="Q53">
        <v>7.8</v>
      </c>
      <c r="R53" t="s">
        <v>152</v>
      </c>
      <c r="S53">
        <v>1</v>
      </c>
      <c r="T53" t="s">
        <v>153</v>
      </c>
      <c r="U53">
        <v>3</v>
      </c>
      <c r="V53" t="s">
        <v>151</v>
      </c>
      <c r="W53">
        <v>1486</v>
      </c>
      <c r="X53" t="s">
        <v>1</v>
      </c>
      <c r="Y53" t="s">
        <v>208</v>
      </c>
      <c r="Z53" t="s">
        <v>4</v>
      </c>
      <c r="AA53">
        <v>1</v>
      </c>
      <c r="AB53" t="s">
        <v>5</v>
      </c>
      <c r="AC53">
        <v>0</v>
      </c>
    </row>
    <row r="54" spans="1:29" x14ac:dyDescent="0.25">
      <c r="A54" t="s">
        <v>68</v>
      </c>
      <c r="B54" t="s">
        <v>189</v>
      </c>
      <c r="C54">
        <v>1200</v>
      </c>
      <c r="D54" t="s">
        <v>190</v>
      </c>
      <c r="E54">
        <v>1000000</v>
      </c>
      <c r="F54" t="s">
        <v>191</v>
      </c>
      <c r="G54">
        <v>12345</v>
      </c>
      <c r="H54" t="s">
        <v>192</v>
      </c>
      <c r="I54">
        <v>5.0000000000000001E-4</v>
      </c>
      <c r="J54" t="s">
        <v>3</v>
      </c>
      <c r="K54">
        <v>1</v>
      </c>
      <c r="L54" t="s">
        <v>2</v>
      </c>
      <c r="M54">
        <v>0</v>
      </c>
      <c r="N54" t="s">
        <v>17</v>
      </c>
      <c r="O54">
        <v>14</v>
      </c>
      <c r="P54" t="s">
        <v>0</v>
      </c>
      <c r="Q54">
        <v>19.8</v>
      </c>
      <c r="R54" t="s">
        <v>152</v>
      </c>
      <c r="S54">
        <v>1</v>
      </c>
      <c r="T54" t="s">
        <v>153</v>
      </c>
      <c r="U54">
        <v>5</v>
      </c>
      <c r="V54" t="s">
        <v>151</v>
      </c>
      <c r="W54">
        <v>3364</v>
      </c>
      <c r="X54" t="s">
        <v>1</v>
      </c>
      <c r="Y54" t="s">
        <v>244</v>
      </c>
      <c r="Z54" t="s">
        <v>4</v>
      </c>
      <c r="AA54">
        <v>1</v>
      </c>
      <c r="AB54" t="s">
        <v>5</v>
      </c>
      <c r="AC54">
        <v>0</v>
      </c>
    </row>
    <row r="55" spans="1:29" x14ac:dyDescent="0.25">
      <c r="A55" t="s">
        <v>78</v>
      </c>
      <c r="B55" t="s">
        <v>189</v>
      </c>
      <c r="C55">
        <v>1200</v>
      </c>
      <c r="D55" t="s">
        <v>190</v>
      </c>
      <c r="E55">
        <v>1000000</v>
      </c>
      <c r="F55" t="s">
        <v>191</v>
      </c>
      <c r="G55">
        <v>12345</v>
      </c>
      <c r="H55" t="s">
        <v>192</v>
      </c>
      <c r="I55">
        <v>5.0000000000000001E-4</v>
      </c>
      <c r="J55" t="s">
        <v>3</v>
      </c>
      <c r="K55">
        <v>1</v>
      </c>
      <c r="L55" t="s">
        <v>2</v>
      </c>
      <c r="M55">
        <v>0</v>
      </c>
      <c r="N55" t="s">
        <v>17</v>
      </c>
      <c r="O55">
        <v>9</v>
      </c>
      <c r="P55" t="s">
        <v>0</v>
      </c>
      <c r="Q55">
        <v>7.6</v>
      </c>
      <c r="R55" t="s">
        <v>152</v>
      </c>
      <c r="S55">
        <v>1</v>
      </c>
      <c r="T55" t="s">
        <v>153</v>
      </c>
      <c r="U55">
        <v>4</v>
      </c>
      <c r="V55" t="s">
        <v>151</v>
      </c>
      <c r="W55">
        <v>1546</v>
      </c>
      <c r="X55" t="s">
        <v>1</v>
      </c>
      <c r="Y55" t="s">
        <v>186</v>
      </c>
      <c r="Z55" t="s">
        <v>4</v>
      </c>
      <c r="AA55">
        <v>1</v>
      </c>
      <c r="AB55" t="s">
        <v>5</v>
      </c>
      <c r="AC55">
        <v>0</v>
      </c>
    </row>
    <row r="56" spans="1:29" x14ac:dyDescent="0.25">
      <c r="A56" t="s">
        <v>56</v>
      </c>
      <c r="B56" t="s">
        <v>189</v>
      </c>
      <c r="C56">
        <v>1200</v>
      </c>
      <c r="D56" t="s">
        <v>190</v>
      </c>
      <c r="E56">
        <v>1000000</v>
      </c>
      <c r="F56" t="s">
        <v>191</v>
      </c>
      <c r="G56">
        <v>12345</v>
      </c>
      <c r="H56" t="s">
        <v>192</v>
      </c>
      <c r="I56">
        <v>5.0000000000000001E-4</v>
      </c>
      <c r="J56" t="s">
        <v>3</v>
      </c>
      <c r="K56">
        <v>0.99999990000000005</v>
      </c>
      <c r="L56" t="s">
        <v>2</v>
      </c>
      <c r="M56">
        <v>7.8799999999999996E-4</v>
      </c>
      <c r="N56" t="s">
        <v>17</v>
      </c>
      <c r="O56">
        <v>29</v>
      </c>
      <c r="P56" t="s">
        <v>0</v>
      </c>
      <c r="Q56">
        <v>1201.3</v>
      </c>
      <c r="R56" t="s">
        <v>152</v>
      </c>
      <c r="S56">
        <v>16</v>
      </c>
      <c r="T56" t="s">
        <v>153</v>
      </c>
      <c r="U56">
        <v>63</v>
      </c>
      <c r="V56" t="s">
        <v>151</v>
      </c>
      <c r="W56">
        <v>119637</v>
      </c>
      <c r="X56" t="s">
        <v>1</v>
      </c>
      <c r="Y56" t="s">
        <v>390</v>
      </c>
      <c r="Z56" t="s">
        <v>4</v>
      </c>
      <c r="AA56">
        <v>0.99999990000000005</v>
      </c>
      <c r="AB56" t="s">
        <v>5</v>
      </c>
      <c r="AC56">
        <v>7.9929999999999997E-4</v>
      </c>
    </row>
    <row r="57" spans="1:29" x14ac:dyDescent="0.25">
      <c r="A57" t="s">
        <v>79</v>
      </c>
      <c r="B57" t="s">
        <v>189</v>
      </c>
      <c r="C57">
        <v>1200</v>
      </c>
      <c r="D57" t="s">
        <v>190</v>
      </c>
      <c r="E57">
        <v>1000000</v>
      </c>
      <c r="F57" t="s">
        <v>191</v>
      </c>
      <c r="G57">
        <v>12345</v>
      </c>
      <c r="H57" t="s">
        <v>192</v>
      </c>
      <c r="I57">
        <v>5.0000000000000001E-4</v>
      </c>
      <c r="J57" t="s">
        <v>3</v>
      </c>
      <c r="K57">
        <v>1</v>
      </c>
      <c r="L57" t="s">
        <v>2</v>
      </c>
      <c r="M57">
        <v>0</v>
      </c>
      <c r="N57" t="s">
        <v>17</v>
      </c>
      <c r="O57">
        <v>10</v>
      </c>
      <c r="P57" t="s">
        <v>0</v>
      </c>
      <c r="Q57">
        <v>34.299999999999997</v>
      </c>
      <c r="R57" t="s">
        <v>152</v>
      </c>
      <c r="S57">
        <v>1</v>
      </c>
      <c r="T57" t="s">
        <v>153</v>
      </c>
      <c r="U57">
        <v>7</v>
      </c>
      <c r="V57" t="s">
        <v>151</v>
      </c>
      <c r="W57">
        <v>5268</v>
      </c>
      <c r="X57" t="s">
        <v>1</v>
      </c>
      <c r="Y57" t="s">
        <v>229</v>
      </c>
      <c r="Z57" t="s">
        <v>4</v>
      </c>
      <c r="AA57">
        <v>1</v>
      </c>
      <c r="AB57" t="s">
        <v>5</v>
      </c>
      <c r="AC57">
        <v>0</v>
      </c>
    </row>
    <row r="58" spans="1:29" x14ac:dyDescent="0.25">
      <c r="A58" t="s">
        <v>120</v>
      </c>
      <c r="B58" t="s">
        <v>189</v>
      </c>
      <c r="C58">
        <v>1200</v>
      </c>
      <c r="D58" t="s">
        <v>190</v>
      </c>
      <c r="E58">
        <v>1000000</v>
      </c>
      <c r="F58" t="s">
        <v>191</v>
      </c>
      <c r="G58">
        <v>12345</v>
      </c>
      <c r="H58" t="s">
        <v>192</v>
      </c>
      <c r="I58">
        <v>5.0000000000000001E-4</v>
      </c>
      <c r="J58" t="s">
        <v>3</v>
      </c>
      <c r="K58">
        <v>0.99860559999999998</v>
      </c>
      <c r="L58" t="s">
        <v>2</v>
      </c>
      <c r="M58">
        <v>1.1824599999999999E-2</v>
      </c>
      <c r="N58" t="s">
        <v>17</v>
      </c>
      <c r="O58">
        <v>24</v>
      </c>
      <c r="P58" t="s">
        <v>0</v>
      </c>
      <c r="Q58">
        <v>1200.2</v>
      </c>
      <c r="R58" t="s">
        <v>152</v>
      </c>
      <c r="S58">
        <v>9</v>
      </c>
      <c r="T58" t="s">
        <v>153</v>
      </c>
      <c r="U58">
        <v>56</v>
      </c>
      <c r="V58" t="s">
        <v>151</v>
      </c>
      <c r="W58">
        <v>138109</v>
      </c>
      <c r="X58" t="s">
        <v>1</v>
      </c>
      <c r="Y58" t="s">
        <v>391</v>
      </c>
      <c r="Z58" t="s">
        <v>4</v>
      </c>
      <c r="AA58">
        <v>0.99864529999999996</v>
      </c>
      <c r="AB58" t="s">
        <v>5</v>
      </c>
      <c r="AC58">
        <v>1.1686800000000001E-2</v>
      </c>
    </row>
    <row r="59" spans="1:29" x14ac:dyDescent="0.25">
      <c r="A59" t="s">
        <v>93</v>
      </c>
      <c r="B59" t="s">
        <v>189</v>
      </c>
      <c r="C59">
        <v>1200</v>
      </c>
      <c r="D59" t="s">
        <v>190</v>
      </c>
      <c r="E59">
        <v>1000000</v>
      </c>
      <c r="F59" t="s">
        <v>191</v>
      </c>
      <c r="G59">
        <v>12345</v>
      </c>
      <c r="H59" t="s">
        <v>192</v>
      </c>
      <c r="I59">
        <v>5.0000000000000001E-4</v>
      </c>
      <c r="J59" t="s">
        <v>3</v>
      </c>
      <c r="K59">
        <v>0.99993860000000001</v>
      </c>
      <c r="L59" t="s">
        <v>2</v>
      </c>
      <c r="M59">
        <v>1.25694E-2</v>
      </c>
      <c r="N59" t="s">
        <v>17</v>
      </c>
      <c r="O59">
        <v>43</v>
      </c>
      <c r="P59" t="s">
        <v>0</v>
      </c>
      <c r="Q59">
        <v>1200.4000000000001</v>
      </c>
      <c r="R59" t="s">
        <v>152</v>
      </c>
      <c r="S59">
        <v>10</v>
      </c>
      <c r="T59" t="s">
        <v>153</v>
      </c>
      <c r="U59">
        <v>56</v>
      </c>
      <c r="V59" t="s">
        <v>151</v>
      </c>
      <c r="W59">
        <v>127632</v>
      </c>
      <c r="X59" t="s">
        <v>1</v>
      </c>
      <c r="Y59" t="s">
        <v>392</v>
      </c>
      <c r="Z59" t="s">
        <v>4</v>
      </c>
      <c r="AA59">
        <v>0.99994609999999995</v>
      </c>
      <c r="AB59" t="s">
        <v>5</v>
      </c>
      <c r="AC59">
        <v>1.17626E-2</v>
      </c>
    </row>
    <row r="60" spans="1:29" x14ac:dyDescent="0.25">
      <c r="A60" t="s">
        <v>61</v>
      </c>
      <c r="B60" t="s">
        <v>189</v>
      </c>
      <c r="C60">
        <v>1200</v>
      </c>
      <c r="D60" t="s">
        <v>190</v>
      </c>
      <c r="E60">
        <v>1000000</v>
      </c>
      <c r="F60" t="s">
        <v>191</v>
      </c>
      <c r="G60">
        <v>12345</v>
      </c>
      <c r="H60" t="s">
        <v>192</v>
      </c>
      <c r="I60">
        <v>5.0000000000000001E-4</v>
      </c>
      <c r="J60" t="s">
        <v>3</v>
      </c>
      <c r="K60">
        <v>0.99997840000000005</v>
      </c>
      <c r="L60" t="s">
        <v>2</v>
      </c>
      <c r="M60">
        <v>1.33521E-2</v>
      </c>
      <c r="N60" t="s">
        <v>17</v>
      </c>
      <c r="O60">
        <v>66</v>
      </c>
      <c r="P60" t="s">
        <v>0</v>
      </c>
      <c r="Q60">
        <v>1200.2</v>
      </c>
      <c r="R60" t="s">
        <v>152</v>
      </c>
      <c r="S60">
        <v>5</v>
      </c>
      <c r="T60" t="s">
        <v>153</v>
      </c>
      <c r="U60">
        <v>36</v>
      </c>
      <c r="V60" t="s">
        <v>151</v>
      </c>
      <c r="W60">
        <v>116467</v>
      </c>
      <c r="X60" t="s">
        <v>1</v>
      </c>
      <c r="Y60" t="e" cm="1">
        <f t="array" aca="1" ref="Y60" ca="1">-0.0089553197486+(1.0012361938433*v0)+(1.0017229051224*V1)+((0.9366874531259*v0)*COS(V2))+((1.086193402993*V1)*COS(V2))+((0.127895039056*COS(V2))*LOG(((V1*EXP((pow((-1+(-0.5*V1)),-1)*pow((v0+(-1*V1)),2))))*EXP(((0.5*pow(v0,-1))*pow((-1+(-1*pow(V1,2))),1))))))</f>
        <v>#NAME?</v>
      </c>
      <c r="Z60" t="s">
        <v>4</v>
      </c>
      <c r="AA60">
        <v>0.99997849999999999</v>
      </c>
      <c r="AB60" t="s">
        <v>5</v>
      </c>
      <c r="AC60">
        <v>1.32756E-2</v>
      </c>
    </row>
    <row r="61" spans="1:29" x14ac:dyDescent="0.25">
      <c r="A61" t="s">
        <v>72</v>
      </c>
      <c r="B61" t="s">
        <v>189</v>
      </c>
      <c r="C61">
        <v>1200</v>
      </c>
      <c r="D61" t="s">
        <v>190</v>
      </c>
      <c r="E61">
        <v>1000000</v>
      </c>
      <c r="F61" t="s">
        <v>191</v>
      </c>
      <c r="G61">
        <v>12345</v>
      </c>
      <c r="H61" t="s">
        <v>192</v>
      </c>
      <c r="I61">
        <v>5.0000000000000001E-4</v>
      </c>
      <c r="J61" t="s">
        <v>3</v>
      </c>
      <c r="K61">
        <v>1</v>
      </c>
      <c r="L61" t="s">
        <v>2</v>
      </c>
      <c r="M61">
        <v>0</v>
      </c>
      <c r="N61" t="s">
        <v>17</v>
      </c>
      <c r="O61">
        <v>8</v>
      </c>
      <c r="P61" t="s">
        <v>0</v>
      </c>
      <c r="Q61">
        <v>6.1</v>
      </c>
      <c r="R61" t="s">
        <v>152</v>
      </c>
      <c r="S61">
        <v>1</v>
      </c>
      <c r="T61" t="s">
        <v>153</v>
      </c>
      <c r="U61">
        <v>3</v>
      </c>
      <c r="V61" t="s">
        <v>151</v>
      </c>
      <c r="W61">
        <v>1184</v>
      </c>
      <c r="X61" t="s">
        <v>1</v>
      </c>
      <c r="Y61" t="s">
        <v>207</v>
      </c>
      <c r="Z61" t="s">
        <v>4</v>
      </c>
      <c r="AA61">
        <v>1</v>
      </c>
      <c r="AB61" t="s">
        <v>5</v>
      </c>
      <c r="AC61">
        <v>0</v>
      </c>
    </row>
    <row r="62" spans="1:29" x14ac:dyDescent="0.25">
      <c r="A62" t="s">
        <v>91</v>
      </c>
      <c r="B62" t="s">
        <v>189</v>
      </c>
      <c r="C62">
        <v>1200</v>
      </c>
      <c r="D62" t="s">
        <v>190</v>
      </c>
      <c r="E62">
        <v>1000000</v>
      </c>
      <c r="F62" t="s">
        <v>191</v>
      </c>
      <c r="G62">
        <v>12345</v>
      </c>
      <c r="H62" t="s">
        <v>192</v>
      </c>
      <c r="I62">
        <v>5.0000000000000001E-4</v>
      </c>
      <c r="J62" t="s">
        <v>3</v>
      </c>
      <c r="K62">
        <v>0.99710650000000001</v>
      </c>
      <c r="L62" t="s">
        <v>2</v>
      </c>
      <c r="M62">
        <v>5.5847500000000001E-2</v>
      </c>
      <c r="N62" t="s">
        <v>17</v>
      </c>
      <c r="O62">
        <v>78</v>
      </c>
      <c r="P62" t="s">
        <v>0</v>
      </c>
      <c r="Q62">
        <v>1201.8</v>
      </c>
      <c r="R62" t="s">
        <v>152</v>
      </c>
      <c r="S62">
        <v>4</v>
      </c>
      <c r="T62" t="s">
        <v>153</v>
      </c>
      <c r="U62">
        <v>32</v>
      </c>
      <c r="V62" t="s">
        <v>151</v>
      </c>
      <c r="W62">
        <v>110479</v>
      </c>
      <c r="X62" t="s">
        <v>1</v>
      </c>
      <c r="Y62" t="s">
        <v>393</v>
      </c>
      <c r="Z62" t="s">
        <v>4</v>
      </c>
      <c r="AA62">
        <v>0.9970755</v>
      </c>
      <c r="AB62" t="s">
        <v>5</v>
      </c>
      <c r="AC62">
        <v>5.5975200000000003E-2</v>
      </c>
    </row>
    <row r="63" spans="1:29" x14ac:dyDescent="0.25">
      <c r="A63" t="s">
        <v>101</v>
      </c>
      <c r="B63" t="s">
        <v>189</v>
      </c>
      <c r="C63">
        <v>1200</v>
      </c>
      <c r="D63" t="s">
        <v>190</v>
      </c>
      <c r="E63">
        <v>1000000</v>
      </c>
      <c r="F63" t="s">
        <v>191</v>
      </c>
      <c r="G63">
        <v>12345</v>
      </c>
      <c r="H63" t="s">
        <v>192</v>
      </c>
      <c r="I63">
        <v>5.0000000000000001E-4</v>
      </c>
      <c r="J63" t="s">
        <v>3</v>
      </c>
      <c r="K63">
        <v>1</v>
      </c>
      <c r="L63" t="s">
        <v>2</v>
      </c>
      <c r="M63">
        <v>0</v>
      </c>
      <c r="N63" t="s">
        <v>17</v>
      </c>
      <c r="O63">
        <v>12</v>
      </c>
      <c r="P63" t="s">
        <v>0</v>
      </c>
      <c r="Q63">
        <v>14.6</v>
      </c>
      <c r="R63" t="s">
        <v>152</v>
      </c>
      <c r="S63">
        <v>1</v>
      </c>
      <c r="T63" t="s">
        <v>153</v>
      </c>
      <c r="U63">
        <v>4</v>
      </c>
      <c r="V63" t="s">
        <v>151</v>
      </c>
      <c r="W63">
        <v>2574</v>
      </c>
      <c r="X63" t="s">
        <v>1</v>
      </c>
      <c r="Y63" t="s">
        <v>203</v>
      </c>
      <c r="Z63" t="s">
        <v>4</v>
      </c>
      <c r="AA63">
        <v>1</v>
      </c>
      <c r="AB63" t="s">
        <v>5</v>
      </c>
      <c r="AC63">
        <v>0</v>
      </c>
    </row>
    <row r="64" spans="1:29" x14ac:dyDescent="0.25">
      <c r="A64" t="s">
        <v>130</v>
      </c>
      <c r="B64" t="s">
        <v>189</v>
      </c>
      <c r="C64">
        <v>1200</v>
      </c>
      <c r="D64" t="s">
        <v>190</v>
      </c>
      <c r="E64">
        <v>1000000</v>
      </c>
      <c r="F64" t="s">
        <v>191</v>
      </c>
      <c r="G64">
        <v>12345</v>
      </c>
      <c r="H64" t="s">
        <v>192</v>
      </c>
      <c r="I64">
        <v>5.0000000000000001E-4</v>
      </c>
      <c r="J64" t="s">
        <v>3</v>
      </c>
      <c r="K64">
        <v>1</v>
      </c>
      <c r="L64" t="s">
        <v>2</v>
      </c>
      <c r="M64">
        <v>0</v>
      </c>
      <c r="N64" t="s">
        <v>17</v>
      </c>
      <c r="O64">
        <v>17</v>
      </c>
      <c r="P64" t="s">
        <v>0</v>
      </c>
      <c r="Q64">
        <v>1064.8</v>
      </c>
      <c r="R64" t="s">
        <v>152</v>
      </c>
      <c r="S64">
        <v>2</v>
      </c>
      <c r="T64" t="s">
        <v>153</v>
      </c>
      <c r="U64">
        <v>28</v>
      </c>
      <c r="V64" t="s">
        <v>151</v>
      </c>
      <c r="W64">
        <v>87984</v>
      </c>
      <c r="X64" t="s">
        <v>1</v>
      </c>
      <c r="Y64" t="s">
        <v>169</v>
      </c>
      <c r="Z64" t="s">
        <v>4</v>
      </c>
      <c r="AA64">
        <v>1</v>
      </c>
      <c r="AB64" t="s">
        <v>5</v>
      </c>
      <c r="AC64">
        <v>0</v>
      </c>
    </row>
    <row r="65" spans="1:29" x14ac:dyDescent="0.25">
      <c r="A65" t="s">
        <v>64</v>
      </c>
      <c r="B65" t="s">
        <v>189</v>
      </c>
      <c r="C65">
        <v>1200</v>
      </c>
      <c r="D65" t="s">
        <v>190</v>
      </c>
      <c r="E65">
        <v>1000000</v>
      </c>
      <c r="F65" t="s">
        <v>191</v>
      </c>
      <c r="G65">
        <v>12345</v>
      </c>
      <c r="H65" t="s">
        <v>192</v>
      </c>
      <c r="I65">
        <v>5.0000000000000001E-4</v>
      </c>
      <c r="J65" t="s">
        <v>3</v>
      </c>
      <c r="K65">
        <v>0.58623150000000002</v>
      </c>
      <c r="L65" t="s">
        <v>2</v>
      </c>
      <c r="M65">
        <v>1.6550986999999999</v>
      </c>
      <c r="N65" t="s">
        <v>17</v>
      </c>
      <c r="O65">
        <v>68</v>
      </c>
      <c r="P65" t="s">
        <v>0</v>
      </c>
      <c r="Q65">
        <v>1200.4000000000001</v>
      </c>
      <c r="R65" t="s">
        <v>152</v>
      </c>
      <c r="S65">
        <v>4</v>
      </c>
      <c r="T65" t="s">
        <v>153</v>
      </c>
      <c r="U65">
        <v>55</v>
      </c>
      <c r="V65" t="s">
        <v>151</v>
      </c>
      <c r="W65">
        <v>125552</v>
      </c>
      <c r="X65" t="s">
        <v>1</v>
      </c>
      <c r="Y65" t="s">
        <v>394</v>
      </c>
      <c r="Z65" t="s">
        <v>4</v>
      </c>
      <c r="AA65">
        <v>0.58990209999999998</v>
      </c>
      <c r="AB65" t="s">
        <v>5</v>
      </c>
      <c r="AC65">
        <v>1.6548182</v>
      </c>
    </row>
    <row r="66" spans="1:29" x14ac:dyDescent="0.25">
      <c r="A66" t="s">
        <v>65</v>
      </c>
      <c r="B66" t="s">
        <v>189</v>
      </c>
      <c r="C66">
        <v>1200</v>
      </c>
      <c r="D66" t="s">
        <v>190</v>
      </c>
      <c r="E66">
        <v>1000000</v>
      </c>
      <c r="F66" t="s">
        <v>191</v>
      </c>
      <c r="G66">
        <v>12345</v>
      </c>
      <c r="H66" t="s">
        <v>192</v>
      </c>
      <c r="I66">
        <v>5.0000000000000001E-4</v>
      </c>
      <c r="J66" t="s">
        <v>3</v>
      </c>
      <c r="K66">
        <v>0.98711819999999995</v>
      </c>
      <c r="L66" t="s">
        <v>2</v>
      </c>
      <c r="M66">
        <v>6.8233E-3</v>
      </c>
      <c r="N66" t="s">
        <v>17</v>
      </c>
      <c r="O66">
        <v>52</v>
      </c>
      <c r="P66" t="s">
        <v>0</v>
      </c>
      <c r="Q66">
        <v>1200.7</v>
      </c>
      <c r="R66" t="s">
        <v>152</v>
      </c>
      <c r="S66">
        <v>20</v>
      </c>
      <c r="T66" t="s">
        <v>153</v>
      </c>
      <c r="U66">
        <v>83</v>
      </c>
      <c r="V66" t="s">
        <v>151</v>
      </c>
      <c r="W66">
        <v>112615</v>
      </c>
      <c r="X66" t="s">
        <v>1</v>
      </c>
      <c r="Y66" t="s">
        <v>395</v>
      </c>
      <c r="Z66" t="s">
        <v>4</v>
      </c>
      <c r="AA66">
        <v>0.98688940000000003</v>
      </c>
      <c r="AB66" t="s">
        <v>5</v>
      </c>
      <c r="AC66">
        <v>6.8754999999999997E-3</v>
      </c>
    </row>
    <row r="67" spans="1:29" x14ac:dyDescent="0.25">
      <c r="A67" t="s">
        <v>86</v>
      </c>
      <c r="B67" t="s">
        <v>189</v>
      </c>
      <c r="C67">
        <v>1200</v>
      </c>
      <c r="D67" t="s">
        <v>190</v>
      </c>
      <c r="E67">
        <v>1000000</v>
      </c>
      <c r="F67" t="s">
        <v>191</v>
      </c>
      <c r="G67">
        <v>12345</v>
      </c>
      <c r="H67" t="s">
        <v>192</v>
      </c>
      <c r="I67">
        <v>5.0000000000000001E-4</v>
      </c>
      <c r="J67" t="s">
        <v>3</v>
      </c>
      <c r="K67">
        <v>0.99999119999999997</v>
      </c>
      <c r="L67" t="s">
        <v>2</v>
      </c>
      <c r="M67">
        <v>5.4771000000000004E-3</v>
      </c>
      <c r="N67" t="s">
        <v>17</v>
      </c>
      <c r="O67">
        <v>44</v>
      </c>
      <c r="P67" t="s">
        <v>0</v>
      </c>
      <c r="Q67">
        <v>1201.4000000000001</v>
      </c>
      <c r="R67" t="s">
        <v>152</v>
      </c>
      <c r="S67">
        <v>14</v>
      </c>
      <c r="T67" t="s">
        <v>153</v>
      </c>
      <c r="U67">
        <v>59</v>
      </c>
      <c r="V67" t="s">
        <v>151</v>
      </c>
      <c r="W67">
        <v>117047</v>
      </c>
      <c r="X67" t="s">
        <v>1</v>
      </c>
      <c r="Y67" t="s">
        <v>396</v>
      </c>
      <c r="Z67" t="s">
        <v>4</v>
      </c>
      <c r="AA67">
        <v>0.99999110000000002</v>
      </c>
      <c r="AB67" t="s">
        <v>5</v>
      </c>
      <c r="AC67">
        <v>5.4853999999999997E-3</v>
      </c>
    </row>
    <row r="68" spans="1:29" x14ac:dyDescent="0.25">
      <c r="A68" t="s">
        <v>75</v>
      </c>
      <c r="B68" t="s">
        <v>189</v>
      </c>
      <c r="C68">
        <v>1200</v>
      </c>
      <c r="D68" t="s">
        <v>190</v>
      </c>
      <c r="E68">
        <v>1000000</v>
      </c>
      <c r="F68" t="s">
        <v>191</v>
      </c>
      <c r="G68">
        <v>12345</v>
      </c>
      <c r="H68" t="s">
        <v>192</v>
      </c>
      <c r="I68">
        <v>5.0000000000000001E-4</v>
      </c>
      <c r="J68" t="s">
        <v>3</v>
      </c>
      <c r="K68">
        <v>1</v>
      </c>
      <c r="L68" t="s">
        <v>2</v>
      </c>
      <c r="M68">
        <v>0</v>
      </c>
      <c r="N68" t="s">
        <v>17</v>
      </c>
      <c r="O68">
        <v>14</v>
      </c>
      <c r="P68" t="s">
        <v>0</v>
      </c>
      <c r="Q68">
        <v>9.1</v>
      </c>
      <c r="R68" t="s">
        <v>152</v>
      </c>
      <c r="S68">
        <v>1</v>
      </c>
      <c r="T68" t="s">
        <v>153</v>
      </c>
      <c r="U68">
        <v>4</v>
      </c>
      <c r="V68" t="s">
        <v>151</v>
      </c>
      <c r="W68">
        <v>1605</v>
      </c>
      <c r="X68" t="s">
        <v>1</v>
      </c>
      <c r="Y68" t="s">
        <v>164</v>
      </c>
      <c r="Z68" t="s">
        <v>4</v>
      </c>
      <c r="AA68">
        <v>1</v>
      </c>
      <c r="AB68" t="s">
        <v>5</v>
      </c>
      <c r="AC68">
        <v>0</v>
      </c>
    </row>
    <row r="69" spans="1:29" x14ac:dyDescent="0.25">
      <c r="A69" t="s">
        <v>88</v>
      </c>
      <c r="B69" t="s">
        <v>189</v>
      </c>
      <c r="C69">
        <v>1200</v>
      </c>
      <c r="D69" t="s">
        <v>190</v>
      </c>
      <c r="E69">
        <v>1000000</v>
      </c>
      <c r="F69" t="s">
        <v>191</v>
      </c>
      <c r="G69">
        <v>12345</v>
      </c>
      <c r="H69" t="s">
        <v>192</v>
      </c>
      <c r="I69">
        <v>5.0000000000000001E-4</v>
      </c>
      <c r="J69" t="s">
        <v>3</v>
      </c>
      <c r="K69">
        <v>0.98424449999999997</v>
      </c>
      <c r="L69" t="s">
        <v>2</v>
      </c>
      <c r="M69">
        <v>0.2411015</v>
      </c>
      <c r="N69" t="s">
        <v>17</v>
      </c>
      <c r="O69">
        <v>62</v>
      </c>
      <c r="P69" t="s">
        <v>0</v>
      </c>
      <c r="Q69">
        <v>1200.9000000000001</v>
      </c>
      <c r="R69" t="s">
        <v>152</v>
      </c>
      <c r="S69">
        <v>5</v>
      </c>
      <c r="T69" t="s">
        <v>153</v>
      </c>
      <c r="U69">
        <v>42</v>
      </c>
      <c r="V69" t="s">
        <v>151</v>
      </c>
      <c r="W69">
        <v>126915</v>
      </c>
      <c r="X69" t="s">
        <v>1</v>
      </c>
      <c r="Y69" t="e" cm="1">
        <f t="array" aca="1" ref="Y69" ca="1">-3.2747102765048+(4.6828219557248*pow((((((((-0.4758725214056+V1)+(0.3868441720571*v0))+(0.0579445940631*pow(v0,2)))+(-0.6777484785215*LOG(V1)))+(-0.4861045187468*SIN(((1.65+V3)+(-1*V2)))))+((-1*V1)*SIN((0.1073416034906*v0))))+(((-1*LOG(v0))*LOG(V1))*SIN(((1.5+V3)+(-1*V2))))),0.5))</f>
        <v>#NAME?</v>
      </c>
      <c r="Z69" t="s">
        <v>4</v>
      </c>
      <c r="AA69">
        <v>0.98424940000000005</v>
      </c>
      <c r="AB69" t="s">
        <v>5</v>
      </c>
      <c r="AC69">
        <v>0.24011009999999999</v>
      </c>
    </row>
    <row r="70" spans="1:29" x14ac:dyDescent="0.25">
      <c r="A70" t="s">
        <v>67</v>
      </c>
      <c r="B70" t="s">
        <v>189</v>
      </c>
      <c r="C70">
        <v>1200</v>
      </c>
      <c r="D70" t="s">
        <v>190</v>
      </c>
      <c r="E70">
        <v>1000000</v>
      </c>
      <c r="F70" t="s">
        <v>191</v>
      </c>
      <c r="G70">
        <v>12345</v>
      </c>
      <c r="H70" t="s">
        <v>192</v>
      </c>
      <c r="I70">
        <v>5.0000000000000001E-4</v>
      </c>
      <c r="J70" t="s">
        <v>3</v>
      </c>
      <c r="K70">
        <v>0.81969130000000001</v>
      </c>
      <c r="L70" t="s">
        <v>2</v>
      </c>
      <c r="M70">
        <v>2.1717979999999999</v>
      </c>
      <c r="N70" t="s">
        <v>17</v>
      </c>
      <c r="O70">
        <v>59</v>
      </c>
      <c r="P70" t="s">
        <v>0</v>
      </c>
      <c r="Q70">
        <v>1202</v>
      </c>
      <c r="R70" t="s">
        <v>152</v>
      </c>
      <c r="S70">
        <v>15</v>
      </c>
      <c r="T70" t="s">
        <v>153</v>
      </c>
      <c r="U70">
        <v>56</v>
      </c>
      <c r="V70" t="s">
        <v>151</v>
      </c>
      <c r="W70">
        <v>117540</v>
      </c>
      <c r="X70" t="s">
        <v>1</v>
      </c>
      <c r="Y70" t="e" cm="1">
        <f t="array" aca="1" ref="Y70" ca="1">-6.1870602096811+(2.1097718212598*v0)+(1.5529765993945*V2)+(0.3760786127792*EXP((3.1415926535898*pow(V2,-1))))+((0.5756466538694*V2)*SIN((22.9431295184646*SIN(pow(V2,-1)))))+(((-2.3619499111787*v0)*SIN(V1))*SIN(LOG(((V1+(EXP((1.8*SIN(V1)))*EXP((V1*V2))))+((-1*v0)*V2)))))</f>
        <v>#NAME?</v>
      </c>
      <c r="Z70" t="s">
        <v>4</v>
      </c>
      <c r="AA70">
        <v>0.81848560000000004</v>
      </c>
      <c r="AB70" t="s">
        <v>5</v>
      </c>
      <c r="AC70">
        <v>2.1935975999999999</v>
      </c>
    </row>
    <row r="71" spans="1:29" x14ac:dyDescent="0.25">
      <c r="A71" t="s">
        <v>89</v>
      </c>
      <c r="B71" t="s">
        <v>189</v>
      </c>
      <c r="C71">
        <v>1200</v>
      </c>
      <c r="D71" t="s">
        <v>190</v>
      </c>
      <c r="E71">
        <v>1000000</v>
      </c>
      <c r="F71" t="s">
        <v>191</v>
      </c>
      <c r="G71">
        <v>12345</v>
      </c>
      <c r="H71" t="s">
        <v>192</v>
      </c>
      <c r="I71">
        <v>5.0000000000000001E-4</v>
      </c>
      <c r="J71" t="s">
        <v>3</v>
      </c>
      <c r="K71">
        <v>0.98602690000000004</v>
      </c>
      <c r="L71" t="s">
        <v>2</v>
      </c>
      <c r="M71">
        <v>0.1174191</v>
      </c>
      <c r="N71" t="s">
        <v>17</v>
      </c>
      <c r="O71">
        <v>35</v>
      </c>
      <c r="P71" t="s">
        <v>0</v>
      </c>
      <c r="Q71">
        <v>1200.2</v>
      </c>
      <c r="R71" t="s">
        <v>152</v>
      </c>
      <c r="S71">
        <v>4</v>
      </c>
      <c r="T71" t="s">
        <v>153</v>
      </c>
      <c r="U71">
        <v>61</v>
      </c>
      <c r="V71" t="s">
        <v>151</v>
      </c>
      <c r="W71">
        <v>146972</v>
      </c>
      <c r="X71" t="s">
        <v>1</v>
      </c>
      <c r="Y71" t="e" cm="1">
        <f t="array" aca="1" ref="Y71" ca="1">-2.0128606479324+(4.1797205993752*pow(((1+(0.240115961369*pow(pow((v0+(-1*V1)),2),0.66)))+(-0.7219843469492*COS((0.7318415704585*pow(pow((V3+(-1*V2)),2),0.45))))),0.5))</f>
        <v>#NAME?</v>
      </c>
      <c r="Z71" t="s">
        <v>4</v>
      </c>
      <c r="AA71">
        <v>0.98616360000000003</v>
      </c>
      <c r="AB71" t="s">
        <v>5</v>
      </c>
      <c r="AC71">
        <v>0.1174692</v>
      </c>
    </row>
    <row r="72" spans="1:29" x14ac:dyDescent="0.25">
      <c r="A72" t="s">
        <v>99</v>
      </c>
      <c r="B72" t="s">
        <v>189</v>
      </c>
      <c r="C72">
        <v>1200</v>
      </c>
      <c r="D72" t="s">
        <v>190</v>
      </c>
      <c r="E72">
        <v>1000000</v>
      </c>
      <c r="F72" t="s">
        <v>191</v>
      </c>
      <c r="G72">
        <v>12345</v>
      </c>
      <c r="H72" t="s">
        <v>192</v>
      </c>
      <c r="I72">
        <v>5.0000000000000001E-4</v>
      </c>
      <c r="J72" t="s">
        <v>3</v>
      </c>
      <c r="K72">
        <v>1</v>
      </c>
      <c r="L72" t="s">
        <v>2</v>
      </c>
      <c r="M72">
        <v>0</v>
      </c>
      <c r="N72" t="s">
        <v>17</v>
      </c>
      <c r="O72">
        <v>12</v>
      </c>
      <c r="P72" t="s">
        <v>0</v>
      </c>
      <c r="Q72">
        <v>14.2</v>
      </c>
      <c r="R72" t="s">
        <v>152</v>
      </c>
      <c r="S72">
        <v>1</v>
      </c>
      <c r="T72" t="s">
        <v>153</v>
      </c>
      <c r="U72">
        <v>4</v>
      </c>
      <c r="V72" t="s">
        <v>151</v>
      </c>
      <c r="W72">
        <v>2574</v>
      </c>
      <c r="X72" t="s">
        <v>1</v>
      </c>
      <c r="Y72" t="s">
        <v>203</v>
      </c>
      <c r="Z72" t="s">
        <v>4</v>
      </c>
      <c r="AA72">
        <v>1</v>
      </c>
      <c r="AB72" t="s">
        <v>5</v>
      </c>
      <c r="AC72">
        <v>0</v>
      </c>
    </row>
    <row r="73" spans="1:29" x14ac:dyDescent="0.25">
      <c r="A73" t="s">
        <v>77</v>
      </c>
      <c r="B73" t="s">
        <v>189</v>
      </c>
      <c r="C73">
        <v>1200</v>
      </c>
      <c r="D73" t="s">
        <v>190</v>
      </c>
      <c r="E73">
        <v>1000000</v>
      </c>
      <c r="F73" t="s">
        <v>191</v>
      </c>
      <c r="G73">
        <v>12345</v>
      </c>
      <c r="H73" t="s">
        <v>192</v>
      </c>
      <c r="I73">
        <v>5.0000000000000001E-4</v>
      </c>
      <c r="J73" t="s">
        <v>3</v>
      </c>
      <c r="K73">
        <v>1</v>
      </c>
      <c r="L73" t="s">
        <v>2</v>
      </c>
      <c r="M73">
        <v>0</v>
      </c>
      <c r="N73" t="s">
        <v>17</v>
      </c>
      <c r="O73">
        <v>13</v>
      </c>
      <c r="P73" t="s">
        <v>0</v>
      </c>
      <c r="Q73">
        <v>17.7</v>
      </c>
      <c r="R73" t="s">
        <v>152</v>
      </c>
      <c r="S73">
        <v>1</v>
      </c>
      <c r="T73" t="s">
        <v>153</v>
      </c>
      <c r="U73">
        <v>5</v>
      </c>
      <c r="V73" t="s">
        <v>151</v>
      </c>
      <c r="W73">
        <v>3060</v>
      </c>
      <c r="X73" t="s">
        <v>1</v>
      </c>
      <c r="Y73" t="s">
        <v>162</v>
      </c>
      <c r="Z73" t="s">
        <v>4</v>
      </c>
      <c r="AA73">
        <v>1</v>
      </c>
      <c r="AB73" t="s">
        <v>5</v>
      </c>
      <c r="AC73">
        <v>0</v>
      </c>
    </row>
    <row r="74" spans="1:29" x14ac:dyDescent="0.25">
      <c r="A74" t="s">
        <v>109</v>
      </c>
      <c r="B74" t="s">
        <v>189</v>
      </c>
      <c r="C74">
        <v>1200</v>
      </c>
      <c r="D74" t="s">
        <v>190</v>
      </c>
      <c r="E74">
        <v>1000000</v>
      </c>
      <c r="F74" t="s">
        <v>191</v>
      </c>
      <c r="G74">
        <v>12345</v>
      </c>
      <c r="H74" t="s">
        <v>192</v>
      </c>
      <c r="I74">
        <v>5.0000000000000001E-4</v>
      </c>
      <c r="J74" t="s">
        <v>3</v>
      </c>
      <c r="K74">
        <v>1</v>
      </c>
      <c r="L74" t="s">
        <v>2</v>
      </c>
      <c r="M74">
        <v>0</v>
      </c>
      <c r="N74" t="s">
        <v>17</v>
      </c>
      <c r="O74">
        <v>12</v>
      </c>
      <c r="P74" t="s">
        <v>0</v>
      </c>
      <c r="Q74">
        <v>14</v>
      </c>
      <c r="R74" t="s">
        <v>152</v>
      </c>
      <c r="S74">
        <v>1</v>
      </c>
      <c r="T74" t="s">
        <v>153</v>
      </c>
      <c r="U74">
        <v>4</v>
      </c>
      <c r="V74" t="s">
        <v>151</v>
      </c>
      <c r="W74">
        <v>2566</v>
      </c>
      <c r="X74" t="s">
        <v>1</v>
      </c>
      <c r="Y74" t="s">
        <v>209</v>
      </c>
      <c r="Z74" t="s">
        <v>4</v>
      </c>
      <c r="AA74">
        <v>1</v>
      </c>
      <c r="AB74" t="s">
        <v>5</v>
      </c>
      <c r="AC74">
        <v>0</v>
      </c>
    </row>
    <row r="75" spans="1:29" x14ac:dyDescent="0.25">
      <c r="A75" t="s">
        <v>103</v>
      </c>
      <c r="B75" t="s">
        <v>189</v>
      </c>
      <c r="C75">
        <v>1200</v>
      </c>
      <c r="D75" t="s">
        <v>190</v>
      </c>
      <c r="E75">
        <v>1000000</v>
      </c>
      <c r="F75" t="s">
        <v>191</v>
      </c>
      <c r="G75">
        <v>12345</v>
      </c>
      <c r="H75" t="s">
        <v>192</v>
      </c>
      <c r="I75">
        <v>5.0000000000000001E-4</v>
      </c>
      <c r="J75" t="s">
        <v>3</v>
      </c>
      <c r="K75">
        <v>0.99979739999999995</v>
      </c>
      <c r="L75" t="s">
        <v>2</v>
      </c>
      <c r="M75">
        <v>0.103459</v>
      </c>
      <c r="N75" t="s">
        <v>17</v>
      </c>
      <c r="O75">
        <v>60</v>
      </c>
      <c r="P75" t="s">
        <v>0</v>
      </c>
      <c r="Q75">
        <v>1201.4000000000001</v>
      </c>
      <c r="R75" t="s">
        <v>152</v>
      </c>
      <c r="S75">
        <v>4</v>
      </c>
      <c r="T75" t="s">
        <v>153</v>
      </c>
      <c r="U75">
        <v>49</v>
      </c>
      <c r="V75" t="s">
        <v>151</v>
      </c>
      <c r="W75">
        <v>115124</v>
      </c>
      <c r="X75" t="s">
        <v>1</v>
      </c>
      <c r="Y75" t="s">
        <v>397</v>
      </c>
      <c r="Z75" t="s">
        <v>4</v>
      </c>
      <c r="AA75">
        <v>0.99979739999999995</v>
      </c>
      <c r="AB75" t="s">
        <v>5</v>
      </c>
      <c r="AC75">
        <v>0.1032706</v>
      </c>
    </row>
    <row r="76" spans="1:29" x14ac:dyDescent="0.25">
      <c r="A76" t="s">
        <v>82</v>
      </c>
      <c r="B76" t="s">
        <v>189</v>
      </c>
      <c r="C76">
        <v>1200</v>
      </c>
      <c r="D76" t="s">
        <v>190</v>
      </c>
      <c r="E76">
        <v>1000000</v>
      </c>
      <c r="F76" t="s">
        <v>191</v>
      </c>
      <c r="G76">
        <v>12345</v>
      </c>
      <c r="H76" t="s">
        <v>192</v>
      </c>
      <c r="I76">
        <v>5.0000000000000001E-4</v>
      </c>
      <c r="J76" t="s">
        <v>3</v>
      </c>
      <c r="K76">
        <v>1</v>
      </c>
      <c r="L76" t="s">
        <v>2</v>
      </c>
      <c r="M76">
        <v>1.2439E-3</v>
      </c>
      <c r="N76" t="s">
        <v>17</v>
      </c>
      <c r="O76">
        <v>42</v>
      </c>
      <c r="P76" t="s">
        <v>0</v>
      </c>
      <c r="Q76">
        <v>1200.2</v>
      </c>
      <c r="R76" t="s">
        <v>152</v>
      </c>
      <c r="S76">
        <v>10</v>
      </c>
      <c r="T76" t="s">
        <v>153</v>
      </c>
      <c r="U76">
        <v>66</v>
      </c>
      <c r="V76" t="s">
        <v>151</v>
      </c>
      <c r="W76">
        <v>135239</v>
      </c>
      <c r="X76" t="s">
        <v>1</v>
      </c>
      <c r="Y76" t="e" cm="1">
        <f t="array" aca="1" ref="Y76" ca="1">-0.0002695590637+((0.9996316028851*v0)*pow(V2,2))+((0.4499343910826*v0)*pow(V1,2))+(((0.1559015025989*v0)*pow(V1,3))*pow((V2+(-1*V1)),-1))+(((0.0071657115818*v0)*V1)*V2)</f>
        <v>#NAME?</v>
      </c>
      <c r="Z76" t="s">
        <v>4</v>
      </c>
      <c r="AA76">
        <v>1</v>
      </c>
      <c r="AB76" t="s">
        <v>5</v>
      </c>
      <c r="AC76">
        <v>1.1842999999999999E-3</v>
      </c>
    </row>
    <row r="77" spans="1:29" x14ac:dyDescent="0.25">
      <c r="A77" t="s">
        <v>113</v>
      </c>
      <c r="B77" t="s">
        <v>189</v>
      </c>
      <c r="C77">
        <v>1200</v>
      </c>
      <c r="D77" t="s">
        <v>190</v>
      </c>
      <c r="E77">
        <v>1000000</v>
      </c>
      <c r="F77" t="s">
        <v>191</v>
      </c>
      <c r="G77">
        <v>12345</v>
      </c>
      <c r="H77" t="s">
        <v>192</v>
      </c>
      <c r="I77">
        <v>5.0000000000000001E-4</v>
      </c>
      <c r="J77" t="s">
        <v>3</v>
      </c>
      <c r="K77">
        <v>1</v>
      </c>
      <c r="L77" t="s">
        <v>2</v>
      </c>
      <c r="M77">
        <v>0</v>
      </c>
      <c r="N77" t="s">
        <v>17</v>
      </c>
      <c r="O77">
        <v>16</v>
      </c>
      <c r="P77" t="s">
        <v>0</v>
      </c>
      <c r="Q77">
        <v>328.1</v>
      </c>
      <c r="R77" t="s">
        <v>152</v>
      </c>
      <c r="S77">
        <v>4</v>
      </c>
      <c r="T77" t="s">
        <v>153</v>
      </c>
      <c r="U77">
        <v>32</v>
      </c>
      <c r="V77" t="s">
        <v>151</v>
      </c>
      <c r="W77">
        <v>43382</v>
      </c>
      <c r="X77" t="s">
        <v>1</v>
      </c>
      <c r="Y77" t="s">
        <v>168</v>
      </c>
      <c r="Z77" t="s">
        <v>4</v>
      </c>
      <c r="AA77">
        <v>1</v>
      </c>
      <c r="AB77" t="s">
        <v>5</v>
      </c>
      <c r="AC77">
        <v>0</v>
      </c>
    </row>
    <row r="78" spans="1:29" x14ac:dyDescent="0.25">
      <c r="A78" t="s">
        <v>123</v>
      </c>
      <c r="B78" t="s">
        <v>189</v>
      </c>
      <c r="C78">
        <v>1200</v>
      </c>
      <c r="D78" t="s">
        <v>190</v>
      </c>
      <c r="E78">
        <v>1000000</v>
      </c>
      <c r="F78" t="s">
        <v>191</v>
      </c>
      <c r="G78">
        <v>12345</v>
      </c>
      <c r="H78" t="s">
        <v>192</v>
      </c>
      <c r="I78">
        <v>5.0000000000000001E-4</v>
      </c>
      <c r="J78" t="s">
        <v>3</v>
      </c>
      <c r="K78">
        <v>1</v>
      </c>
      <c r="L78" t="s">
        <v>2</v>
      </c>
      <c r="M78">
        <v>0</v>
      </c>
      <c r="N78" t="s">
        <v>17</v>
      </c>
      <c r="O78">
        <v>28</v>
      </c>
      <c r="P78" t="s">
        <v>0</v>
      </c>
      <c r="Q78">
        <v>224.5</v>
      </c>
      <c r="R78" t="s">
        <v>152</v>
      </c>
      <c r="S78">
        <v>1</v>
      </c>
      <c r="T78" t="s">
        <v>153</v>
      </c>
      <c r="U78">
        <v>10</v>
      </c>
      <c r="V78" t="s">
        <v>151</v>
      </c>
      <c r="W78">
        <v>24747</v>
      </c>
      <c r="X78" t="s">
        <v>1</v>
      </c>
      <c r="Y78" t="s">
        <v>272</v>
      </c>
      <c r="Z78" t="s">
        <v>4</v>
      </c>
      <c r="AA78">
        <v>1</v>
      </c>
      <c r="AB78" t="s">
        <v>5</v>
      </c>
      <c r="AC78">
        <v>0</v>
      </c>
    </row>
    <row r="79" spans="1:29" x14ac:dyDescent="0.25">
      <c r="A79" t="s">
        <v>133</v>
      </c>
      <c r="B79" t="s">
        <v>189</v>
      </c>
      <c r="C79">
        <v>1200</v>
      </c>
      <c r="D79" t="s">
        <v>190</v>
      </c>
      <c r="E79">
        <v>1000000</v>
      </c>
      <c r="F79" t="s">
        <v>191</v>
      </c>
      <c r="G79">
        <v>12345</v>
      </c>
      <c r="H79" t="s">
        <v>192</v>
      </c>
      <c r="I79">
        <v>5.0000000000000001E-4</v>
      </c>
      <c r="J79" t="s">
        <v>3</v>
      </c>
      <c r="K79">
        <v>1</v>
      </c>
      <c r="L79" t="s">
        <v>2</v>
      </c>
      <c r="M79">
        <v>0</v>
      </c>
      <c r="N79" t="s">
        <v>17</v>
      </c>
      <c r="O79">
        <v>14</v>
      </c>
      <c r="P79" t="s">
        <v>0</v>
      </c>
      <c r="Q79">
        <v>24.2</v>
      </c>
      <c r="R79" t="s">
        <v>152</v>
      </c>
      <c r="S79">
        <v>1</v>
      </c>
      <c r="T79" t="s">
        <v>153</v>
      </c>
      <c r="U79">
        <v>5</v>
      </c>
      <c r="V79" t="s">
        <v>151</v>
      </c>
      <c r="W79">
        <v>4034</v>
      </c>
      <c r="X79" t="s">
        <v>1</v>
      </c>
      <c r="Y79" t="s">
        <v>214</v>
      </c>
      <c r="Z79" t="s">
        <v>4</v>
      </c>
      <c r="AA79">
        <v>1</v>
      </c>
      <c r="AB79" t="s">
        <v>5</v>
      </c>
      <c r="AC79">
        <v>0</v>
      </c>
    </row>
    <row r="80" spans="1:29" x14ac:dyDescent="0.25">
      <c r="A80" t="s">
        <v>111</v>
      </c>
      <c r="B80" t="s">
        <v>189</v>
      </c>
      <c r="C80">
        <v>1200</v>
      </c>
      <c r="D80" t="s">
        <v>190</v>
      </c>
      <c r="E80">
        <v>1000000</v>
      </c>
      <c r="F80" t="s">
        <v>191</v>
      </c>
      <c r="G80">
        <v>12345</v>
      </c>
      <c r="H80" t="s">
        <v>192</v>
      </c>
      <c r="I80">
        <v>5.0000000000000001E-4</v>
      </c>
      <c r="J80" t="s">
        <v>3</v>
      </c>
      <c r="K80">
        <v>0.98734149999999998</v>
      </c>
      <c r="L80" t="s">
        <v>2</v>
      </c>
      <c r="M80">
        <v>2.8660551000000001</v>
      </c>
      <c r="N80" t="s">
        <v>17</v>
      </c>
      <c r="O80">
        <v>137</v>
      </c>
      <c r="P80" t="s">
        <v>0</v>
      </c>
      <c r="Q80">
        <v>1201.3</v>
      </c>
      <c r="R80" t="s">
        <v>152</v>
      </c>
      <c r="S80">
        <v>1</v>
      </c>
      <c r="T80" t="s">
        <v>153</v>
      </c>
      <c r="U80">
        <v>27</v>
      </c>
      <c r="V80" t="s">
        <v>151</v>
      </c>
      <c r="W80">
        <v>91139</v>
      </c>
      <c r="X80" t="s">
        <v>1</v>
      </c>
      <c r="Y80" t="s">
        <v>398</v>
      </c>
      <c r="Z80" t="s">
        <v>4</v>
      </c>
      <c r="AA80">
        <v>0.98736539999999995</v>
      </c>
      <c r="AB80" t="s">
        <v>5</v>
      </c>
      <c r="AC80">
        <v>2.8828155999999998</v>
      </c>
    </row>
    <row r="81" spans="1:29" x14ac:dyDescent="0.25">
      <c r="A81" t="s">
        <v>140</v>
      </c>
      <c r="B81" t="s">
        <v>189</v>
      </c>
      <c r="C81">
        <v>1200</v>
      </c>
      <c r="D81" t="s">
        <v>190</v>
      </c>
      <c r="E81">
        <v>1000000</v>
      </c>
      <c r="F81" t="s">
        <v>191</v>
      </c>
      <c r="G81">
        <v>12345</v>
      </c>
      <c r="H81" t="s">
        <v>192</v>
      </c>
      <c r="I81">
        <v>5.0000000000000001E-4</v>
      </c>
      <c r="J81" t="s">
        <v>3</v>
      </c>
      <c r="K81">
        <v>0.99801709999999999</v>
      </c>
      <c r="L81" t="s">
        <v>2</v>
      </c>
      <c r="M81">
        <v>1.274926</v>
      </c>
      <c r="N81" t="s">
        <v>17</v>
      </c>
      <c r="O81">
        <v>100</v>
      </c>
      <c r="P81" t="s">
        <v>0</v>
      </c>
      <c r="Q81">
        <v>1202</v>
      </c>
      <c r="R81" t="s">
        <v>152</v>
      </c>
      <c r="S81">
        <v>2</v>
      </c>
      <c r="T81" t="s">
        <v>153</v>
      </c>
      <c r="U81">
        <v>29</v>
      </c>
      <c r="V81" t="s">
        <v>151</v>
      </c>
      <c r="W81">
        <v>87104</v>
      </c>
      <c r="X81" t="s">
        <v>1</v>
      </c>
      <c r="Y81" t="s">
        <v>399</v>
      </c>
      <c r="Z81" t="s">
        <v>4</v>
      </c>
      <c r="AA81">
        <v>0.99795710000000004</v>
      </c>
      <c r="AB81" t="s">
        <v>5</v>
      </c>
      <c r="AC81">
        <v>1.2798514000000001</v>
      </c>
    </row>
    <row r="82" spans="1:29" x14ac:dyDescent="0.25">
      <c r="A82" t="s">
        <v>74</v>
      </c>
      <c r="B82" t="s">
        <v>189</v>
      </c>
      <c r="C82">
        <v>1200</v>
      </c>
      <c r="D82" t="s">
        <v>190</v>
      </c>
      <c r="E82">
        <v>1000000</v>
      </c>
      <c r="F82" t="s">
        <v>191</v>
      </c>
      <c r="G82">
        <v>12345</v>
      </c>
      <c r="H82" t="s">
        <v>192</v>
      </c>
      <c r="I82">
        <v>5.0000000000000001E-4</v>
      </c>
      <c r="J82" t="s">
        <v>3</v>
      </c>
      <c r="K82">
        <v>0.40166629999999998</v>
      </c>
      <c r="L82" t="s">
        <v>2</v>
      </c>
      <c r="M82">
        <v>0.27301569999999997</v>
      </c>
      <c r="N82" t="s">
        <v>17</v>
      </c>
      <c r="O82">
        <v>123</v>
      </c>
      <c r="P82" t="s">
        <v>0</v>
      </c>
      <c r="Q82">
        <v>1200.5999999999999</v>
      </c>
      <c r="R82" t="s">
        <v>152</v>
      </c>
      <c r="S82">
        <v>6</v>
      </c>
      <c r="T82" t="s">
        <v>153</v>
      </c>
      <c r="U82">
        <v>44</v>
      </c>
      <c r="V82" t="s">
        <v>151</v>
      </c>
      <c r="W82">
        <v>135104</v>
      </c>
      <c r="X82" t="s">
        <v>1</v>
      </c>
      <c r="Y82" t="s">
        <v>400</v>
      </c>
      <c r="Z82" t="s">
        <v>4</v>
      </c>
      <c r="AA82">
        <v>0.40748319999999999</v>
      </c>
      <c r="AB82" t="s">
        <v>5</v>
      </c>
      <c r="AC82">
        <v>0.2731981</v>
      </c>
    </row>
    <row r="83" spans="1:29" x14ac:dyDescent="0.25">
      <c r="A83" t="s">
        <v>96</v>
      </c>
      <c r="B83" t="s">
        <v>189</v>
      </c>
      <c r="C83">
        <v>1200</v>
      </c>
      <c r="D83" t="s">
        <v>190</v>
      </c>
      <c r="E83">
        <v>1000000</v>
      </c>
      <c r="F83" t="s">
        <v>191</v>
      </c>
      <c r="G83">
        <v>12345</v>
      </c>
      <c r="H83" t="s">
        <v>192</v>
      </c>
      <c r="I83">
        <v>5.0000000000000001E-4</v>
      </c>
      <c r="J83" t="s">
        <v>3</v>
      </c>
      <c r="K83">
        <v>0.99999990000000005</v>
      </c>
      <c r="L83" t="s">
        <v>2</v>
      </c>
      <c r="M83">
        <v>1.2324E-3</v>
      </c>
      <c r="N83" t="s">
        <v>17</v>
      </c>
      <c r="O83">
        <v>32</v>
      </c>
      <c r="P83" t="s">
        <v>0</v>
      </c>
      <c r="Q83">
        <v>1202.9000000000001</v>
      </c>
      <c r="R83" t="s">
        <v>152</v>
      </c>
      <c r="S83">
        <v>25</v>
      </c>
      <c r="T83" t="s">
        <v>153</v>
      </c>
      <c r="U83">
        <v>76</v>
      </c>
      <c r="V83" t="s">
        <v>151</v>
      </c>
      <c r="W83">
        <v>112974</v>
      </c>
      <c r="X83" t="s">
        <v>1</v>
      </c>
      <c r="Y83" t="s">
        <v>401</v>
      </c>
      <c r="Z83" t="s">
        <v>4</v>
      </c>
      <c r="AA83">
        <v>0.99999990000000005</v>
      </c>
      <c r="AB83" t="s">
        <v>5</v>
      </c>
      <c r="AC83">
        <v>1.5120999999999999E-3</v>
      </c>
    </row>
    <row r="84" spans="1:29" x14ac:dyDescent="0.25">
      <c r="A84" t="s">
        <v>85</v>
      </c>
      <c r="B84" t="s">
        <v>189</v>
      </c>
      <c r="C84">
        <v>1200</v>
      </c>
      <c r="D84" t="s">
        <v>190</v>
      </c>
      <c r="E84">
        <v>1000000</v>
      </c>
      <c r="F84" t="s">
        <v>191</v>
      </c>
      <c r="G84">
        <v>12345</v>
      </c>
      <c r="H84" t="s">
        <v>192</v>
      </c>
      <c r="I84">
        <v>5.0000000000000001E-4</v>
      </c>
      <c r="J84" t="s">
        <v>3</v>
      </c>
      <c r="K84">
        <v>0.92402329999999999</v>
      </c>
      <c r="L84" t="s">
        <v>2</v>
      </c>
      <c r="M84">
        <v>0.23446420000000001</v>
      </c>
      <c r="N84" t="s">
        <v>17</v>
      </c>
      <c r="O84">
        <v>8</v>
      </c>
      <c r="P84" t="s">
        <v>0</v>
      </c>
      <c r="Q84">
        <v>1209.4000000000001</v>
      </c>
      <c r="R84" t="s">
        <v>152</v>
      </c>
      <c r="S84">
        <v>50</v>
      </c>
      <c r="T84" t="s">
        <v>153</v>
      </c>
      <c r="U84">
        <v>104</v>
      </c>
      <c r="V84" t="s">
        <v>151</v>
      </c>
      <c r="W84">
        <v>46511</v>
      </c>
      <c r="X84" t="s">
        <v>1</v>
      </c>
      <c r="Y84" t="s">
        <v>291</v>
      </c>
      <c r="Z84" t="s">
        <v>4</v>
      </c>
      <c r="AA84">
        <v>0.92398860000000005</v>
      </c>
      <c r="AB84" t="s">
        <v>5</v>
      </c>
      <c r="AC84">
        <v>0.2336695</v>
      </c>
    </row>
    <row r="85" spans="1:29" x14ac:dyDescent="0.25">
      <c r="A85" t="s">
        <v>84</v>
      </c>
      <c r="B85" t="s">
        <v>189</v>
      </c>
      <c r="C85">
        <v>1200</v>
      </c>
      <c r="D85" t="s">
        <v>190</v>
      </c>
      <c r="E85">
        <v>1000000</v>
      </c>
      <c r="F85" t="s">
        <v>191</v>
      </c>
      <c r="G85">
        <v>12345</v>
      </c>
      <c r="H85" t="s">
        <v>192</v>
      </c>
      <c r="I85">
        <v>5.0000000000000001E-4</v>
      </c>
      <c r="J85" t="s">
        <v>3</v>
      </c>
      <c r="K85">
        <v>1</v>
      </c>
      <c r="L85" t="s">
        <v>2</v>
      </c>
      <c r="M85">
        <v>0</v>
      </c>
      <c r="N85" t="s">
        <v>17</v>
      </c>
      <c r="O85">
        <v>14</v>
      </c>
      <c r="P85" t="s">
        <v>0</v>
      </c>
      <c r="Q85">
        <v>20.3</v>
      </c>
      <c r="R85" t="s">
        <v>152</v>
      </c>
      <c r="S85">
        <v>1</v>
      </c>
      <c r="T85" t="s">
        <v>153</v>
      </c>
      <c r="U85">
        <v>5</v>
      </c>
      <c r="V85" t="s">
        <v>151</v>
      </c>
      <c r="W85">
        <v>3559</v>
      </c>
      <c r="X85" t="s">
        <v>1</v>
      </c>
      <c r="Y85" t="s">
        <v>166</v>
      </c>
      <c r="Z85" t="s">
        <v>4</v>
      </c>
      <c r="AA85">
        <v>1</v>
      </c>
      <c r="AB85" t="s">
        <v>5</v>
      </c>
      <c r="AC85">
        <v>0</v>
      </c>
    </row>
    <row r="86" spans="1:29" x14ac:dyDescent="0.25">
      <c r="A86" t="s">
        <v>98</v>
      </c>
      <c r="B86" t="s">
        <v>189</v>
      </c>
      <c r="C86">
        <v>1200</v>
      </c>
      <c r="D86" t="s">
        <v>190</v>
      </c>
      <c r="E86">
        <v>1000000</v>
      </c>
      <c r="F86" t="s">
        <v>191</v>
      </c>
      <c r="G86">
        <v>12345</v>
      </c>
      <c r="H86" t="s">
        <v>192</v>
      </c>
      <c r="I86">
        <v>5.0000000000000001E-4</v>
      </c>
      <c r="J86" t="s">
        <v>3</v>
      </c>
      <c r="K86">
        <v>0.99999689999999997</v>
      </c>
      <c r="L86" t="s">
        <v>2</v>
      </c>
      <c r="M86">
        <v>1.6266699999999999E-2</v>
      </c>
      <c r="N86" t="s">
        <v>17</v>
      </c>
      <c r="O86">
        <v>16</v>
      </c>
      <c r="P86" t="s">
        <v>0</v>
      </c>
      <c r="Q86">
        <v>1200.5</v>
      </c>
      <c r="R86" t="s">
        <v>152</v>
      </c>
      <c r="S86">
        <v>19</v>
      </c>
      <c r="T86" t="s">
        <v>153</v>
      </c>
      <c r="U86">
        <v>97</v>
      </c>
      <c r="V86" t="s">
        <v>151</v>
      </c>
      <c r="W86">
        <v>130376</v>
      </c>
      <c r="X86" t="s">
        <v>1</v>
      </c>
      <c r="Y86" t="e" cm="1">
        <f t="array" aca="1" ref="Y86" ca="1">-0.4697848492733+((((6.275496366528*V2)*V3)*pow(v0,-1))*pow(V1,-1))</f>
        <v>#VALUE!</v>
      </c>
      <c r="Z86" t="s">
        <v>4</v>
      </c>
      <c r="AA86">
        <v>0.99999709999999997</v>
      </c>
      <c r="AB86" t="s">
        <v>5</v>
      </c>
      <c r="AC86">
        <v>1.6003900000000001E-2</v>
      </c>
    </row>
    <row r="87" spans="1:29" x14ac:dyDescent="0.25">
      <c r="A87" t="s">
        <v>95</v>
      </c>
      <c r="B87" t="s">
        <v>189</v>
      </c>
      <c r="C87">
        <v>1200</v>
      </c>
      <c r="D87" t="s">
        <v>190</v>
      </c>
      <c r="E87">
        <v>1000000</v>
      </c>
      <c r="F87" t="s">
        <v>191</v>
      </c>
      <c r="G87">
        <v>12345</v>
      </c>
      <c r="H87" t="s">
        <v>192</v>
      </c>
      <c r="I87">
        <v>5.0000000000000001E-4</v>
      </c>
      <c r="J87" t="s">
        <v>3</v>
      </c>
      <c r="K87">
        <v>1</v>
      </c>
      <c r="L87" t="s">
        <v>2</v>
      </c>
      <c r="M87">
        <v>0</v>
      </c>
      <c r="N87" t="s">
        <v>17</v>
      </c>
      <c r="O87">
        <v>12</v>
      </c>
      <c r="P87" t="s">
        <v>0</v>
      </c>
      <c r="Q87">
        <v>14.4</v>
      </c>
      <c r="R87" t="s">
        <v>152</v>
      </c>
      <c r="S87">
        <v>1</v>
      </c>
      <c r="T87" t="s">
        <v>153</v>
      </c>
      <c r="U87">
        <v>4</v>
      </c>
      <c r="V87" t="s">
        <v>151</v>
      </c>
      <c r="W87">
        <v>2572</v>
      </c>
      <c r="X87" t="s">
        <v>1</v>
      </c>
      <c r="Y87" t="s">
        <v>175</v>
      </c>
      <c r="Z87" t="s">
        <v>4</v>
      </c>
      <c r="AA87">
        <v>1</v>
      </c>
      <c r="AB87" t="s">
        <v>5</v>
      </c>
      <c r="AC87">
        <v>0</v>
      </c>
    </row>
    <row r="88" spans="1:29" x14ac:dyDescent="0.25">
      <c r="A88" t="s">
        <v>87</v>
      </c>
      <c r="B88" t="s">
        <v>189</v>
      </c>
      <c r="C88">
        <v>1200</v>
      </c>
      <c r="D88" t="s">
        <v>190</v>
      </c>
      <c r="E88">
        <v>1000000</v>
      </c>
      <c r="F88" t="s">
        <v>191</v>
      </c>
      <c r="G88">
        <v>12345</v>
      </c>
      <c r="H88" t="s">
        <v>192</v>
      </c>
      <c r="I88">
        <v>5.0000000000000001E-4</v>
      </c>
      <c r="J88" t="s">
        <v>3</v>
      </c>
      <c r="K88">
        <v>0.99422569999999999</v>
      </c>
      <c r="L88" t="s">
        <v>2</v>
      </c>
      <c r="M88">
        <v>3.4193800000000003E-2</v>
      </c>
      <c r="N88" t="s">
        <v>17</v>
      </c>
      <c r="O88">
        <v>50</v>
      </c>
      <c r="P88" t="s">
        <v>0</v>
      </c>
      <c r="Q88">
        <v>1202.0999999999999</v>
      </c>
      <c r="R88" t="s">
        <v>152</v>
      </c>
      <c r="S88">
        <v>6</v>
      </c>
      <c r="T88" t="s">
        <v>153</v>
      </c>
      <c r="U88">
        <v>49</v>
      </c>
      <c r="V88" t="s">
        <v>151</v>
      </c>
      <c r="W88">
        <v>120206</v>
      </c>
      <c r="X88" t="s">
        <v>1</v>
      </c>
      <c r="Y88" t="s">
        <v>402</v>
      </c>
      <c r="Z88" t="s">
        <v>4</v>
      </c>
      <c r="AA88">
        <v>0.99417270000000002</v>
      </c>
      <c r="AB88" t="s">
        <v>5</v>
      </c>
      <c r="AC88">
        <v>3.4296199999999999E-2</v>
      </c>
    </row>
    <row r="89" spans="1:29" x14ac:dyDescent="0.25">
      <c r="A89" t="s">
        <v>119</v>
      </c>
      <c r="B89" t="s">
        <v>189</v>
      </c>
      <c r="C89">
        <v>1200</v>
      </c>
      <c r="D89" t="s">
        <v>190</v>
      </c>
      <c r="E89">
        <v>1000000</v>
      </c>
      <c r="F89" t="s">
        <v>191</v>
      </c>
      <c r="G89">
        <v>12345</v>
      </c>
      <c r="H89" t="s">
        <v>192</v>
      </c>
      <c r="I89">
        <v>5.0000000000000001E-4</v>
      </c>
      <c r="J89" t="s">
        <v>3</v>
      </c>
      <c r="K89">
        <v>0.99325149999999995</v>
      </c>
      <c r="L89" t="s">
        <v>2</v>
      </c>
      <c r="M89">
        <v>0.56338759999999999</v>
      </c>
      <c r="N89" t="s">
        <v>17</v>
      </c>
      <c r="O89">
        <v>24</v>
      </c>
      <c r="P89" t="s">
        <v>0</v>
      </c>
      <c r="Q89">
        <v>1200.2</v>
      </c>
      <c r="R89" t="s">
        <v>152</v>
      </c>
      <c r="S89">
        <v>2</v>
      </c>
      <c r="T89" t="s">
        <v>153</v>
      </c>
      <c r="U89">
        <v>42</v>
      </c>
      <c r="V89" t="s">
        <v>151</v>
      </c>
      <c r="W89">
        <v>119101</v>
      </c>
      <c r="X89" t="s">
        <v>1</v>
      </c>
      <c r="Y89" t="s">
        <v>403</v>
      </c>
      <c r="Z89" t="s">
        <v>4</v>
      </c>
      <c r="AA89">
        <v>0.99247660000000004</v>
      </c>
      <c r="AB89" t="s">
        <v>5</v>
      </c>
      <c r="AC89">
        <v>0.6069563</v>
      </c>
    </row>
    <row r="90" spans="1:29" x14ac:dyDescent="0.25">
      <c r="A90" t="s">
        <v>106</v>
      </c>
      <c r="B90" t="s">
        <v>189</v>
      </c>
      <c r="C90">
        <v>1200</v>
      </c>
      <c r="D90" t="s">
        <v>190</v>
      </c>
      <c r="E90">
        <v>1000000</v>
      </c>
      <c r="F90" t="s">
        <v>191</v>
      </c>
      <c r="G90">
        <v>12345</v>
      </c>
      <c r="H90" t="s">
        <v>192</v>
      </c>
      <c r="I90">
        <v>5.0000000000000001E-4</v>
      </c>
      <c r="J90" t="s">
        <v>3</v>
      </c>
      <c r="K90">
        <v>1</v>
      </c>
      <c r="L90" t="s">
        <v>2</v>
      </c>
      <c r="M90">
        <v>0</v>
      </c>
      <c r="N90" t="s">
        <v>17</v>
      </c>
      <c r="O90">
        <v>24</v>
      </c>
      <c r="P90" t="s">
        <v>0</v>
      </c>
      <c r="Q90">
        <v>69.400000000000006</v>
      </c>
      <c r="R90" t="s">
        <v>152</v>
      </c>
      <c r="S90">
        <v>1</v>
      </c>
      <c r="T90" t="s">
        <v>153</v>
      </c>
      <c r="U90">
        <v>8</v>
      </c>
      <c r="V90" t="s">
        <v>151</v>
      </c>
      <c r="W90">
        <v>9635</v>
      </c>
      <c r="X90" t="s">
        <v>1</v>
      </c>
      <c r="Y90" t="s">
        <v>184</v>
      </c>
      <c r="Z90" t="s">
        <v>4</v>
      </c>
      <c r="AA90">
        <v>1</v>
      </c>
      <c r="AB90" t="s">
        <v>5</v>
      </c>
      <c r="AC90">
        <v>0</v>
      </c>
    </row>
    <row r="91" spans="1:29" x14ac:dyDescent="0.25">
      <c r="A91" t="s">
        <v>129</v>
      </c>
      <c r="B91" t="s">
        <v>189</v>
      </c>
      <c r="C91">
        <v>1200</v>
      </c>
      <c r="D91" t="s">
        <v>190</v>
      </c>
      <c r="E91">
        <v>1000000</v>
      </c>
      <c r="F91" t="s">
        <v>191</v>
      </c>
      <c r="G91">
        <v>12345</v>
      </c>
      <c r="H91" t="s">
        <v>192</v>
      </c>
      <c r="I91">
        <v>5.0000000000000001E-4</v>
      </c>
      <c r="J91" t="s">
        <v>3</v>
      </c>
      <c r="K91">
        <v>1</v>
      </c>
      <c r="L91" t="s">
        <v>2</v>
      </c>
      <c r="M91">
        <v>0</v>
      </c>
      <c r="N91" t="s">
        <v>17</v>
      </c>
      <c r="O91">
        <v>15</v>
      </c>
      <c r="P91" t="s">
        <v>0</v>
      </c>
      <c r="Q91">
        <v>28.7</v>
      </c>
      <c r="R91" t="s">
        <v>152</v>
      </c>
      <c r="S91">
        <v>1</v>
      </c>
      <c r="T91" t="s">
        <v>153</v>
      </c>
      <c r="U91">
        <v>8</v>
      </c>
      <c r="V91" t="s">
        <v>151</v>
      </c>
      <c r="W91">
        <v>5362</v>
      </c>
      <c r="X91" t="s">
        <v>1</v>
      </c>
      <c r="Y91" t="s">
        <v>251</v>
      </c>
      <c r="Z91" t="s">
        <v>4</v>
      </c>
      <c r="AA91">
        <v>1</v>
      </c>
      <c r="AB91" t="s">
        <v>5</v>
      </c>
      <c r="AC91">
        <v>0</v>
      </c>
    </row>
    <row r="92" spans="1:29" x14ac:dyDescent="0.25">
      <c r="A92" t="s">
        <v>116</v>
      </c>
      <c r="B92" t="s">
        <v>189</v>
      </c>
      <c r="C92">
        <v>1200</v>
      </c>
      <c r="D92" t="s">
        <v>190</v>
      </c>
      <c r="E92">
        <v>1000000</v>
      </c>
      <c r="F92" t="s">
        <v>191</v>
      </c>
      <c r="G92">
        <v>12345</v>
      </c>
      <c r="H92" t="s">
        <v>192</v>
      </c>
      <c r="I92">
        <v>5.0000000000000001E-4</v>
      </c>
      <c r="J92" t="s">
        <v>3</v>
      </c>
      <c r="K92">
        <v>1</v>
      </c>
      <c r="L92" t="s">
        <v>2</v>
      </c>
      <c r="M92">
        <v>0</v>
      </c>
      <c r="N92" t="s">
        <v>17</v>
      </c>
      <c r="O92">
        <v>15</v>
      </c>
      <c r="P92" t="s">
        <v>0</v>
      </c>
      <c r="Q92">
        <v>39.299999999999997</v>
      </c>
      <c r="R92" t="s">
        <v>152</v>
      </c>
      <c r="S92">
        <v>1</v>
      </c>
      <c r="T92" t="s">
        <v>153</v>
      </c>
      <c r="U92">
        <v>7</v>
      </c>
      <c r="V92" t="s">
        <v>151</v>
      </c>
      <c r="W92">
        <v>6143</v>
      </c>
      <c r="X92" t="s">
        <v>1</v>
      </c>
      <c r="Y92" t="s">
        <v>170</v>
      </c>
      <c r="Z92" t="s">
        <v>4</v>
      </c>
      <c r="AA92">
        <v>1</v>
      </c>
      <c r="AB92" t="s">
        <v>5</v>
      </c>
      <c r="AC92">
        <v>0</v>
      </c>
    </row>
    <row r="93" spans="1:29" x14ac:dyDescent="0.25">
      <c r="A93" t="s">
        <v>126</v>
      </c>
      <c r="B93" t="s">
        <v>189</v>
      </c>
      <c r="C93">
        <v>1200</v>
      </c>
      <c r="D93" t="s">
        <v>190</v>
      </c>
      <c r="E93">
        <v>1000000</v>
      </c>
      <c r="F93" t="s">
        <v>191</v>
      </c>
      <c r="G93">
        <v>12345</v>
      </c>
      <c r="H93" t="s">
        <v>192</v>
      </c>
      <c r="I93">
        <v>5.0000000000000001E-4</v>
      </c>
      <c r="J93" t="s">
        <v>3</v>
      </c>
      <c r="K93">
        <v>1</v>
      </c>
      <c r="L93" t="s">
        <v>2</v>
      </c>
      <c r="M93">
        <v>0</v>
      </c>
      <c r="N93" t="s">
        <v>17</v>
      </c>
      <c r="O93">
        <v>24</v>
      </c>
      <c r="P93" t="s">
        <v>0</v>
      </c>
      <c r="Q93">
        <v>73.5</v>
      </c>
      <c r="R93" t="s">
        <v>152</v>
      </c>
      <c r="S93">
        <v>1</v>
      </c>
      <c r="T93" t="s">
        <v>153</v>
      </c>
      <c r="U93">
        <v>8</v>
      </c>
      <c r="V93" t="s">
        <v>151</v>
      </c>
      <c r="W93">
        <v>10474</v>
      </c>
      <c r="X93" t="s">
        <v>1</v>
      </c>
      <c r="Y93" t="s">
        <v>258</v>
      </c>
      <c r="Z93" t="s">
        <v>4</v>
      </c>
      <c r="AA93">
        <v>1</v>
      </c>
      <c r="AB93" t="s">
        <v>5</v>
      </c>
      <c r="AC93">
        <v>0</v>
      </c>
    </row>
    <row r="94" spans="1:29" x14ac:dyDescent="0.25">
      <c r="A94" t="s">
        <v>108</v>
      </c>
      <c r="B94" t="s">
        <v>189</v>
      </c>
      <c r="C94">
        <v>1200</v>
      </c>
      <c r="D94" t="s">
        <v>190</v>
      </c>
      <c r="E94">
        <v>1000000</v>
      </c>
      <c r="F94" t="s">
        <v>191</v>
      </c>
      <c r="G94">
        <v>12345</v>
      </c>
      <c r="H94" t="s">
        <v>192</v>
      </c>
      <c r="I94">
        <v>5.0000000000000001E-4</v>
      </c>
      <c r="J94" t="s">
        <v>3</v>
      </c>
      <c r="K94">
        <v>1</v>
      </c>
      <c r="L94" t="s">
        <v>2</v>
      </c>
      <c r="M94">
        <v>0</v>
      </c>
      <c r="N94" t="s">
        <v>17</v>
      </c>
      <c r="O94">
        <v>24</v>
      </c>
      <c r="P94" t="s">
        <v>0</v>
      </c>
      <c r="Q94">
        <v>255.9</v>
      </c>
      <c r="R94" t="s">
        <v>152</v>
      </c>
      <c r="S94">
        <v>1</v>
      </c>
      <c r="T94" t="s">
        <v>153</v>
      </c>
      <c r="U94">
        <v>16</v>
      </c>
      <c r="V94" t="s">
        <v>151</v>
      </c>
      <c r="W94">
        <v>32433</v>
      </c>
      <c r="X94" t="s">
        <v>1</v>
      </c>
      <c r="Y94" t="s">
        <v>404</v>
      </c>
      <c r="Z94" t="s">
        <v>4</v>
      </c>
      <c r="AA94">
        <v>1</v>
      </c>
      <c r="AB94" t="s">
        <v>5</v>
      </c>
      <c r="AC94">
        <v>0</v>
      </c>
    </row>
    <row r="95" spans="1:29" x14ac:dyDescent="0.25">
      <c r="A95" t="s">
        <v>139</v>
      </c>
      <c r="B95" t="s">
        <v>189</v>
      </c>
      <c r="C95">
        <v>1200</v>
      </c>
      <c r="D95" t="s">
        <v>190</v>
      </c>
      <c r="E95">
        <v>1000000</v>
      </c>
      <c r="F95" t="s">
        <v>191</v>
      </c>
      <c r="G95">
        <v>12345</v>
      </c>
      <c r="H95" t="s">
        <v>192</v>
      </c>
      <c r="I95">
        <v>5.0000000000000001E-4</v>
      </c>
      <c r="J95" t="s">
        <v>3</v>
      </c>
      <c r="K95">
        <v>1</v>
      </c>
      <c r="L95" t="s">
        <v>2</v>
      </c>
      <c r="M95">
        <v>0</v>
      </c>
      <c r="N95" t="s">
        <v>17</v>
      </c>
      <c r="O95">
        <v>50</v>
      </c>
      <c r="P95" t="s">
        <v>0</v>
      </c>
      <c r="Q95">
        <v>289.10000000000002</v>
      </c>
      <c r="R95" t="s">
        <v>152</v>
      </c>
      <c r="S95">
        <v>1</v>
      </c>
      <c r="T95" t="s">
        <v>153</v>
      </c>
      <c r="U95">
        <v>11</v>
      </c>
      <c r="V95" t="s">
        <v>151</v>
      </c>
      <c r="W95">
        <v>31415</v>
      </c>
      <c r="X95" t="s">
        <v>1</v>
      </c>
      <c r="Y95" t="s">
        <v>253</v>
      </c>
      <c r="Z95" t="s">
        <v>4</v>
      </c>
      <c r="AA95">
        <v>1</v>
      </c>
      <c r="AB95" t="s">
        <v>5</v>
      </c>
      <c r="AC95">
        <v>0</v>
      </c>
    </row>
    <row r="96" spans="1:29" x14ac:dyDescent="0.25">
      <c r="A96" t="s">
        <v>105</v>
      </c>
      <c r="B96" t="s">
        <v>189</v>
      </c>
      <c r="C96">
        <v>1200</v>
      </c>
      <c r="D96" t="s">
        <v>190</v>
      </c>
      <c r="E96">
        <v>1000000</v>
      </c>
      <c r="F96" t="s">
        <v>191</v>
      </c>
      <c r="G96">
        <v>12345</v>
      </c>
      <c r="H96" t="s">
        <v>192</v>
      </c>
      <c r="I96">
        <v>5.0000000000000001E-4</v>
      </c>
      <c r="J96" t="s">
        <v>3</v>
      </c>
      <c r="K96">
        <v>1</v>
      </c>
      <c r="L96" t="s">
        <v>2</v>
      </c>
      <c r="M96">
        <v>0</v>
      </c>
      <c r="N96" t="s">
        <v>17</v>
      </c>
      <c r="O96">
        <v>24</v>
      </c>
      <c r="P96" t="s">
        <v>0</v>
      </c>
      <c r="Q96">
        <v>349.1</v>
      </c>
      <c r="R96" t="s">
        <v>152</v>
      </c>
      <c r="S96">
        <v>4</v>
      </c>
      <c r="T96" t="s">
        <v>153</v>
      </c>
      <c r="U96">
        <v>21</v>
      </c>
      <c r="V96" t="s">
        <v>151</v>
      </c>
      <c r="W96">
        <v>39134</v>
      </c>
      <c r="X96" t="s">
        <v>1</v>
      </c>
      <c r="Y96" t="s">
        <v>213</v>
      </c>
      <c r="Z96" t="s">
        <v>4</v>
      </c>
      <c r="AA96">
        <v>1</v>
      </c>
      <c r="AB96" t="s">
        <v>5</v>
      </c>
      <c r="AC96">
        <v>0</v>
      </c>
    </row>
    <row r="97" spans="1:29" x14ac:dyDescent="0.25">
      <c r="A97" t="s">
        <v>92</v>
      </c>
      <c r="B97" t="s">
        <v>189</v>
      </c>
      <c r="C97">
        <v>1200</v>
      </c>
      <c r="D97" t="s">
        <v>190</v>
      </c>
      <c r="E97">
        <v>1000000</v>
      </c>
      <c r="F97" t="s">
        <v>191</v>
      </c>
      <c r="G97">
        <v>12345</v>
      </c>
      <c r="H97" t="s">
        <v>192</v>
      </c>
      <c r="I97">
        <v>5.0000000000000001E-4</v>
      </c>
      <c r="J97" t="s">
        <v>3</v>
      </c>
      <c r="K97">
        <v>0.99966250000000001</v>
      </c>
      <c r="L97" t="s">
        <v>2</v>
      </c>
      <c r="M97">
        <v>2.2216E-2</v>
      </c>
      <c r="N97" t="s">
        <v>17</v>
      </c>
      <c r="O97">
        <v>32</v>
      </c>
      <c r="P97" t="s">
        <v>0</v>
      </c>
      <c r="Q97">
        <v>1200.7</v>
      </c>
      <c r="R97" t="s">
        <v>152</v>
      </c>
      <c r="S97">
        <v>14</v>
      </c>
      <c r="T97" t="s">
        <v>153</v>
      </c>
      <c r="U97">
        <v>96</v>
      </c>
      <c r="V97" t="s">
        <v>151</v>
      </c>
      <c r="W97">
        <v>144341</v>
      </c>
      <c r="X97" t="s">
        <v>1</v>
      </c>
      <c r="Y97" t="s">
        <v>405</v>
      </c>
      <c r="Z97" t="s">
        <v>4</v>
      </c>
      <c r="AA97">
        <v>0.99965769999999998</v>
      </c>
      <c r="AB97" t="s">
        <v>5</v>
      </c>
      <c r="AC97">
        <v>2.2395600000000002E-2</v>
      </c>
    </row>
    <row r="98" spans="1:29" x14ac:dyDescent="0.25">
      <c r="A98" t="s">
        <v>102</v>
      </c>
      <c r="B98" t="s">
        <v>189</v>
      </c>
      <c r="C98">
        <v>1200</v>
      </c>
      <c r="D98" t="s">
        <v>190</v>
      </c>
      <c r="E98">
        <v>1000000</v>
      </c>
      <c r="F98" t="s">
        <v>191</v>
      </c>
      <c r="G98">
        <v>12345</v>
      </c>
      <c r="H98" t="s">
        <v>192</v>
      </c>
      <c r="I98">
        <v>5.0000000000000001E-4</v>
      </c>
      <c r="J98" t="s">
        <v>3</v>
      </c>
      <c r="K98">
        <v>1</v>
      </c>
      <c r="L98" t="s">
        <v>2</v>
      </c>
      <c r="M98">
        <v>0</v>
      </c>
      <c r="N98" t="s">
        <v>17</v>
      </c>
      <c r="O98">
        <v>12</v>
      </c>
      <c r="P98" t="s">
        <v>0</v>
      </c>
      <c r="Q98">
        <v>14.7</v>
      </c>
      <c r="R98" t="s">
        <v>152</v>
      </c>
      <c r="S98">
        <v>1</v>
      </c>
      <c r="T98" t="s">
        <v>153</v>
      </c>
      <c r="U98">
        <v>4</v>
      </c>
      <c r="V98" t="s">
        <v>151</v>
      </c>
      <c r="W98">
        <v>2574</v>
      </c>
      <c r="X98" t="s">
        <v>1</v>
      </c>
      <c r="Y98" t="s">
        <v>177</v>
      </c>
      <c r="Z98" t="s">
        <v>4</v>
      </c>
      <c r="AA98">
        <v>1</v>
      </c>
      <c r="AB98" t="s">
        <v>5</v>
      </c>
      <c r="AC98">
        <v>0</v>
      </c>
    </row>
    <row r="99" spans="1:29" x14ac:dyDescent="0.25">
      <c r="A99" t="s">
        <v>149</v>
      </c>
      <c r="B99" t="s">
        <v>189</v>
      </c>
      <c r="C99">
        <v>1200</v>
      </c>
      <c r="D99" t="s">
        <v>190</v>
      </c>
      <c r="E99">
        <v>1000000</v>
      </c>
      <c r="F99" t="s">
        <v>191</v>
      </c>
      <c r="G99">
        <v>12345</v>
      </c>
      <c r="H99" t="s">
        <v>192</v>
      </c>
      <c r="I99">
        <v>5.0000000000000001E-4</v>
      </c>
      <c r="J99" t="s">
        <v>3</v>
      </c>
      <c r="K99">
        <v>1</v>
      </c>
      <c r="L99" t="s">
        <v>2</v>
      </c>
      <c r="M99">
        <v>0</v>
      </c>
      <c r="N99" t="s">
        <v>17</v>
      </c>
      <c r="O99">
        <v>38</v>
      </c>
      <c r="P99" t="s">
        <v>0</v>
      </c>
      <c r="Q99">
        <v>287.2</v>
      </c>
      <c r="R99" t="s">
        <v>152</v>
      </c>
      <c r="S99">
        <v>1</v>
      </c>
      <c r="T99" t="s">
        <v>153</v>
      </c>
      <c r="U99">
        <v>12</v>
      </c>
      <c r="V99" t="s">
        <v>151</v>
      </c>
      <c r="W99">
        <v>32871</v>
      </c>
      <c r="X99" t="s">
        <v>1</v>
      </c>
      <c r="Y99" t="s">
        <v>180</v>
      </c>
      <c r="Z99" t="s">
        <v>4</v>
      </c>
      <c r="AA99">
        <v>1</v>
      </c>
      <c r="AB99" t="s">
        <v>5</v>
      </c>
      <c r="AC99">
        <v>0</v>
      </c>
    </row>
    <row r="100" spans="1:29" x14ac:dyDescent="0.25">
      <c r="A100" t="s">
        <v>143</v>
      </c>
      <c r="B100" t="s">
        <v>189</v>
      </c>
      <c r="C100">
        <v>1200</v>
      </c>
      <c r="D100" t="s">
        <v>190</v>
      </c>
      <c r="E100">
        <v>1000000</v>
      </c>
      <c r="F100" t="s">
        <v>191</v>
      </c>
      <c r="G100">
        <v>12345</v>
      </c>
      <c r="H100" t="s">
        <v>192</v>
      </c>
      <c r="I100">
        <v>5.0000000000000001E-4</v>
      </c>
      <c r="J100" t="s">
        <v>3</v>
      </c>
      <c r="K100">
        <v>0.6702323</v>
      </c>
      <c r="L100" t="s">
        <v>2</v>
      </c>
      <c r="M100">
        <v>1.160209</v>
      </c>
      <c r="N100" t="s">
        <v>17</v>
      </c>
      <c r="O100">
        <v>43</v>
      </c>
      <c r="P100" t="s">
        <v>0</v>
      </c>
      <c r="Q100">
        <v>1200.9000000000001</v>
      </c>
      <c r="R100" t="s">
        <v>152</v>
      </c>
      <c r="S100">
        <v>7</v>
      </c>
      <c r="T100" t="s">
        <v>153</v>
      </c>
      <c r="U100">
        <v>51</v>
      </c>
      <c r="V100" t="s">
        <v>151</v>
      </c>
      <c r="W100">
        <v>147056</v>
      </c>
      <c r="X100" t="s">
        <v>1</v>
      </c>
      <c r="Y100" t="e" cm="1">
        <f t="array" aca="1" ref="Y100" ca="1">-0.14418950248+(((0.3111903261273*V3)*SIN(V4))*SIN(V5))+(((1.5637606067616*V1)*pow(EXP(v0),0.5))*EXP((-1*V2)))+(((((2.1505181497262*v0)*V1)*EXP((-1*V2)))*SIN(V4))*SIN(V5))</f>
        <v>#VALUE!</v>
      </c>
      <c r="Z100" t="s">
        <v>4</v>
      </c>
      <c r="AA100">
        <v>0.66123089999999995</v>
      </c>
      <c r="AB100" t="s">
        <v>5</v>
      </c>
      <c r="AC100">
        <v>1.1801288000000001</v>
      </c>
    </row>
    <row r="101" spans="1:29" x14ac:dyDescent="0.25">
      <c r="A101" t="s">
        <v>121</v>
      </c>
      <c r="B101" t="s">
        <v>189</v>
      </c>
      <c r="C101">
        <v>1200</v>
      </c>
      <c r="D101" t="s">
        <v>190</v>
      </c>
      <c r="E101">
        <v>1000000</v>
      </c>
      <c r="F101" t="s">
        <v>191</v>
      </c>
      <c r="G101">
        <v>12345</v>
      </c>
      <c r="H101" t="s">
        <v>192</v>
      </c>
      <c r="I101">
        <v>5.0000000000000001E-4</v>
      </c>
      <c r="J101" t="s">
        <v>3</v>
      </c>
      <c r="K101">
        <v>0.99378809999999995</v>
      </c>
      <c r="L101" t="s">
        <v>2</v>
      </c>
      <c r="M101">
        <v>0.3971171</v>
      </c>
      <c r="N101" t="s">
        <v>17</v>
      </c>
      <c r="O101">
        <v>62</v>
      </c>
      <c r="P101" t="s">
        <v>0</v>
      </c>
      <c r="Q101">
        <v>1202</v>
      </c>
      <c r="R101" t="s">
        <v>152</v>
      </c>
      <c r="S101">
        <v>3</v>
      </c>
      <c r="T101" t="s">
        <v>153</v>
      </c>
      <c r="U101">
        <v>36</v>
      </c>
      <c r="V101" t="s">
        <v>151</v>
      </c>
      <c r="W101">
        <v>113639</v>
      </c>
      <c r="X101" t="s">
        <v>1</v>
      </c>
      <c r="Y101" t="s">
        <v>406</v>
      </c>
      <c r="Z101" t="s">
        <v>4</v>
      </c>
      <c r="AA101">
        <v>0.99391620000000003</v>
      </c>
      <c r="AB101" t="s">
        <v>5</v>
      </c>
      <c r="AC101">
        <v>0.39291300000000001</v>
      </c>
    </row>
    <row r="102" spans="1:29" x14ac:dyDescent="0.25">
      <c r="A102" t="s">
        <v>150</v>
      </c>
      <c r="B102" t="s">
        <v>189</v>
      </c>
      <c r="C102">
        <v>1200</v>
      </c>
      <c r="D102" t="s">
        <v>190</v>
      </c>
      <c r="E102">
        <v>1000000</v>
      </c>
      <c r="F102" t="s">
        <v>191</v>
      </c>
      <c r="G102">
        <v>12345</v>
      </c>
      <c r="H102" t="s">
        <v>192</v>
      </c>
      <c r="I102">
        <v>5.0000000000000001E-4</v>
      </c>
      <c r="J102" t="s">
        <v>3</v>
      </c>
      <c r="K102">
        <v>0.98173549999999998</v>
      </c>
      <c r="L102" t="s">
        <v>2</v>
      </c>
      <c r="M102">
        <v>1.6581800000000001E-2</v>
      </c>
      <c r="N102" t="s">
        <v>17</v>
      </c>
      <c r="O102">
        <v>48</v>
      </c>
      <c r="P102" t="s">
        <v>0</v>
      </c>
      <c r="Q102">
        <v>1200.2</v>
      </c>
      <c r="R102" t="s">
        <v>152</v>
      </c>
      <c r="S102">
        <v>5</v>
      </c>
      <c r="T102" t="s">
        <v>153</v>
      </c>
      <c r="U102">
        <v>40</v>
      </c>
      <c r="V102" t="s">
        <v>151</v>
      </c>
      <c r="W102">
        <v>132038</v>
      </c>
      <c r="X102" t="s">
        <v>1</v>
      </c>
      <c r="Y102" t="e" cm="1">
        <f t="array" aca="1" ref="Y102" ca="1">-0.0040604544392+(((((((1.19326208727*v0)*#REF!)*#REF!)*#REF!)*pow(#REF!,-1))*pow(#REF!,-1))*pow(#REF!,-1))+((((((((0.7996875239913*v0)*#REF!)*#REF!)*#REF!)*V1)*pow(#REF!,-1))*pow(#REF!,-1))*pow(#REF!,-1))</f>
        <v>#NAME?</v>
      </c>
      <c r="Z102" t="s">
        <v>4</v>
      </c>
      <c r="AA102">
        <v>0.98163889999999998</v>
      </c>
      <c r="AB102" t="s">
        <v>5</v>
      </c>
      <c r="AC102">
        <v>1.6761499999999999E-2</v>
      </c>
    </row>
    <row r="103" spans="1:29" x14ac:dyDescent="0.25">
      <c r="A103" t="s">
        <v>94</v>
      </c>
      <c r="B103" t="s">
        <v>189</v>
      </c>
      <c r="C103">
        <v>1200</v>
      </c>
      <c r="D103" t="s">
        <v>190</v>
      </c>
      <c r="E103">
        <v>1000000</v>
      </c>
      <c r="F103" t="s">
        <v>191</v>
      </c>
      <c r="G103">
        <v>12345</v>
      </c>
      <c r="H103" t="s">
        <v>192</v>
      </c>
      <c r="I103">
        <v>5.0000000000000001E-4</v>
      </c>
      <c r="J103" t="s">
        <v>3</v>
      </c>
      <c r="K103">
        <v>0.99994989999999995</v>
      </c>
      <c r="L103" t="s">
        <v>2</v>
      </c>
      <c r="M103">
        <v>2.2583599999999999E-2</v>
      </c>
      <c r="N103" t="s">
        <v>17</v>
      </c>
      <c r="O103">
        <v>62</v>
      </c>
      <c r="P103" t="s">
        <v>0</v>
      </c>
      <c r="Q103">
        <v>1201.0999999999999</v>
      </c>
      <c r="R103" t="s">
        <v>152</v>
      </c>
      <c r="S103">
        <v>4</v>
      </c>
      <c r="T103" t="s">
        <v>153</v>
      </c>
      <c r="U103">
        <v>38</v>
      </c>
      <c r="V103" t="s">
        <v>151</v>
      </c>
      <c r="W103">
        <v>104775</v>
      </c>
      <c r="X103" t="s">
        <v>1</v>
      </c>
      <c r="Y103" t="s">
        <v>407</v>
      </c>
      <c r="Z103" t="s">
        <v>4</v>
      </c>
      <c r="AA103">
        <v>0.99995040000000002</v>
      </c>
      <c r="AB103" t="s">
        <v>5</v>
      </c>
      <c r="AC103">
        <v>2.24619E-2</v>
      </c>
    </row>
    <row r="104" spans="1:29" x14ac:dyDescent="0.25">
      <c r="A104" t="s">
        <v>97</v>
      </c>
      <c r="B104" t="s">
        <v>189</v>
      </c>
      <c r="C104">
        <v>1200</v>
      </c>
      <c r="D104" t="s">
        <v>190</v>
      </c>
      <c r="E104">
        <v>1000000</v>
      </c>
      <c r="F104" t="s">
        <v>191</v>
      </c>
      <c r="G104">
        <v>12345</v>
      </c>
      <c r="H104" t="s">
        <v>192</v>
      </c>
      <c r="I104">
        <v>5.0000000000000001E-4</v>
      </c>
      <c r="J104" t="s">
        <v>3</v>
      </c>
      <c r="K104">
        <v>0.99548099999999995</v>
      </c>
      <c r="L104" t="s">
        <v>2</v>
      </c>
      <c r="M104">
        <v>8.4892200000000001E-2</v>
      </c>
      <c r="N104" t="s">
        <v>17</v>
      </c>
      <c r="O104">
        <v>17</v>
      </c>
      <c r="P104" t="s">
        <v>0</v>
      </c>
      <c r="Q104">
        <v>1200.7</v>
      </c>
      <c r="R104" t="s">
        <v>152</v>
      </c>
      <c r="S104">
        <v>16</v>
      </c>
      <c r="T104" t="s">
        <v>153</v>
      </c>
      <c r="U104">
        <v>59</v>
      </c>
      <c r="V104" t="s">
        <v>151</v>
      </c>
      <c r="W104">
        <v>120084</v>
      </c>
      <c r="X104" t="s">
        <v>1</v>
      </c>
      <c r="Y104" t="s">
        <v>323</v>
      </c>
      <c r="Z104" t="s">
        <v>4</v>
      </c>
      <c r="AA104">
        <v>0.99576960000000003</v>
      </c>
      <c r="AB104" t="s">
        <v>5</v>
      </c>
      <c r="AC104">
        <v>8.2008600000000001E-2</v>
      </c>
    </row>
    <row r="105" spans="1:29" x14ac:dyDescent="0.25">
      <c r="A105" t="s">
        <v>136</v>
      </c>
      <c r="B105" t="s">
        <v>189</v>
      </c>
      <c r="C105">
        <v>1200</v>
      </c>
      <c r="D105" t="s">
        <v>190</v>
      </c>
      <c r="E105">
        <v>1000000</v>
      </c>
      <c r="F105" t="s">
        <v>191</v>
      </c>
      <c r="G105">
        <v>12345</v>
      </c>
      <c r="H105" t="s">
        <v>192</v>
      </c>
      <c r="I105">
        <v>5.0000000000000001E-4</v>
      </c>
      <c r="J105" t="s">
        <v>3</v>
      </c>
      <c r="K105">
        <v>0.99983840000000002</v>
      </c>
      <c r="L105" t="s">
        <v>2</v>
      </c>
      <c r="M105">
        <v>88.353629999999995</v>
      </c>
      <c r="N105" t="s">
        <v>17</v>
      </c>
      <c r="O105">
        <v>128</v>
      </c>
      <c r="P105" t="s">
        <v>0</v>
      </c>
      <c r="Q105">
        <v>1200.2</v>
      </c>
      <c r="R105" t="s">
        <v>152</v>
      </c>
      <c r="S105">
        <v>1</v>
      </c>
      <c r="T105" t="s">
        <v>153</v>
      </c>
      <c r="U105">
        <v>28</v>
      </c>
      <c r="V105" t="s">
        <v>151</v>
      </c>
      <c r="W105">
        <v>109732</v>
      </c>
      <c r="X105" t="s">
        <v>1</v>
      </c>
      <c r="Y105" t="s">
        <v>345</v>
      </c>
      <c r="Z105" t="s">
        <v>4</v>
      </c>
      <c r="AA105">
        <v>0.99982380000000004</v>
      </c>
      <c r="AB105" t="s">
        <v>5</v>
      </c>
      <c r="AC105">
        <v>85.284878500000005</v>
      </c>
    </row>
    <row r="106" spans="1:29" x14ac:dyDescent="0.25">
      <c r="A106" t="s">
        <v>107</v>
      </c>
      <c r="B106" t="s">
        <v>189</v>
      </c>
      <c r="C106">
        <v>1200</v>
      </c>
      <c r="D106" t="s">
        <v>190</v>
      </c>
      <c r="E106">
        <v>1000000</v>
      </c>
      <c r="F106" t="s">
        <v>191</v>
      </c>
      <c r="G106">
        <v>12345</v>
      </c>
      <c r="H106" t="s">
        <v>192</v>
      </c>
      <c r="I106">
        <v>5.0000000000000001E-4</v>
      </c>
      <c r="J106" t="s">
        <v>3</v>
      </c>
      <c r="K106">
        <v>1</v>
      </c>
      <c r="L106" t="s">
        <v>2</v>
      </c>
      <c r="M106">
        <v>0</v>
      </c>
      <c r="N106" t="s">
        <v>17</v>
      </c>
      <c r="O106">
        <v>24</v>
      </c>
      <c r="P106" t="s">
        <v>0</v>
      </c>
      <c r="Q106">
        <v>191.8</v>
      </c>
      <c r="R106" t="s">
        <v>152</v>
      </c>
      <c r="S106">
        <v>1</v>
      </c>
      <c r="T106" t="s">
        <v>153</v>
      </c>
      <c r="U106">
        <v>14</v>
      </c>
      <c r="V106" t="s">
        <v>151</v>
      </c>
      <c r="W106">
        <v>20856</v>
      </c>
      <c r="X106" t="s">
        <v>1</v>
      </c>
      <c r="Y106" t="s">
        <v>204</v>
      </c>
      <c r="Z106" t="s">
        <v>4</v>
      </c>
      <c r="AA106">
        <v>1</v>
      </c>
      <c r="AB106" t="s">
        <v>5</v>
      </c>
      <c r="AC106">
        <v>0</v>
      </c>
    </row>
    <row r="107" spans="1:29" x14ac:dyDescent="0.25">
      <c r="A107" t="s">
        <v>118</v>
      </c>
      <c r="B107" t="s">
        <v>189</v>
      </c>
      <c r="C107">
        <v>1200</v>
      </c>
      <c r="D107" t="s">
        <v>190</v>
      </c>
      <c r="E107">
        <v>1000000</v>
      </c>
      <c r="F107" t="s">
        <v>191</v>
      </c>
      <c r="G107">
        <v>12345</v>
      </c>
      <c r="H107" t="s">
        <v>192</v>
      </c>
      <c r="I107">
        <v>5.0000000000000001E-4</v>
      </c>
      <c r="J107" t="s">
        <v>3</v>
      </c>
      <c r="K107">
        <v>0.99958599999999997</v>
      </c>
      <c r="L107" t="s">
        <v>2</v>
      </c>
      <c r="M107">
        <v>2.5097999999999999E-2</v>
      </c>
      <c r="N107" t="s">
        <v>17</v>
      </c>
      <c r="O107">
        <v>22</v>
      </c>
      <c r="P107" t="s">
        <v>0</v>
      </c>
      <c r="Q107">
        <v>1200.3</v>
      </c>
      <c r="R107" t="s">
        <v>152</v>
      </c>
      <c r="S107">
        <v>14</v>
      </c>
      <c r="T107" t="s">
        <v>153</v>
      </c>
      <c r="U107">
        <v>100</v>
      </c>
      <c r="V107" t="s">
        <v>151</v>
      </c>
      <c r="W107">
        <v>149743</v>
      </c>
      <c r="X107" t="s">
        <v>1</v>
      </c>
      <c r="Y107" t="e" cm="1">
        <f t="array" aca="1" ref="Y107" ca="1">-0.1028851705266+(2.9489069275524*pow((v0*#REF!),0.5))+(((-0.0983750083044*#REF!)*pow(#REF!,2))*pow(#REF!,-2))</f>
        <v>#NAME?</v>
      </c>
      <c r="Z107" t="s">
        <v>4</v>
      </c>
      <c r="AA107">
        <v>0.99959350000000002</v>
      </c>
      <c r="AB107" t="s">
        <v>5</v>
      </c>
      <c r="AC107">
        <v>2.4893999999999999E-2</v>
      </c>
    </row>
    <row r="108" spans="1:29" x14ac:dyDescent="0.25">
      <c r="A108" t="s">
        <v>115</v>
      </c>
      <c r="B108" t="s">
        <v>189</v>
      </c>
      <c r="C108">
        <v>1200</v>
      </c>
      <c r="D108" t="s">
        <v>190</v>
      </c>
      <c r="E108">
        <v>1000000</v>
      </c>
      <c r="F108" t="s">
        <v>191</v>
      </c>
      <c r="G108">
        <v>12345</v>
      </c>
      <c r="H108" t="s">
        <v>192</v>
      </c>
      <c r="I108">
        <v>5.0000000000000001E-4</v>
      </c>
      <c r="J108" t="s">
        <v>3</v>
      </c>
      <c r="K108">
        <v>0.99872340000000004</v>
      </c>
      <c r="L108" t="s">
        <v>2</v>
      </c>
      <c r="M108">
        <v>1.0693E-3</v>
      </c>
      <c r="N108" t="s">
        <v>17</v>
      </c>
      <c r="O108">
        <v>20</v>
      </c>
      <c r="P108" t="s">
        <v>0</v>
      </c>
      <c r="Q108">
        <v>1200.5999999999999</v>
      </c>
      <c r="R108" t="s">
        <v>152</v>
      </c>
      <c r="S108">
        <v>4</v>
      </c>
      <c r="T108" t="s">
        <v>153</v>
      </c>
      <c r="U108">
        <v>51</v>
      </c>
      <c r="V108" t="s">
        <v>151</v>
      </c>
      <c r="W108">
        <v>126448</v>
      </c>
      <c r="X108" t="s">
        <v>1</v>
      </c>
      <c r="Y108" t="s">
        <v>408</v>
      </c>
      <c r="Z108" t="s">
        <v>4</v>
      </c>
      <c r="AA108">
        <v>0.998695</v>
      </c>
      <c r="AB108" t="s">
        <v>5</v>
      </c>
      <c r="AC108">
        <v>1.0665E-3</v>
      </c>
    </row>
    <row r="109" spans="1:29" x14ac:dyDescent="0.25">
      <c r="A109" t="s">
        <v>112</v>
      </c>
      <c r="B109" t="s">
        <v>189</v>
      </c>
      <c r="C109">
        <v>1200</v>
      </c>
      <c r="D109" t="s">
        <v>190</v>
      </c>
      <c r="E109">
        <v>1000000</v>
      </c>
      <c r="F109" t="s">
        <v>191</v>
      </c>
      <c r="G109">
        <v>12345</v>
      </c>
      <c r="H109" t="s">
        <v>192</v>
      </c>
      <c r="I109">
        <v>5.0000000000000001E-4</v>
      </c>
      <c r="J109" t="s">
        <v>3</v>
      </c>
      <c r="K109">
        <v>0.99998889999999996</v>
      </c>
      <c r="L109" t="s">
        <v>2</v>
      </c>
      <c r="M109">
        <v>2.3370999999999999E-3</v>
      </c>
      <c r="N109" t="s">
        <v>17</v>
      </c>
      <c r="O109">
        <v>28</v>
      </c>
      <c r="P109" t="s">
        <v>0</v>
      </c>
      <c r="Q109">
        <v>1201.5999999999999</v>
      </c>
      <c r="R109" t="s">
        <v>152</v>
      </c>
      <c r="S109">
        <v>22</v>
      </c>
      <c r="T109" t="s">
        <v>153</v>
      </c>
      <c r="U109">
        <v>74</v>
      </c>
      <c r="V109" t="s">
        <v>151</v>
      </c>
      <c r="W109">
        <v>141036</v>
      </c>
      <c r="X109" t="s">
        <v>1</v>
      </c>
      <c r="Y109" t="s">
        <v>409</v>
      </c>
      <c r="Z109" t="s">
        <v>4</v>
      </c>
      <c r="AA109">
        <v>0.99999280000000002</v>
      </c>
      <c r="AB109" t="s">
        <v>5</v>
      </c>
      <c r="AC109">
        <v>1.8688999999999999E-3</v>
      </c>
    </row>
    <row r="110" spans="1:29" x14ac:dyDescent="0.25">
      <c r="A110" t="s">
        <v>128</v>
      </c>
      <c r="B110" t="s">
        <v>189</v>
      </c>
      <c r="C110">
        <v>1200</v>
      </c>
      <c r="D110" t="s">
        <v>190</v>
      </c>
      <c r="E110">
        <v>1000000</v>
      </c>
      <c r="F110" t="s">
        <v>191</v>
      </c>
      <c r="G110">
        <v>12345</v>
      </c>
      <c r="H110" t="s">
        <v>192</v>
      </c>
      <c r="I110">
        <v>5.0000000000000001E-4</v>
      </c>
      <c r="J110" t="s">
        <v>3</v>
      </c>
      <c r="K110">
        <v>1</v>
      </c>
      <c r="L110" t="s">
        <v>2</v>
      </c>
      <c r="M110">
        <v>0</v>
      </c>
      <c r="N110" t="s">
        <v>17</v>
      </c>
      <c r="O110">
        <v>26</v>
      </c>
      <c r="P110" t="s">
        <v>0</v>
      </c>
      <c r="Q110">
        <v>123.5</v>
      </c>
      <c r="R110" t="s">
        <v>152</v>
      </c>
      <c r="S110">
        <v>1</v>
      </c>
      <c r="T110" t="s">
        <v>153</v>
      </c>
      <c r="U110">
        <v>12</v>
      </c>
      <c r="V110" t="s">
        <v>151</v>
      </c>
      <c r="W110">
        <v>16615</v>
      </c>
      <c r="X110" t="s">
        <v>1</v>
      </c>
      <c r="Y110" t="s">
        <v>308</v>
      </c>
      <c r="Z110" t="s">
        <v>4</v>
      </c>
      <c r="AA110">
        <v>1</v>
      </c>
      <c r="AB110" t="s">
        <v>5</v>
      </c>
      <c r="AC110">
        <v>0</v>
      </c>
    </row>
    <row r="111" spans="1:29" x14ac:dyDescent="0.25">
      <c r="A111" t="s">
        <v>104</v>
      </c>
      <c r="B111" t="s">
        <v>189</v>
      </c>
      <c r="C111">
        <v>1200</v>
      </c>
      <c r="D111" t="s">
        <v>190</v>
      </c>
      <c r="E111">
        <v>1000000</v>
      </c>
      <c r="F111" t="s">
        <v>191</v>
      </c>
      <c r="G111">
        <v>12345</v>
      </c>
      <c r="H111" t="s">
        <v>192</v>
      </c>
      <c r="I111">
        <v>5.0000000000000001E-4</v>
      </c>
      <c r="J111" t="s">
        <v>3</v>
      </c>
      <c r="K111">
        <v>1</v>
      </c>
      <c r="L111" t="s">
        <v>2</v>
      </c>
      <c r="M111">
        <v>5.9999999999999997E-7</v>
      </c>
      <c r="N111" t="s">
        <v>17</v>
      </c>
      <c r="O111">
        <v>25</v>
      </c>
      <c r="P111" t="s">
        <v>0</v>
      </c>
      <c r="Q111">
        <v>387.8</v>
      </c>
      <c r="R111" t="s">
        <v>152</v>
      </c>
      <c r="S111">
        <v>2</v>
      </c>
      <c r="T111" t="s">
        <v>153</v>
      </c>
      <c r="U111">
        <v>21</v>
      </c>
      <c r="V111" t="s">
        <v>151</v>
      </c>
      <c r="W111">
        <v>47640</v>
      </c>
      <c r="X111" t="s">
        <v>1</v>
      </c>
      <c r="Y111" t="e" cm="1">
        <f t="array" aca="1" ref="Y111" ca="1">-0.0000001517696+((((100.000038963966*#REF!)*pow(#REF!,-1))*pow(#REF!,2))*SIN(((0.0031830988618*pow(v0,-1))*pow(#REF!,-1))))</f>
        <v>#REF!</v>
      </c>
      <c r="Z111" t="s">
        <v>4</v>
      </c>
      <c r="AA111">
        <v>1</v>
      </c>
      <c r="AB111" t="s">
        <v>5</v>
      </c>
      <c r="AC111" s="7">
        <v>5.9999999999999997E-7</v>
      </c>
    </row>
    <row r="112" spans="1:29" x14ac:dyDescent="0.25">
      <c r="A112" t="s">
        <v>114</v>
      </c>
      <c r="B112" t="s">
        <v>189</v>
      </c>
      <c r="C112">
        <v>1200</v>
      </c>
      <c r="D112" t="s">
        <v>190</v>
      </c>
      <c r="E112">
        <v>1000000</v>
      </c>
      <c r="F112" t="s">
        <v>191</v>
      </c>
      <c r="G112">
        <v>12345</v>
      </c>
      <c r="H112" t="s">
        <v>192</v>
      </c>
      <c r="I112">
        <v>5.0000000000000001E-4</v>
      </c>
      <c r="J112" t="s">
        <v>3</v>
      </c>
      <c r="K112">
        <v>1</v>
      </c>
      <c r="L112" t="s">
        <v>2</v>
      </c>
      <c r="M112">
        <v>0</v>
      </c>
      <c r="N112" t="s">
        <v>17</v>
      </c>
      <c r="O112">
        <v>16</v>
      </c>
      <c r="P112" t="s">
        <v>0</v>
      </c>
      <c r="Q112">
        <v>23.7</v>
      </c>
      <c r="R112" t="s">
        <v>152</v>
      </c>
      <c r="S112">
        <v>1</v>
      </c>
      <c r="T112" t="s">
        <v>153</v>
      </c>
      <c r="U112">
        <v>5</v>
      </c>
      <c r="V112" t="s">
        <v>151</v>
      </c>
      <c r="W112">
        <v>4088</v>
      </c>
      <c r="X112" t="s">
        <v>1</v>
      </c>
      <c r="Y112" t="s">
        <v>262</v>
      </c>
      <c r="Z112" t="s">
        <v>4</v>
      </c>
      <c r="AA112">
        <v>1</v>
      </c>
      <c r="AB112" t="s">
        <v>5</v>
      </c>
      <c r="AC112">
        <v>0</v>
      </c>
    </row>
    <row r="113" spans="1:29" x14ac:dyDescent="0.25">
      <c r="A113" t="s">
        <v>138</v>
      </c>
      <c r="B113" t="s">
        <v>189</v>
      </c>
      <c r="C113">
        <v>1200</v>
      </c>
      <c r="D113" t="s">
        <v>190</v>
      </c>
      <c r="E113">
        <v>1000000</v>
      </c>
      <c r="F113" t="s">
        <v>191</v>
      </c>
      <c r="G113">
        <v>12345</v>
      </c>
      <c r="H113" t="s">
        <v>192</v>
      </c>
      <c r="I113">
        <v>5.0000000000000001E-4</v>
      </c>
      <c r="J113" t="s">
        <v>3</v>
      </c>
      <c r="K113">
        <v>1</v>
      </c>
      <c r="L113" t="s">
        <v>2</v>
      </c>
      <c r="M113">
        <v>0</v>
      </c>
      <c r="N113" t="s">
        <v>17</v>
      </c>
      <c r="O113">
        <v>18</v>
      </c>
      <c r="P113" t="s">
        <v>0</v>
      </c>
      <c r="Q113">
        <v>34</v>
      </c>
      <c r="R113" t="s">
        <v>152</v>
      </c>
      <c r="S113">
        <v>1</v>
      </c>
      <c r="T113" t="s">
        <v>153</v>
      </c>
      <c r="U113">
        <v>6</v>
      </c>
      <c r="V113" t="s">
        <v>151</v>
      </c>
      <c r="W113">
        <v>4924</v>
      </c>
      <c r="X113" t="s">
        <v>1</v>
      </c>
      <c r="Y113" t="s">
        <v>188</v>
      </c>
      <c r="Z113" t="s">
        <v>4</v>
      </c>
      <c r="AA113">
        <v>1</v>
      </c>
      <c r="AB113" t="s">
        <v>5</v>
      </c>
      <c r="AC113">
        <v>0</v>
      </c>
    </row>
    <row r="114" spans="1:29" x14ac:dyDescent="0.25">
      <c r="A114" t="s">
        <v>122</v>
      </c>
      <c r="B114" t="s">
        <v>189</v>
      </c>
      <c r="C114">
        <v>1200</v>
      </c>
      <c r="D114" t="s">
        <v>190</v>
      </c>
      <c r="E114">
        <v>1000000</v>
      </c>
      <c r="F114" t="s">
        <v>191</v>
      </c>
      <c r="G114">
        <v>12345</v>
      </c>
      <c r="H114" t="s">
        <v>192</v>
      </c>
      <c r="I114">
        <v>5.0000000000000001E-4</v>
      </c>
      <c r="J114" t="s">
        <v>3</v>
      </c>
      <c r="K114">
        <v>1</v>
      </c>
      <c r="L114" t="s">
        <v>2</v>
      </c>
      <c r="M114">
        <v>0</v>
      </c>
      <c r="N114" t="s">
        <v>17</v>
      </c>
      <c r="O114">
        <v>18</v>
      </c>
      <c r="P114" t="s">
        <v>0</v>
      </c>
      <c r="Q114">
        <v>39.799999999999997</v>
      </c>
      <c r="R114" t="s">
        <v>152</v>
      </c>
      <c r="S114">
        <v>1</v>
      </c>
      <c r="T114" t="s">
        <v>153</v>
      </c>
      <c r="U114">
        <v>6</v>
      </c>
      <c r="V114" t="s">
        <v>151</v>
      </c>
      <c r="W114">
        <v>6199</v>
      </c>
      <c r="X114" t="s">
        <v>1</v>
      </c>
      <c r="Y114" t="s">
        <v>171</v>
      </c>
      <c r="Z114" t="s">
        <v>4</v>
      </c>
      <c r="AA114">
        <v>1</v>
      </c>
      <c r="AB114" t="s">
        <v>5</v>
      </c>
      <c r="AC114">
        <v>0</v>
      </c>
    </row>
    <row r="115" spans="1:29" x14ac:dyDescent="0.25">
      <c r="A115" t="s">
        <v>131</v>
      </c>
      <c r="B115" t="s">
        <v>189</v>
      </c>
      <c r="C115">
        <v>1200</v>
      </c>
      <c r="D115" t="s">
        <v>190</v>
      </c>
      <c r="E115">
        <v>1000000</v>
      </c>
      <c r="F115" t="s">
        <v>191</v>
      </c>
      <c r="G115">
        <v>12345</v>
      </c>
      <c r="H115" t="s">
        <v>192</v>
      </c>
      <c r="I115">
        <v>5.0000000000000001E-4</v>
      </c>
      <c r="J115" t="s">
        <v>3</v>
      </c>
      <c r="K115">
        <v>0.31414130000000001</v>
      </c>
      <c r="L115" t="s">
        <v>2</v>
      </c>
      <c r="M115">
        <v>10.874446300000001</v>
      </c>
      <c r="N115" t="s">
        <v>17</v>
      </c>
      <c r="O115">
        <v>110</v>
      </c>
      <c r="P115" t="s">
        <v>0</v>
      </c>
      <c r="Q115">
        <v>1200.5</v>
      </c>
      <c r="R115" t="s">
        <v>152</v>
      </c>
      <c r="S115">
        <v>2</v>
      </c>
      <c r="T115" t="s">
        <v>153</v>
      </c>
      <c r="U115">
        <v>30</v>
      </c>
      <c r="V115" t="s">
        <v>151</v>
      </c>
      <c r="W115">
        <v>108589</v>
      </c>
      <c r="X115" t="s">
        <v>1</v>
      </c>
      <c r="Y115" t="e" cm="1">
        <f t="array" aca="1" ref="Y115" ca="1">-0.3807469678984+(((-3.0641431178544*v0)*COS(#REF!))*LOG((-0.5+#REF!)))+((((1.0501221520968*#REF!)*#REF!)*pow((-1+(0.5*#REF!)),2))*pow(((#REF!*pow(v0,-1))+LOG(#REF!)),-1.6))+((((0.0006656905538*v0)*#REF!)*pow((#REF!*#REF!),3))*pow((#REF!+(pow((#REF!*pow(#REF!,-1)),-100)*pow(LOG(#REF!),-1))),-1.6))+((((0.0196616159968*#REF!)*pow(v0,2))*pow(#REF!,2))*pow((#REF!+LOG(#REF!)),-1.28))+((((-0.0845752935678*v0)*#REF!)*pow(#REF!,3))*pow((#REF!+(pow(#REF!,-100)*pow(LOG(#REF!),-1))),-1.6))</f>
        <v>#NAME?</v>
      </c>
      <c r="Z115" t="s">
        <v>4</v>
      </c>
      <c r="AA115">
        <v>0.68397189999999997</v>
      </c>
      <c r="AB115" t="s">
        <v>5</v>
      </c>
      <c r="AC115">
        <v>7.2803268000000001</v>
      </c>
    </row>
    <row r="116" spans="1:29" x14ac:dyDescent="0.25">
      <c r="A116" t="s">
        <v>146</v>
      </c>
      <c r="B116" t="s">
        <v>189</v>
      </c>
      <c r="C116">
        <v>1200</v>
      </c>
      <c r="D116" t="s">
        <v>190</v>
      </c>
      <c r="E116">
        <v>1000000</v>
      </c>
      <c r="F116" t="s">
        <v>191</v>
      </c>
      <c r="G116">
        <v>12345</v>
      </c>
      <c r="H116" t="s">
        <v>192</v>
      </c>
      <c r="I116">
        <v>5.0000000000000001E-4</v>
      </c>
      <c r="J116" t="s">
        <v>3</v>
      </c>
      <c r="K116">
        <v>0.9920795</v>
      </c>
      <c r="L116" t="s">
        <v>2</v>
      </c>
      <c r="M116">
        <v>4.0363099999999999E-2</v>
      </c>
      <c r="N116" t="s">
        <v>17</v>
      </c>
      <c r="O116">
        <v>55</v>
      </c>
      <c r="P116" t="s">
        <v>0</v>
      </c>
      <c r="Q116">
        <v>1200.2</v>
      </c>
      <c r="R116" t="s">
        <v>152</v>
      </c>
      <c r="S116">
        <v>3</v>
      </c>
      <c r="T116" t="s">
        <v>153</v>
      </c>
      <c r="U116">
        <v>36</v>
      </c>
      <c r="V116" t="s">
        <v>151</v>
      </c>
      <c r="W116">
        <v>134236</v>
      </c>
      <c r="X116" t="s">
        <v>1</v>
      </c>
      <c r="Y116" t="s">
        <v>410</v>
      </c>
      <c r="Z116" t="s">
        <v>4</v>
      </c>
      <c r="AA116">
        <v>0.99241670000000004</v>
      </c>
      <c r="AB116" t="s">
        <v>5</v>
      </c>
      <c r="AC116">
        <v>4.0412799999999999E-2</v>
      </c>
    </row>
    <row r="117" spans="1:29" x14ac:dyDescent="0.25">
      <c r="A117" t="s">
        <v>117</v>
      </c>
      <c r="B117" t="s">
        <v>189</v>
      </c>
      <c r="C117">
        <v>1200</v>
      </c>
      <c r="D117" t="s">
        <v>190</v>
      </c>
      <c r="E117">
        <v>1000000</v>
      </c>
      <c r="F117" t="s">
        <v>191</v>
      </c>
      <c r="G117">
        <v>12345</v>
      </c>
      <c r="H117" t="s">
        <v>192</v>
      </c>
      <c r="I117">
        <v>5.0000000000000001E-4</v>
      </c>
      <c r="J117" t="s">
        <v>3</v>
      </c>
      <c r="K117">
        <v>0.99949180000000004</v>
      </c>
      <c r="L117" t="s">
        <v>2</v>
      </c>
      <c r="M117">
        <v>1.1239300000000001E-2</v>
      </c>
      <c r="N117" t="s">
        <v>17</v>
      </c>
      <c r="O117">
        <v>35</v>
      </c>
      <c r="P117" t="s">
        <v>0</v>
      </c>
      <c r="Q117">
        <v>1201.2</v>
      </c>
      <c r="R117" t="s">
        <v>152</v>
      </c>
      <c r="S117">
        <v>8</v>
      </c>
      <c r="T117" t="s">
        <v>153</v>
      </c>
      <c r="U117">
        <v>70</v>
      </c>
      <c r="V117" t="s">
        <v>151</v>
      </c>
      <c r="W117">
        <v>133077</v>
      </c>
      <c r="X117" t="s">
        <v>1</v>
      </c>
      <c r="Y117" t="e" cm="1">
        <f t="array" aca="1" ref="Y117" ca="1">-3.5911073586528+(1.43212300298*pow(((#REF!*pow(v0,-1))+((-1*#REF!)*pow(v0,-1))),0.5))+(3.558409924319*COS((((0.2867285033823*#REF!)*pow(v0,-0.8))*pow(#REF!,-1))))</f>
        <v>#NAME?</v>
      </c>
      <c r="Z117" t="s">
        <v>4</v>
      </c>
      <c r="AA117">
        <v>0.99952079999999999</v>
      </c>
      <c r="AB117" t="s">
        <v>5</v>
      </c>
      <c r="AC117">
        <v>1.0823899999999999E-2</v>
      </c>
    </row>
    <row r="118" spans="1:29" x14ac:dyDescent="0.25">
      <c r="A118" t="s">
        <v>127</v>
      </c>
      <c r="B118" t="s">
        <v>189</v>
      </c>
      <c r="C118">
        <v>1200</v>
      </c>
      <c r="D118" t="s">
        <v>190</v>
      </c>
      <c r="E118">
        <v>1000000</v>
      </c>
      <c r="F118" t="s">
        <v>191</v>
      </c>
      <c r="G118">
        <v>12345</v>
      </c>
      <c r="H118" t="s">
        <v>192</v>
      </c>
      <c r="I118">
        <v>5.0000000000000001E-4</v>
      </c>
      <c r="J118" t="s">
        <v>3</v>
      </c>
      <c r="K118">
        <v>1</v>
      </c>
      <c r="L118" t="s">
        <v>2</v>
      </c>
      <c r="M118">
        <v>0</v>
      </c>
      <c r="N118" t="s">
        <v>17</v>
      </c>
      <c r="O118">
        <v>24</v>
      </c>
      <c r="P118" t="s">
        <v>0</v>
      </c>
      <c r="Q118">
        <v>105.3</v>
      </c>
      <c r="R118" t="s">
        <v>152</v>
      </c>
      <c r="S118">
        <v>1</v>
      </c>
      <c r="T118" t="s">
        <v>153</v>
      </c>
      <c r="U118">
        <v>10</v>
      </c>
      <c r="V118" t="s">
        <v>151</v>
      </c>
      <c r="W118">
        <v>14480</v>
      </c>
      <c r="X118" t="s">
        <v>1</v>
      </c>
      <c r="Y118" t="s">
        <v>187</v>
      </c>
      <c r="Z118" t="s">
        <v>4</v>
      </c>
      <c r="AA118">
        <v>1</v>
      </c>
      <c r="AB118" t="s">
        <v>5</v>
      </c>
      <c r="AC118">
        <v>0</v>
      </c>
    </row>
    <row r="119" spans="1:29" x14ac:dyDescent="0.25">
      <c r="A119" t="s">
        <v>125</v>
      </c>
      <c r="B119" t="s">
        <v>189</v>
      </c>
      <c r="C119">
        <v>1200</v>
      </c>
      <c r="D119" t="s">
        <v>190</v>
      </c>
      <c r="E119">
        <v>1000000</v>
      </c>
      <c r="F119" t="s">
        <v>191</v>
      </c>
      <c r="G119">
        <v>12345</v>
      </c>
      <c r="H119" t="s">
        <v>192</v>
      </c>
      <c r="I119">
        <v>5.0000000000000001E-4</v>
      </c>
      <c r="J119" t="s">
        <v>3</v>
      </c>
      <c r="K119">
        <v>0.99992389999999998</v>
      </c>
      <c r="L119" t="s">
        <v>2</v>
      </c>
      <c r="M119">
        <v>2.6272199999999999E-2</v>
      </c>
      <c r="N119" t="s">
        <v>17</v>
      </c>
      <c r="O119">
        <v>51</v>
      </c>
      <c r="P119" t="s">
        <v>0</v>
      </c>
      <c r="Q119">
        <v>1200.5999999999999</v>
      </c>
      <c r="R119" t="s">
        <v>152</v>
      </c>
      <c r="S119">
        <v>5</v>
      </c>
      <c r="T119" t="s">
        <v>153</v>
      </c>
      <c r="U119">
        <v>67</v>
      </c>
      <c r="V119" t="s">
        <v>151</v>
      </c>
      <c r="W119">
        <v>159642</v>
      </c>
      <c r="X119" t="s">
        <v>1</v>
      </c>
      <c r="Y119" t="s">
        <v>411</v>
      </c>
      <c r="Z119" t="s">
        <v>4</v>
      </c>
      <c r="AA119">
        <v>0.99992879999999995</v>
      </c>
      <c r="AB119" t="s">
        <v>5</v>
      </c>
      <c r="AC119">
        <v>2.4591499999999999E-2</v>
      </c>
    </row>
    <row r="120" spans="1:29" x14ac:dyDescent="0.25">
      <c r="A120" t="s">
        <v>124</v>
      </c>
      <c r="B120" t="s">
        <v>189</v>
      </c>
      <c r="C120">
        <v>1200</v>
      </c>
      <c r="D120" t="s">
        <v>190</v>
      </c>
      <c r="E120">
        <v>1000000</v>
      </c>
      <c r="F120" t="s">
        <v>191</v>
      </c>
      <c r="G120">
        <v>12345</v>
      </c>
      <c r="H120" t="s">
        <v>192</v>
      </c>
      <c r="I120">
        <v>5.0000000000000001E-4</v>
      </c>
      <c r="J120" t="s">
        <v>3</v>
      </c>
      <c r="K120">
        <v>0.99999919999999998</v>
      </c>
      <c r="L120" t="s">
        <v>2</v>
      </c>
      <c r="M120">
        <v>1.2997399999999999E-2</v>
      </c>
      <c r="N120" t="s">
        <v>17</v>
      </c>
      <c r="O120">
        <v>18</v>
      </c>
      <c r="P120" t="s">
        <v>0</v>
      </c>
      <c r="Q120">
        <v>1202</v>
      </c>
      <c r="R120" t="s">
        <v>152</v>
      </c>
      <c r="S120">
        <v>10</v>
      </c>
      <c r="T120" t="s">
        <v>153</v>
      </c>
      <c r="U120">
        <v>67</v>
      </c>
      <c r="V120" t="s">
        <v>151</v>
      </c>
      <c r="W120">
        <v>138882</v>
      </c>
      <c r="X120" t="s">
        <v>1</v>
      </c>
      <c r="Y120" t="s">
        <v>412</v>
      </c>
      <c r="Z120" t="s">
        <v>4</v>
      </c>
      <c r="AA120">
        <v>0.99999919999999998</v>
      </c>
      <c r="AB120" t="s">
        <v>5</v>
      </c>
      <c r="AC120">
        <v>1.3122399999999999E-2</v>
      </c>
    </row>
    <row r="121" spans="1:29" x14ac:dyDescent="0.25">
      <c r="A121" t="s">
        <v>148</v>
      </c>
      <c r="B121" t="s">
        <v>189</v>
      </c>
      <c r="C121">
        <v>1200</v>
      </c>
      <c r="D121" t="s">
        <v>190</v>
      </c>
      <c r="E121">
        <v>1000000</v>
      </c>
      <c r="F121" t="s">
        <v>191</v>
      </c>
      <c r="G121">
        <v>12345</v>
      </c>
      <c r="H121" t="s">
        <v>192</v>
      </c>
      <c r="I121">
        <v>5.0000000000000001E-4</v>
      </c>
      <c r="J121" t="s">
        <v>3</v>
      </c>
      <c r="K121">
        <v>0.93648450000000005</v>
      </c>
      <c r="L121" t="s">
        <v>2</v>
      </c>
      <c r="M121">
        <v>3.9531784999999999</v>
      </c>
      <c r="N121" t="s">
        <v>17</v>
      </c>
      <c r="O121">
        <v>61</v>
      </c>
      <c r="P121" t="s">
        <v>0</v>
      </c>
      <c r="Q121">
        <v>1200.7</v>
      </c>
      <c r="R121" t="s">
        <v>152</v>
      </c>
      <c r="S121">
        <v>4</v>
      </c>
      <c r="T121" t="s">
        <v>153</v>
      </c>
      <c r="U121">
        <v>58</v>
      </c>
      <c r="V121" t="s">
        <v>151</v>
      </c>
      <c r="W121">
        <v>174013</v>
      </c>
      <c r="X121" t="s">
        <v>1</v>
      </c>
      <c r="Y121" t="s">
        <v>413</v>
      </c>
      <c r="Z121" t="s">
        <v>4</v>
      </c>
      <c r="AA121">
        <v>0.95969300000000002</v>
      </c>
      <c r="AB121" t="s">
        <v>5</v>
      </c>
      <c r="AC121">
        <v>2.5582505000000002</v>
      </c>
    </row>
    <row r="122" spans="1:29" x14ac:dyDescent="0.25">
      <c r="A122" t="s">
        <v>132</v>
      </c>
      <c r="B122" t="s">
        <v>189</v>
      </c>
      <c r="C122">
        <v>1200</v>
      </c>
      <c r="D122" t="s">
        <v>190</v>
      </c>
      <c r="E122">
        <v>1000000</v>
      </c>
      <c r="F122" t="s">
        <v>191</v>
      </c>
      <c r="G122">
        <v>12345</v>
      </c>
      <c r="H122" t="s">
        <v>192</v>
      </c>
      <c r="I122">
        <v>5.0000000000000001E-4</v>
      </c>
      <c r="J122" t="s">
        <v>3</v>
      </c>
      <c r="K122">
        <v>0.95841989999999999</v>
      </c>
      <c r="L122" t="s">
        <v>2</v>
      </c>
      <c r="M122">
        <v>3.1346E-3</v>
      </c>
      <c r="N122" t="s">
        <v>17</v>
      </c>
      <c r="O122">
        <v>37</v>
      </c>
      <c r="P122" t="s">
        <v>0</v>
      </c>
      <c r="Q122">
        <v>1200.5</v>
      </c>
      <c r="R122" t="s">
        <v>152</v>
      </c>
      <c r="S122">
        <v>7</v>
      </c>
      <c r="T122" t="s">
        <v>153</v>
      </c>
      <c r="U122">
        <v>59</v>
      </c>
      <c r="V122" t="s">
        <v>151</v>
      </c>
      <c r="W122">
        <v>142053</v>
      </c>
      <c r="X122" t="s">
        <v>1</v>
      </c>
      <c r="Y122" t="e" cm="1">
        <f t="array" aca="1" ref="Y122" ca="1">-0.0011875626487+(0.000599641042*#REF!)+(((0.0762359623439*v0)*pow(#REF!,-1))*pow(#REF!,-1))+(((((0.1574213212683*v0)*#REF!)*pow(#REF!,-2))*pow((#REF!+#REF!),-1))*COS(#REF!))</f>
        <v>#REF!</v>
      </c>
      <c r="Z122" t="s">
        <v>4</v>
      </c>
      <c r="AA122">
        <v>0.95677559999999995</v>
      </c>
      <c r="AB122" t="s">
        <v>5</v>
      </c>
      <c r="AC122">
        <v>3.1725E-3</v>
      </c>
    </row>
    <row r="123" spans="1:29" x14ac:dyDescent="0.25">
      <c r="A123" t="s">
        <v>135</v>
      </c>
      <c r="B123" t="s">
        <v>189</v>
      </c>
      <c r="C123">
        <v>1200</v>
      </c>
      <c r="D123" t="s">
        <v>190</v>
      </c>
      <c r="E123">
        <v>1000000</v>
      </c>
      <c r="F123" t="s">
        <v>191</v>
      </c>
      <c r="G123">
        <v>12345</v>
      </c>
      <c r="H123" t="s">
        <v>192</v>
      </c>
      <c r="I123">
        <v>5.0000000000000001E-4</v>
      </c>
      <c r="J123" t="s">
        <v>3</v>
      </c>
      <c r="K123">
        <v>1</v>
      </c>
      <c r="L123" t="s">
        <v>2</v>
      </c>
      <c r="M123">
        <v>0</v>
      </c>
      <c r="N123" t="s">
        <v>17</v>
      </c>
      <c r="O123">
        <v>20</v>
      </c>
      <c r="P123" t="s">
        <v>0</v>
      </c>
      <c r="Q123">
        <v>184.9</v>
      </c>
      <c r="R123" t="s">
        <v>152</v>
      </c>
      <c r="S123">
        <v>2</v>
      </c>
      <c r="T123" t="s">
        <v>153</v>
      </c>
      <c r="U123">
        <v>16</v>
      </c>
      <c r="V123" t="s">
        <v>151</v>
      </c>
      <c r="W123">
        <v>26923</v>
      </c>
      <c r="X123" t="s">
        <v>1</v>
      </c>
      <c r="Y123" t="s">
        <v>302</v>
      </c>
      <c r="Z123" t="s">
        <v>4</v>
      </c>
      <c r="AA123">
        <v>1</v>
      </c>
      <c r="AB123" t="s">
        <v>5</v>
      </c>
      <c r="AC123">
        <v>0</v>
      </c>
    </row>
    <row r="124" spans="1:29" x14ac:dyDescent="0.25">
      <c r="A124" t="s">
        <v>145</v>
      </c>
      <c r="B124" t="s">
        <v>189</v>
      </c>
      <c r="C124">
        <v>1200</v>
      </c>
      <c r="D124" t="s">
        <v>190</v>
      </c>
      <c r="E124">
        <v>1000000</v>
      </c>
      <c r="F124" t="s">
        <v>191</v>
      </c>
      <c r="G124">
        <v>12345</v>
      </c>
      <c r="H124" t="s">
        <v>192</v>
      </c>
      <c r="I124">
        <v>5.0000000000000001E-4</v>
      </c>
      <c r="J124" t="s">
        <v>3</v>
      </c>
      <c r="K124">
        <v>1</v>
      </c>
      <c r="L124" t="s">
        <v>2</v>
      </c>
      <c r="M124">
        <v>0</v>
      </c>
      <c r="N124" t="s">
        <v>17</v>
      </c>
      <c r="O124">
        <v>40</v>
      </c>
      <c r="P124" t="s">
        <v>0</v>
      </c>
      <c r="Q124">
        <v>179.8</v>
      </c>
      <c r="R124" t="s">
        <v>152</v>
      </c>
      <c r="S124">
        <v>1</v>
      </c>
      <c r="T124" t="s">
        <v>153</v>
      </c>
      <c r="U124">
        <v>13</v>
      </c>
      <c r="V124" t="s">
        <v>151</v>
      </c>
      <c r="W124">
        <v>23220</v>
      </c>
      <c r="X124" t="s">
        <v>1</v>
      </c>
      <c r="Y124" t="s">
        <v>264</v>
      </c>
      <c r="Z124" t="s">
        <v>4</v>
      </c>
      <c r="AA124">
        <v>1</v>
      </c>
      <c r="AB124" t="s">
        <v>5</v>
      </c>
      <c r="AC124">
        <v>0</v>
      </c>
    </row>
    <row r="125" spans="1:29" x14ac:dyDescent="0.25">
      <c r="A125" t="s">
        <v>141</v>
      </c>
      <c r="B125" t="s">
        <v>189</v>
      </c>
      <c r="C125">
        <v>1200</v>
      </c>
      <c r="D125" t="s">
        <v>190</v>
      </c>
      <c r="E125">
        <v>1000000</v>
      </c>
      <c r="F125" t="s">
        <v>191</v>
      </c>
      <c r="G125">
        <v>12345</v>
      </c>
      <c r="H125" t="s">
        <v>192</v>
      </c>
      <c r="I125">
        <v>5.0000000000000001E-4</v>
      </c>
      <c r="J125" t="s">
        <v>3</v>
      </c>
      <c r="K125">
        <v>0.99410639999999995</v>
      </c>
      <c r="L125" t="s">
        <v>2</v>
      </c>
      <c r="M125">
        <v>1.0996459999999999</v>
      </c>
      <c r="N125" t="s">
        <v>17</v>
      </c>
      <c r="O125">
        <v>81</v>
      </c>
      <c r="P125" t="s">
        <v>0</v>
      </c>
      <c r="Q125">
        <v>1202.4000000000001</v>
      </c>
      <c r="R125" t="s">
        <v>152</v>
      </c>
      <c r="S125">
        <v>1</v>
      </c>
      <c r="T125" t="s">
        <v>153</v>
      </c>
      <c r="U125">
        <v>24</v>
      </c>
      <c r="V125" t="s">
        <v>151</v>
      </c>
      <c r="W125">
        <v>110523</v>
      </c>
      <c r="X125" t="s">
        <v>1</v>
      </c>
      <c r="Y125" t="s">
        <v>414</v>
      </c>
      <c r="Z125" t="s">
        <v>4</v>
      </c>
      <c r="AA125">
        <v>0.99412049999999996</v>
      </c>
      <c r="AB125" t="s">
        <v>5</v>
      </c>
      <c r="AC125">
        <v>1.1053165</v>
      </c>
    </row>
    <row r="126" spans="1:29" x14ac:dyDescent="0.25">
      <c r="A126" t="s">
        <v>137</v>
      </c>
      <c r="B126" t="s">
        <v>189</v>
      </c>
      <c r="C126">
        <v>1200</v>
      </c>
      <c r="D126" t="s">
        <v>190</v>
      </c>
      <c r="E126">
        <v>1000000</v>
      </c>
      <c r="F126" t="s">
        <v>191</v>
      </c>
      <c r="G126">
        <v>12345</v>
      </c>
      <c r="H126" t="s">
        <v>192</v>
      </c>
      <c r="I126">
        <v>5.0000000000000001E-4</v>
      </c>
      <c r="J126" t="s">
        <v>3</v>
      </c>
      <c r="K126">
        <v>0.99961350000000004</v>
      </c>
      <c r="L126" t="s">
        <v>2</v>
      </c>
      <c r="M126">
        <v>9.2402899999999996E-2</v>
      </c>
      <c r="N126" t="s">
        <v>17</v>
      </c>
      <c r="O126">
        <v>93</v>
      </c>
      <c r="P126" t="s">
        <v>0</v>
      </c>
      <c r="Q126">
        <v>1201.9000000000001</v>
      </c>
      <c r="R126" t="s">
        <v>152</v>
      </c>
      <c r="S126">
        <v>3</v>
      </c>
      <c r="T126" t="s">
        <v>153</v>
      </c>
      <c r="U126">
        <v>27</v>
      </c>
      <c r="V126" t="s">
        <v>151</v>
      </c>
      <c r="W126">
        <v>115823</v>
      </c>
      <c r="X126" t="s">
        <v>1</v>
      </c>
      <c r="Y126" t="e" cm="1">
        <f t="array" aca="1" ref="Y126" ca="1">-0.3517327761245+(0.1463950708593*COS((((-2.0230028232896*#REF!)+((2.0230028232896*#REF!)*pow(#REF!,-1)))+((2.0230028232896*#REF!)*pow(#REF!,-1)))))+(1.7699708421201*pow(#REF!,-1))+((((((0.1872090571971*v0)*#REF!)*#REF!)*pow(#REF!,0.5))*LOG(#REF!))*SIN(#REF!))+((((((1.925427011242*v0)*#REF!)*#REF!)*pow(#REF!,2))*pow((#REF!*pow((#REF!+(-1*#REF!)),-1.2)),2))*LOG(#REF!))+((((((-0.0672461320804*v0)*#REF!)*#REF!)*#REF!)*#REF!)*LOG((-0.5+#REF!)))</f>
        <v>#REF!</v>
      </c>
      <c r="Z126" t="s">
        <v>4</v>
      </c>
      <c r="AA126">
        <v>0.99958329999999995</v>
      </c>
      <c r="AB126" t="s">
        <v>5</v>
      </c>
      <c r="AC126">
        <v>9.3951900000000005E-2</v>
      </c>
    </row>
    <row r="127" spans="1:29" x14ac:dyDescent="0.25">
      <c r="A127" t="s">
        <v>134</v>
      </c>
      <c r="B127" t="s">
        <v>189</v>
      </c>
      <c r="C127">
        <v>1200</v>
      </c>
      <c r="D127" t="s">
        <v>190</v>
      </c>
      <c r="E127">
        <v>1000000</v>
      </c>
      <c r="F127" t="s">
        <v>191</v>
      </c>
      <c r="G127">
        <v>12345</v>
      </c>
      <c r="H127" t="s">
        <v>192</v>
      </c>
      <c r="I127">
        <v>5.0000000000000001E-4</v>
      </c>
      <c r="J127" t="s">
        <v>3</v>
      </c>
      <c r="K127">
        <v>0.99975999999999998</v>
      </c>
      <c r="L127" t="s">
        <v>2</v>
      </c>
      <c r="M127">
        <v>7.5440000000000001E-4</v>
      </c>
      <c r="N127" t="s">
        <v>17</v>
      </c>
      <c r="O127">
        <v>34</v>
      </c>
      <c r="P127" t="s">
        <v>0</v>
      </c>
      <c r="Q127">
        <v>1200.5999999999999</v>
      </c>
      <c r="R127" t="s">
        <v>152</v>
      </c>
      <c r="S127">
        <v>9</v>
      </c>
      <c r="T127" t="s">
        <v>153</v>
      </c>
      <c r="U127">
        <v>70</v>
      </c>
      <c r="V127" t="s">
        <v>151</v>
      </c>
      <c r="W127">
        <v>155432</v>
      </c>
      <c r="X127" t="s">
        <v>1</v>
      </c>
      <c r="Y127" t="s">
        <v>415</v>
      </c>
      <c r="Z127" t="s">
        <v>4</v>
      </c>
      <c r="AA127">
        <v>0.99975389999999997</v>
      </c>
      <c r="AB127" t="s">
        <v>5</v>
      </c>
      <c r="AC127">
        <v>7.5339999999999999E-4</v>
      </c>
    </row>
    <row r="128" spans="1:29" x14ac:dyDescent="0.25">
      <c r="A128" t="s">
        <v>142</v>
      </c>
      <c r="B128" t="s">
        <v>189</v>
      </c>
      <c r="C128">
        <v>1200</v>
      </c>
      <c r="D128" t="s">
        <v>190</v>
      </c>
      <c r="E128">
        <v>1000000</v>
      </c>
      <c r="F128" t="s">
        <v>191</v>
      </c>
      <c r="G128">
        <v>12345</v>
      </c>
      <c r="H128" t="s">
        <v>192</v>
      </c>
      <c r="I128">
        <v>5.0000000000000001E-4</v>
      </c>
      <c r="J128" t="s">
        <v>3</v>
      </c>
      <c r="K128">
        <v>0.99926400000000004</v>
      </c>
      <c r="L128" t="s">
        <v>2</v>
      </c>
      <c r="M128">
        <v>1.01137E-2</v>
      </c>
      <c r="N128" t="s">
        <v>17</v>
      </c>
      <c r="O128">
        <v>32</v>
      </c>
      <c r="P128" t="s">
        <v>0</v>
      </c>
      <c r="Q128">
        <v>1200.9000000000001</v>
      </c>
      <c r="R128" t="s">
        <v>152</v>
      </c>
      <c r="S128">
        <v>6</v>
      </c>
      <c r="T128" t="s">
        <v>153</v>
      </c>
      <c r="U128">
        <v>56</v>
      </c>
      <c r="V128" t="s">
        <v>151</v>
      </c>
      <c r="W128">
        <v>139293</v>
      </c>
      <c r="X128" t="s">
        <v>1</v>
      </c>
      <c r="Y128" t="s">
        <v>300</v>
      </c>
      <c r="Z128" t="s">
        <v>4</v>
      </c>
      <c r="AA128">
        <v>0.99928510000000004</v>
      </c>
      <c r="AB128" t="s">
        <v>5</v>
      </c>
      <c r="AC128">
        <v>1.01686E-2</v>
      </c>
    </row>
    <row r="129" spans="1:29" x14ac:dyDescent="0.25">
      <c r="A129" t="s">
        <v>147</v>
      </c>
      <c r="B129" t="s">
        <v>189</v>
      </c>
      <c r="C129">
        <v>1200</v>
      </c>
      <c r="D129" t="s">
        <v>190</v>
      </c>
      <c r="E129">
        <v>1000000</v>
      </c>
      <c r="F129" t="s">
        <v>191</v>
      </c>
      <c r="G129">
        <v>12345</v>
      </c>
      <c r="H129" t="s">
        <v>192</v>
      </c>
      <c r="I129">
        <v>5.0000000000000001E-4</v>
      </c>
      <c r="J129" t="s">
        <v>3</v>
      </c>
      <c r="K129">
        <v>0.99983900000000003</v>
      </c>
      <c r="L129" t="s">
        <v>2</v>
      </c>
      <c r="M129">
        <v>0.15016470000000001</v>
      </c>
      <c r="N129" t="s">
        <v>17</v>
      </c>
      <c r="O129">
        <v>67</v>
      </c>
      <c r="P129" t="s">
        <v>0</v>
      </c>
      <c r="Q129">
        <v>1201</v>
      </c>
      <c r="R129" t="s">
        <v>152</v>
      </c>
      <c r="S129">
        <v>2</v>
      </c>
      <c r="T129" t="s">
        <v>153</v>
      </c>
      <c r="U129">
        <v>30</v>
      </c>
      <c r="V129" t="s">
        <v>151</v>
      </c>
      <c r="W129">
        <v>121163</v>
      </c>
      <c r="X129" t="s">
        <v>1</v>
      </c>
      <c r="Y129" t="s">
        <v>416</v>
      </c>
      <c r="Z129" t="s">
        <v>4</v>
      </c>
      <c r="AA129">
        <v>0.99982579999999999</v>
      </c>
      <c r="AB129" t="s">
        <v>5</v>
      </c>
      <c r="AC129">
        <v>0.1561797</v>
      </c>
    </row>
    <row r="130" spans="1:29" x14ac:dyDescent="0.25">
      <c r="A130" t="s">
        <v>144</v>
      </c>
      <c r="B130" t="s">
        <v>189</v>
      </c>
      <c r="C130">
        <v>1200</v>
      </c>
      <c r="D130" t="s">
        <v>190</v>
      </c>
      <c r="E130">
        <v>1000000</v>
      </c>
      <c r="F130" t="s">
        <v>191</v>
      </c>
      <c r="G130">
        <v>12345</v>
      </c>
      <c r="H130" t="s">
        <v>192</v>
      </c>
      <c r="I130">
        <v>5.0000000000000001E-4</v>
      </c>
      <c r="J130" t="s">
        <v>3</v>
      </c>
      <c r="K130">
        <v>0.93918349999999995</v>
      </c>
      <c r="L130" t="s">
        <v>2</v>
      </c>
      <c r="M130">
        <v>0.1610733</v>
      </c>
      <c r="N130" t="s">
        <v>17</v>
      </c>
      <c r="O130">
        <v>61</v>
      </c>
      <c r="P130" t="s">
        <v>0</v>
      </c>
      <c r="Q130">
        <v>1201.4000000000001</v>
      </c>
      <c r="R130" t="s">
        <v>152</v>
      </c>
      <c r="S130">
        <v>3</v>
      </c>
      <c r="T130" t="s">
        <v>153</v>
      </c>
      <c r="U130">
        <v>34</v>
      </c>
      <c r="V130" t="s">
        <v>151</v>
      </c>
      <c r="W130">
        <v>115714</v>
      </c>
      <c r="X130" t="s">
        <v>1</v>
      </c>
      <c r="Y130" t="s">
        <v>417</v>
      </c>
      <c r="Z130" t="s">
        <v>4</v>
      </c>
      <c r="AA130">
        <v>0.94115280000000001</v>
      </c>
      <c r="AB130" t="s">
        <v>5</v>
      </c>
      <c r="AC130">
        <v>0.15747510000000001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57459-27FD-4CD3-81F6-B9648C8FC5A2}">
  <dimension ref="A1:AE133"/>
  <sheetViews>
    <sheetView topLeftCell="A70" workbookViewId="0">
      <selection activeCell="M102" sqref="M102"/>
    </sheetView>
  </sheetViews>
  <sheetFormatPr defaultRowHeight="15" x14ac:dyDescent="0.25"/>
  <sheetData>
    <row r="1" spans="1:31" x14ac:dyDescent="0.25">
      <c r="A1" t="s">
        <v>23</v>
      </c>
      <c r="B1" t="s">
        <v>189</v>
      </c>
      <c r="C1">
        <v>1200</v>
      </c>
      <c r="D1" t="s">
        <v>190</v>
      </c>
      <c r="E1">
        <v>1000000</v>
      </c>
      <c r="F1" t="s">
        <v>191</v>
      </c>
      <c r="G1">
        <v>12345</v>
      </c>
      <c r="H1" t="s">
        <v>216</v>
      </c>
      <c r="I1">
        <v>1</v>
      </c>
      <c r="J1" t="s">
        <v>192</v>
      </c>
      <c r="K1">
        <v>1E-4</v>
      </c>
      <c r="L1" t="s">
        <v>3</v>
      </c>
      <c r="M1">
        <v>0.8470183</v>
      </c>
      <c r="N1" t="s">
        <v>2</v>
      </c>
      <c r="O1">
        <v>0.2259603</v>
      </c>
      <c r="P1" t="s">
        <v>17</v>
      </c>
      <c r="Q1">
        <v>65</v>
      </c>
      <c r="R1" t="s">
        <v>0</v>
      </c>
      <c r="S1">
        <v>1200.7</v>
      </c>
      <c r="T1" t="s">
        <v>152</v>
      </c>
      <c r="U1">
        <v>7</v>
      </c>
      <c r="V1" t="s">
        <v>153</v>
      </c>
      <c r="W1">
        <v>112</v>
      </c>
      <c r="X1" t="s">
        <v>151</v>
      </c>
      <c r="Y1">
        <v>302155</v>
      </c>
      <c r="Z1" t="s">
        <v>1</v>
      </c>
      <c r="AA1" t="s">
        <v>224</v>
      </c>
      <c r="AB1" t="s">
        <v>4</v>
      </c>
      <c r="AC1">
        <v>0.96603050000000001</v>
      </c>
      <c r="AD1" t="s">
        <v>5</v>
      </c>
      <c r="AE1">
        <v>0.11988409999999999</v>
      </c>
    </row>
    <row r="2" spans="1:31" x14ac:dyDescent="0.25">
      <c r="A2" t="s">
        <v>33</v>
      </c>
      <c r="B2" t="s">
        <v>189</v>
      </c>
      <c r="C2">
        <v>1200</v>
      </c>
      <c r="D2" t="s">
        <v>190</v>
      </c>
      <c r="E2">
        <v>1000000</v>
      </c>
      <c r="F2" t="s">
        <v>191</v>
      </c>
      <c r="G2">
        <v>12345</v>
      </c>
      <c r="H2" t="s">
        <v>216</v>
      </c>
      <c r="I2">
        <v>1</v>
      </c>
      <c r="J2" t="s">
        <v>192</v>
      </c>
      <c r="K2">
        <v>1E-4</v>
      </c>
      <c r="L2" t="s">
        <v>3</v>
      </c>
      <c r="M2">
        <v>1</v>
      </c>
      <c r="N2" t="s">
        <v>2</v>
      </c>
      <c r="O2">
        <v>0</v>
      </c>
      <c r="P2" t="s">
        <v>17</v>
      </c>
      <c r="Q2">
        <v>6</v>
      </c>
      <c r="R2" t="s">
        <v>0</v>
      </c>
      <c r="S2">
        <v>2.8</v>
      </c>
      <c r="T2" t="s">
        <v>152</v>
      </c>
      <c r="U2">
        <v>1</v>
      </c>
      <c r="V2" t="s">
        <v>153</v>
      </c>
      <c r="W2">
        <v>2</v>
      </c>
      <c r="X2" t="s">
        <v>151</v>
      </c>
      <c r="Y2">
        <v>540</v>
      </c>
      <c r="Z2" t="s">
        <v>1</v>
      </c>
      <c r="AA2" t="s">
        <v>159</v>
      </c>
      <c r="AB2" t="s">
        <v>4</v>
      </c>
      <c r="AC2">
        <v>1</v>
      </c>
      <c r="AD2" t="s">
        <v>5</v>
      </c>
      <c r="AE2">
        <v>0</v>
      </c>
    </row>
    <row r="3" spans="1:31" x14ac:dyDescent="0.25">
      <c r="A3" t="s">
        <v>43</v>
      </c>
      <c r="B3" t="s">
        <v>189</v>
      </c>
      <c r="C3">
        <v>1200</v>
      </c>
      <c r="D3" t="s">
        <v>190</v>
      </c>
      <c r="E3">
        <v>1000000</v>
      </c>
      <c r="F3" t="s">
        <v>191</v>
      </c>
      <c r="G3">
        <v>12345</v>
      </c>
      <c r="H3" t="s">
        <v>216</v>
      </c>
      <c r="I3">
        <v>1</v>
      </c>
      <c r="J3" t="s">
        <v>192</v>
      </c>
      <c r="K3">
        <v>1E-4</v>
      </c>
      <c r="L3" t="s">
        <v>3</v>
      </c>
      <c r="M3">
        <v>1</v>
      </c>
      <c r="N3" t="s">
        <v>2</v>
      </c>
      <c r="O3">
        <v>0</v>
      </c>
      <c r="P3" t="s">
        <v>17</v>
      </c>
      <c r="Q3">
        <v>8</v>
      </c>
      <c r="R3" t="s">
        <v>0</v>
      </c>
      <c r="S3">
        <v>5.9</v>
      </c>
      <c r="T3" t="s">
        <v>152</v>
      </c>
      <c r="U3">
        <v>1</v>
      </c>
      <c r="V3" t="s">
        <v>153</v>
      </c>
      <c r="W3">
        <v>3</v>
      </c>
      <c r="X3" t="s">
        <v>151</v>
      </c>
      <c r="Y3">
        <v>1038</v>
      </c>
      <c r="Z3" t="s">
        <v>1</v>
      </c>
      <c r="AA3" t="s">
        <v>172</v>
      </c>
      <c r="AB3" t="s">
        <v>4</v>
      </c>
      <c r="AC3">
        <v>1</v>
      </c>
      <c r="AD3" t="s">
        <v>5</v>
      </c>
      <c r="AE3">
        <v>0</v>
      </c>
    </row>
    <row r="4" spans="1:31" x14ac:dyDescent="0.25">
      <c r="A4" t="s">
        <v>53</v>
      </c>
      <c r="B4" t="s">
        <v>189</v>
      </c>
      <c r="C4">
        <v>1200</v>
      </c>
      <c r="D4" t="s">
        <v>190</v>
      </c>
      <c r="E4">
        <v>1000000</v>
      </c>
      <c r="F4" t="s">
        <v>191</v>
      </c>
      <c r="G4">
        <v>12345</v>
      </c>
      <c r="H4" t="s">
        <v>216</v>
      </c>
      <c r="I4">
        <v>1</v>
      </c>
      <c r="J4" t="s">
        <v>192</v>
      </c>
      <c r="K4">
        <v>1E-4</v>
      </c>
      <c r="L4" t="s">
        <v>3</v>
      </c>
      <c r="M4">
        <v>1</v>
      </c>
      <c r="N4" t="s">
        <v>2</v>
      </c>
      <c r="O4">
        <v>0</v>
      </c>
      <c r="P4" t="s">
        <v>17</v>
      </c>
      <c r="Q4">
        <v>12</v>
      </c>
      <c r="R4" t="s">
        <v>0</v>
      </c>
      <c r="S4">
        <v>15.3</v>
      </c>
      <c r="T4" t="s">
        <v>152</v>
      </c>
      <c r="U4">
        <v>1</v>
      </c>
      <c r="V4" t="s">
        <v>153</v>
      </c>
      <c r="W4">
        <v>4</v>
      </c>
      <c r="X4" t="s">
        <v>151</v>
      </c>
      <c r="Y4">
        <v>2549</v>
      </c>
      <c r="Z4" t="s">
        <v>1</v>
      </c>
      <c r="AA4" t="s">
        <v>226</v>
      </c>
      <c r="AB4" t="s">
        <v>4</v>
      </c>
      <c r="AC4">
        <v>1</v>
      </c>
      <c r="AD4" t="s">
        <v>5</v>
      </c>
      <c r="AE4">
        <v>0</v>
      </c>
    </row>
    <row r="5" spans="1:31" x14ac:dyDescent="0.25">
      <c r="A5" t="s">
        <v>63</v>
      </c>
      <c r="B5" t="s">
        <v>189</v>
      </c>
      <c r="C5">
        <v>1200</v>
      </c>
      <c r="D5" t="s">
        <v>190</v>
      </c>
      <c r="E5">
        <v>1000000</v>
      </c>
      <c r="F5" t="s">
        <v>191</v>
      </c>
      <c r="G5">
        <v>12345</v>
      </c>
      <c r="H5" t="s">
        <v>216</v>
      </c>
      <c r="I5">
        <v>1</v>
      </c>
      <c r="J5" t="s">
        <v>192</v>
      </c>
      <c r="K5">
        <v>1E-4</v>
      </c>
      <c r="L5" t="s">
        <v>3</v>
      </c>
      <c r="M5">
        <v>1</v>
      </c>
      <c r="N5" t="s">
        <v>2</v>
      </c>
      <c r="O5">
        <v>0</v>
      </c>
      <c r="P5" t="s">
        <v>17</v>
      </c>
      <c r="Q5">
        <v>8</v>
      </c>
      <c r="R5" t="s">
        <v>0</v>
      </c>
      <c r="S5">
        <v>6.5</v>
      </c>
      <c r="T5" t="s">
        <v>152</v>
      </c>
      <c r="U5">
        <v>1</v>
      </c>
      <c r="V5" t="s">
        <v>153</v>
      </c>
      <c r="W5">
        <v>3</v>
      </c>
      <c r="X5" t="s">
        <v>151</v>
      </c>
      <c r="Y5">
        <v>1182</v>
      </c>
      <c r="Z5" t="s">
        <v>1</v>
      </c>
      <c r="AA5" t="s">
        <v>206</v>
      </c>
      <c r="AB5" t="s">
        <v>4</v>
      </c>
      <c r="AC5">
        <v>1</v>
      </c>
      <c r="AD5" t="s">
        <v>5</v>
      </c>
      <c r="AE5">
        <v>0</v>
      </c>
    </row>
    <row r="6" spans="1:31" x14ac:dyDescent="0.25">
      <c r="A6" t="s">
        <v>73</v>
      </c>
      <c r="B6" t="s">
        <v>189</v>
      </c>
      <c r="C6">
        <v>1200</v>
      </c>
      <c r="D6" t="s">
        <v>190</v>
      </c>
      <c r="E6">
        <v>1000000</v>
      </c>
      <c r="F6" t="s">
        <v>191</v>
      </c>
      <c r="G6">
        <v>12345</v>
      </c>
      <c r="H6" t="s">
        <v>216</v>
      </c>
      <c r="I6">
        <v>1</v>
      </c>
      <c r="J6" t="s">
        <v>192</v>
      </c>
      <c r="K6">
        <v>1E-4</v>
      </c>
      <c r="L6" t="s">
        <v>3</v>
      </c>
      <c r="M6">
        <v>1</v>
      </c>
      <c r="N6" t="s">
        <v>2</v>
      </c>
      <c r="O6">
        <v>0</v>
      </c>
      <c r="P6" t="s">
        <v>17</v>
      </c>
      <c r="Q6">
        <v>8</v>
      </c>
      <c r="R6" t="s">
        <v>0</v>
      </c>
      <c r="S6">
        <v>6.6</v>
      </c>
      <c r="T6" t="s">
        <v>152</v>
      </c>
      <c r="U6">
        <v>1</v>
      </c>
      <c r="V6" t="s">
        <v>153</v>
      </c>
      <c r="W6">
        <v>3</v>
      </c>
      <c r="X6" t="s">
        <v>151</v>
      </c>
      <c r="Y6">
        <v>1184</v>
      </c>
      <c r="Z6" t="s">
        <v>1</v>
      </c>
      <c r="AA6" t="s">
        <v>207</v>
      </c>
      <c r="AB6" t="s">
        <v>4</v>
      </c>
      <c r="AC6">
        <v>1</v>
      </c>
      <c r="AD6" t="s">
        <v>5</v>
      </c>
      <c r="AE6">
        <v>0</v>
      </c>
    </row>
    <row r="7" spans="1:31" x14ac:dyDescent="0.25">
      <c r="A7" t="s">
        <v>83</v>
      </c>
      <c r="B7" t="s">
        <v>189</v>
      </c>
      <c r="C7">
        <v>1200</v>
      </c>
      <c r="D7" t="s">
        <v>190</v>
      </c>
      <c r="E7">
        <v>1000000</v>
      </c>
      <c r="F7" t="s">
        <v>191</v>
      </c>
      <c r="G7">
        <v>12345</v>
      </c>
      <c r="H7" t="s">
        <v>216</v>
      </c>
      <c r="I7">
        <v>1</v>
      </c>
      <c r="J7" t="s">
        <v>192</v>
      </c>
      <c r="K7">
        <v>1E-4</v>
      </c>
      <c r="L7" t="s">
        <v>3</v>
      </c>
      <c r="M7">
        <v>1</v>
      </c>
      <c r="N7" t="s">
        <v>2</v>
      </c>
      <c r="O7">
        <v>0</v>
      </c>
      <c r="P7" t="s">
        <v>17</v>
      </c>
      <c r="Q7">
        <v>12</v>
      </c>
      <c r="R7" t="s">
        <v>0</v>
      </c>
      <c r="S7">
        <v>14.8</v>
      </c>
      <c r="T7" t="s">
        <v>152</v>
      </c>
      <c r="U7">
        <v>1</v>
      </c>
      <c r="V7" t="s">
        <v>153</v>
      </c>
      <c r="W7">
        <v>4</v>
      </c>
      <c r="X7" t="s">
        <v>151</v>
      </c>
      <c r="Y7">
        <v>2553</v>
      </c>
      <c r="Z7" t="s">
        <v>1</v>
      </c>
      <c r="AA7" t="s">
        <v>163</v>
      </c>
      <c r="AB7" t="s">
        <v>4</v>
      </c>
      <c r="AC7">
        <v>1</v>
      </c>
      <c r="AD7" t="s">
        <v>5</v>
      </c>
      <c r="AE7">
        <v>0</v>
      </c>
    </row>
    <row r="8" spans="1:31" x14ac:dyDescent="0.25">
      <c r="A8" t="s">
        <v>19</v>
      </c>
      <c r="B8" t="s">
        <v>189</v>
      </c>
      <c r="C8">
        <v>1200</v>
      </c>
      <c r="D8" t="s">
        <v>190</v>
      </c>
      <c r="E8">
        <v>1000000</v>
      </c>
      <c r="F8" t="s">
        <v>191</v>
      </c>
      <c r="G8">
        <v>12345</v>
      </c>
      <c r="H8" t="s">
        <v>216</v>
      </c>
      <c r="I8">
        <v>1</v>
      </c>
      <c r="J8" t="s">
        <v>192</v>
      </c>
      <c r="K8">
        <v>1E-4</v>
      </c>
      <c r="L8" t="s">
        <v>3</v>
      </c>
      <c r="M8">
        <v>1</v>
      </c>
      <c r="N8" t="s">
        <v>2</v>
      </c>
      <c r="O8">
        <v>0</v>
      </c>
      <c r="P8" t="s">
        <v>17</v>
      </c>
      <c r="Q8">
        <v>21</v>
      </c>
      <c r="R8" t="s">
        <v>0</v>
      </c>
      <c r="S8">
        <v>50.1</v>
      </c>
      <c r="T8" t="s">
        <v>152</v>
      </c>
      <c r="U8">
        <v>5</v>
      </c>
      <c r="V8" t="s">
        <v>153</v>
      </c>
      <c r="W8">
        <v>30</v>
      </c>
      <c r="X8" t="s">
        <v>151</v>
      </c>
      <c r="Y8">
        <v>26781</v>
      </c>
      <c r="Z8" t="s">
        <v>1</v>
      </c>
      <c r="AA8" t="s">
        <v>218</v>
      </c>
      <c r="AB8" t="s">
        <v>4</v>
      </c>
      <c r="AC8">
        <v>1</v>
      </c>
      <c r="AD8" t="s">
        <v>5</v>
      </c>
      <c r="AE8">
        <v>0</v>
      </c>
    </row>
    <row r="9" spans="1:31" x14ac:dyDescent="0.25">
      <c r="A9" t="s">
        <v>29</v>
      </c>
      <c r="B9" t="s">
        <v>189</v>
      </c>
      <c r="C9">
        <v>1200</v>
      </c>
      <c r="D9" t="s">
        <v>190</v>
      </c>
      <c r="E9">
        <v>1000000</v>
      </c>
      <c r="F9" t="s">
        <v>191</v>
      </c>
      <c r="G9">
        <v>12345</v>
      </c>
      <c r="H9" t="s">
        <v>216</v>
      </c>
      <c r="I9">
        <v>1</v>
      </c>
      <c r="J9" t="s">
        <v>192</v>
      </c>
      <c r="K9">
        <v>1E-4</v>
      </c>
      <c r="L9" t="s">
        <v>3</v>
      </c>
      <c r="M9">
        <v>1</v>
      </c>
      <c r="N9" t="s">
        <v>2</v>
      </c>
      <c r="O9">
        <v>0</v>
      </c>
      <c r="P9" t="s">
        <v>17</v>
      </c>
      <c r="Q9">
        <v>20</v>
      </c>
      <c r="R9" t="s">
        <v>0</v>
      </c>
      <c r="S9">
        <v>103.8</v>
      </c>
      <c r="T9" t="s">
        <v>152</v>
      </c>
      <c r="U9">
        <v>3</v>
      </c>
      <c r="V9" t="s">
        <v>153</v>
      </c>
      <c r="W9">
        <v>22</v>
      </c>
      <c r="X9" t="s">
        <v>151</v>
      </c>
      <c r="Y9">
        <v>35125</v>
      </c>
      <c r="Z9" t="s">
        <v>1</v>
      </c>
      <c r="AA9" t="s">
        <v>219</v>
      </c>
      <c r="AB9" t="s">
        <v>4</v>
      </c>
      <c r="AC9">
        <v>1</v>
      </c>
      <c r="AD9" t="s">
        <v>5</v>
      </c>
      <c r="AE9">
        <v>0</v>
      </c>
    </row>
    <row r="10" spans="1:31" x14ac:dyDescent="0.25">
      <c r="A10" t="s">
        <v>39</v>
      </c>
      <c r="B10" t="s">
        <v>189</v>
      </c>
      <c r="C10">
        <v>1200</v>
      </c>
      <c r="D10" t="s">
        <v>190</v>
      </c>
      <c r="E10">
        <v>1000000</v>
      </c>
      <c r="F10" t="s">
        <v>191</v>
      </c>
      <c r="G10">
        <v>12345</v>
      </c>
      <c r="H10" t="s">
        <v>216</v>
      </c>
      <c r="I10">
        <v>1</v>
      </c>
      <c r="J10" t="s">
        <v>192</v>
      </c>
      <c r="K10">
        <v>1E-4</v>
      </c>
      <c r="L10" t="s">
        <v>3</v>
      </c>
      <c r="M10">
        <v>1</v>
      </c>
      <c r="N10" t="s">
        <v>2</v>
      </c>
      <c r="O10">
        <v>0</v>
      </c>
      <c r="P10" t="s">
        <v>17</v>
      </c>
      <c r="Q10">
        <v>6</v>
      </c>
      <c r="R10" t="s">
        <v>0</v>
      </c>
      <c r="S10">
        <v>2.6</v>
      </c>
      <c r="T10" t="s">
        <v>152</v>
      </c>
      <c r="U10">
        <v>1</v>
      </c>
      <c r="V10" t="s">
        <v>153</v>
      </c>
      <c r="W10">
        <v>2</v>
      </c>
      <c r="X10" t="s">
        <v>151</v>
      </c>
      <c r="Y10">
        <v>536</v>
      </c>
      <c r="Z10" t="s">
        <v>1</v>
      </c>
      <c r="AA10" t="s">
        <v>158</v>
      </c>
      <c r="AB10" t="s">
        <v>4</v>
      </c>
      <c r="AC10">
        <v>1</v>
      </c>
      <c r="AD10" t="s">
        <v>5</v>
      </c>
      <c r="AE10">
        <v>0</v>
      </c>
    </row>
    <row r="11" spans="1:31" x14ac:dyDescent="0.25">
      <c r="A11" t="s">
        <v>93</v>
      </c>
      <c r="B11" t="s">
        <v>189</v>
      </c>
      <c r="C11">
        <v>1200</v>
      </c>
      <c r="D11" t="s">
        <v>190</v>
      </c>
      <c r="E11">
        <v>1000000</v>
      </c>
      <c r="F11" t="s">
        <v>191</v>
      </c>
      <c r="G11">
        <v>12345</v>
      </c>
      <c r="H11" t="s">
        <v>216</v>
      </c>
      <c r="I11">
        <v>1</v>
      </c>
      <c r="J11" t="s">
        <v>192</v>
      </c>
      <c r="K11">
        <v>1E-4</v>
      </c>
      <c r="L11" t="s">
        <v>3</v>
      </c>
      <c r="M11">
        <v>0.99997930000000002</v>
      </c>
      <c r="N11" t="s">
        <v>2</v>
      </c>
      <c r="O11">
        <v>7.2998999999999998E-3</v>
      </c>
      <c r="P11" t="s">
        <v>17</v>
      </c>
      <c r="Q11">
        <v>46</v>
      </c>
      <c r="R11" t="s">
        <v>0</v>
      </c>
      <c r="S11">
        <v>1201.0999999999999</v>
      </c>
      <c r="T11" t="s">
        <v>152</v>
      </c>
      <c r="U11">
        <v>7</v>
      </c>
      <c r="V11" t="s">
        <v>153</v>
      </c>
      <c r="W11">
        <v>51</v>
      </c>
      <c r="X11" t="s">
        <v>151</v>
      </c>
      <c r="Y11">
        <v>126237</v>
      </c>
      <c r="Z11" t="s">
        <v>1</v>
      </c>
      <c r="AA11" t="s">
        <v>238</v>
      </c>
      <c r="AB11" t="s">
        <v>4</v>
      </c>
      <c r="AC11">
        <v>0.9999806</v>
      </c>
      <c r="AD11" t="s">
        <v>5</v>
      </c>
      <c r="AE11">
        <v>7.0645999999999999E-3</v>
      </c>
    </row>
    <row r="12" spans="1:31" x14ac:dyDescent="0.25">
      <c r="A12" t="s">
        <v>49</v>
      </c>
      <c r="B12" t="s">
        <v>189</v>
      </c>
      <c r="C12">
        <v>1200</v>
      </c>
      <c r="D12" t="s">
        <v>190</v>
      </c>
      <c r="E12">
        <v>1000000</v>
      </c>
      <c r="F12" t="s">
        <v>191</v>
      </c>
      <c r="G12">
        <v>12345</v>
      </c>
      <c r="H12" t="s">
        <v>216</v>
      </c>
      <c r="I12">
        <v>1</v>
      </c>
      <c r="J12" t="s">
        <v>192</v>
      </c>
      <c r="K12">
        <v>1E-4</v>
      </c>
      <c r="L12" t="s">
        <v>3</v>
      </c>
      <c r="M12">
        <v>0.99999939999999998</v>
      </c>
      <c r="N12" t="s">
        <v>2</v>
      </c>
      <c r="O12">
        <v>6.5510000000000004E-4</v>
      </c>
      <c r="P12" t="s">
        <v>17</v>
      </c>
      <c r="Q12">
        <v>28</v>
      </c>
      <c r="R12" t="s">
        <v>0</v>
      </c>
      <c r="S12">
        <v>1201</v>
      </c>
      <c r="T12" t="s">
        <v>152</v>
      </c>
      <c r="U12">
        <v>16</v>
      </c>
      <c r="V12" t="s">
        <v>153</v>
      </c>
      <c r="W12">
        <v>111</v>
      </c>
      <c r="X12" t="s">
        <v>151</v>
      </c>
      <c r="Y12">
        <v>146952</v>
      </c>
      <c r="Z12" t="s">
        <v>1</v>
      </c>
      <c r="AA12" t="s">
        <v>228</v>
      </c>
      <c r="AB12" t="s">
        <v>4</v>
      </c>
      <c r="AC12">
        <v>0.99999930000000004</v>
      </c>
      <c r="AD12" t="s">
        <v>5</v>
      </c>
      <c r="AE12">
        <v>7.2440000000000004E-4</v>
      </c>
    </row>
    <row r="13" spans="1:31" x14ac:dyDescent="0.25">
      <c r="A13" t="s">
        <v>59</v>
      </c>
      <c r="B13" t="s">
        <v>189</v>
      </c>
      <c r="C13">
        <v>1200</v>
      </c>
      <c r="D13" t="s">
        <v>190</v>
      </c>
      <c r="E13">
        <v>1000000</v>
      </c>
      <c r="F13" t="s">
        <v>191</v>
      </c>
      <c r="G13">
        <v>12345</v>
      </c>
      <c r="H13" t="s">
        <v>216</v>
      </c>
      <c r="I13">
        <v>1</v>
      </c>
      <c r="J13" t="s">
        <v>192</v>
      </c>
      <c r="K13">
        <v>1E-4</v>
      </c>
      <c r="L13" t="s">
        <v>3</v>
      </c>
      <c r="M13">
        <v>1</v>
      </c>
      <c r="N13" t="s">
        <v>2</v>
      </c>
      <c r="O13">
        <v>0</v>
      </c>
      <c r="P13" t="s">
        <v>17</v>
      </c>
      <c r="Q13">
        <v>12</v>
      </c>
      <c r="R13" t="s">
        <v>0</v>
      </c>
      <c r="S13">
        <v>8.9</v>
      </c>
      <c r="T13" t="s">
        <v>152</v>
      </c>
      <c r="U13">
        <v>1</v>
      </c>
      <c r="V13" t="s">
        <v>153</v>
      </c>
      <c r="W13">
        <v>3</v>
      </c>
      <c r="X13" t="s">
        <v>151</v>
      </c>
      <c r="Y13">
        <v>1730</v>
      </c>
      <c r="Z13" t="s">
        <v>1</v>
      </c>
      <c r="AA13" t="s">
        <v>160</v>
      </c>
      <c r="AB13" t="s">
        <v>4</v>
      </c>
      <c r="AC13">
        <v>1</v>
      </c>
      <c r="AD13" t="s">
        <v>5</v>
      </c>
      <c r="AE13">
        <v>0</v>
      </c>
    </row>
    <row r="14" spans="1:31" x14ac:dyDescent="0.25">
      <c r="A14" t="s">
        <v>69</v>
      </c>
      <c r="B14" t="s">
        <v>189</v>
      </c>
      <c r="C14">
        <v>1200</v>
      </c>
      <c r="D14" t="s">
        <v>190</v>
      </c>
      <c r="E14">
        <v>1000000</v>
      </c>
      <c r="F14" t="s">
        <v>191</v>
      </c>
      <c r="G14">
        <v>12345</v>
      </c>
      <c r="H14" t="s">
        <v>216</v>
      </c>
      <c r="I14">
        <v>1</v>
      </c>
      <c r="J14" t="s">
        <v>192</v>
      </c>
      <c r="K14">
        <v>1E-4</v>
      </c>
      <c r="L14" t="s">
        <v>3</v>
      </c>
      <c r="M14">
        <v>1</v>
      </c>
      <c r="N14" t="s">
        <v>2</v>
      </c>
      <c r="O14">
        <v>0</v>
      </c>
      <c r="P14" t="s">
        <v>17</v>
      </c>
      <c r="Q14">
        <v>9</v>
      </c>
      <c r="R14" t="s">
        <v>0</v>
      </c>
      <c r="S14">
        <v>8.1</v>
      </c>
      <c r="T14" t="s">
        <v>152</v>
      </c>
      <c r="U14">
        <v>1</v>
      </c>
      <c r="V14" t="s">
        <v>153</v>
      </c>
      <c r="W14">
        <v>4</v>
      </c>
      <c r="X14" t="s">
        <v>151</v>
      </c>
      <c r="Y14">
        <v>1540</v>
      </c>
      <c r="Z14" t="s">
        <v>1</v>
      </c>
      <c r="AA14" t="s">
        <v>178</v>
      </c>
      <c r="AB14" t="s">
        <v>4</v>
      </c>
      <c r="AC14">
        <v>1</v>
      </c>
      <c r="AD14" t="s">
        <v>5</v>
      </c>
      <c r="AE14">
        <v>0</v>
      </c>
    </row>
    <row r="15" spans="1:31" x14ac:dyDescent="0.25">
      <c r="A15" t="s">
        <v>79</v>
      </c>
      <c r="B15" t="s">
        <v>189</v>
      </c>
      <c r="C15">
        <v>1200</v>
      </c>
      <c r="D15" t="s">
        <v>190</v>
      </c>
      <c r="E15">
        <v>1000000</v>
      </c>
      <c r="F15" t="s">
        <v>191</v>
      </c>
      <c r="G15">
        <v>12345</v>
      </c>
      <c r="H15" t="s">
        <v>216</v>
      </c>
      <c r="I15">
        <v>1</v>
      </c>
      <c r="J15" t="s">
        <v>192</v>
      </c>
      <c r="K15">
        <v>1E-4</v>
      </c>
      <c r="L15" t="s">
        <v>3</v>
      </c>
      <c r="M15">
        <v>1</v>
      </c>
      <c r="N15" t="s">
        <v>2</v>
      </c>
      <c r="O15">
        <v>0</v>
      </c>
      <c r="P15" t="s">
        <v>17</v>
      </c>
      <c r="Q15">
        <v>10</v>
      </c>
      <c r="R15" t="s">
        <v>0</v>
      </c>
      <c r="S15">
        <v>34.200000000000003</v>
      </c>
      <c r="T15" t="s">
        <v>152</v>
      </c>
      <c r="U15">
        <v>1</v>
      </c>
      <c r="V15" t="s">
        <v>153</v>
      </c>
      <c r="W15">
        <v>7</v>
      </c>
      <c r="X15" t="s">
        <v>151</v>
      </c>
      <c r="Y15">
        <v>5268</v>
      </c>
      <c r="Z15" t="s">
        <v>1</v>
      </c>
      <c r="AA15" t="s">
        <v>229</v>
      </c>
      <c r="AB15" t="s">
        <v>4</v>
      </c>
      <c r="AC15">
        <v>1</v>
      </c>
      <c r="AD15" t="s">
        <v>5</v>
      </c>
      <c r="AE15">
        <v>0</v>
      </c>
    </row>
    <row r="16" spans="1:31" x14ac:dyDescent="0.25">
      <c r="A16" t="s">
        <v>20</v>
      </c>
      <c r="B16" t="s">
        <v>189</v>
      </c>
      <c r="C16">
        <v>1200</v>
      </c>
      <c r="D16" t="s">
        <v>190</v>
      </c>
      <c r="E16">
        <v>1000000</v>
      </c>
      <c r="F16" t="s">
        <v>191</v>
      </c>
      <c r="G16">
        <v>12345</v>
      </c>
      <c r="H16" t="s">
        <v>216</v>
      </c>
      <c r="I16">
        <v>1</v>
      </c>
      <c r="J16" t="s">
        <v>192</v>
      </c>
      <c r="K16">
        <v>1E-4</v>
      </c>
      <c r="L16" t="s">
        <v>3</v>
      </c>
      <c r="M16">
        <v>1</v>
      </c>
      <c r="N16" t="s">
        <v>2</v>
      </c>
      <c r="O16">
        <v>0</v>
      </c>
      <c r="P16" t="s">
        <v>17</v>
      </c>
      <c r="Q16">
        <v>15</v>
      </c>
      <c r="R16" t="s">
        <v>0</v>
      </c>
      <c r="S16">
        <v>430.9</v>
      </c>
      <c r="T16" t="s">
        <v>152</v>
      </c>
      <c r="U16">
        <v>2</v>
      </c>
      <c r="V16" t="s">
        <v>153</v>
      </c>
      <c r="W16">
        <v>31</v>
      </c>
      <c r="X16" t="s">
        <v>151</v>
      </c>
      <c r="Y16">
        <v>96831</v>
      </c>
      <c r="Z16" t="s">
        <v>1</v>
      </c>
      <c r="AA16" t="s">
        <v>182</v>
      </c>
      <c r="AB16" t="s">
        <v>4</v>
      </c>
      <c r="AC16">
        <v>1</v>
      </c>
      <c r="AD16" t="s">
        <v>5</v>
      </c>
      <c r="AE16">
        <v>0</v>
      </c>
    </row>
    <row r="17" spans="1:31" x14ac:dyDescent="0.25">
      <c r="A17" t="s">
        <v>25</v>
      </c>
      <c r="B17" t="s">
        <v>189</v>
      </c>
      <c r="C17">
        <v>1200</v>
      </c>
      <c r="D17" t="s">
        <v>190</v>
      </c>
      <c r="E17">
        <v>1000000</v>
      </c>
      <c r="F17" t="s">
        <v>191</v>
      </c>
      <c r="G17">
        <v>12345</v>
      </c>
      <c r="H17" t="s">
        <v>216</v>
      </c>
      <c r="I17">
        <v>1</v>
      </c>
      <c r="J17" t="s">
        <v>192</v>
      </c>
      <c r="K17">
        <v>1E-4</v>
      </c>
      <c r="L17" t="s">
        <v>3</v>
      </c>
      <c r="M17">
        <v>1</v>
      </c>
      <c r="N17" t="s">
        <v>2</v>
      </c>
      <c r="O17">
        <v>0</v>
      </c>
      <c r="P17" t="s">
        <v>17</v>
      </c>
      <c r="Q17">
        <v>13</v>
      </c>
      <c r="R17" t="s">
        <v>0</v>
      </c>
      <c r="S17">
        <v>9</v>
      </c>
      <c r="T17" t="s">
        <v>152</v>
      </c>
      <c r="U17">
        <v>1</v>
      </c>
      <c r="V17" t="s">
        <v>153</v>
      </c>
      <c r="W17">
        <v>8</v>
      </c>
      <c r="X17" t="s">
        <v>151</v>
      </c>
      <c r="Y17">
        <v>4960</v>
      </c>
      <c r="Z17" t="s">
        <v>1</v>
      </c>
      <c r="AA17" t="s">
        <v>217</v>
      </c>
      <c r="AB17" t="s">
        <v>4</v>
      </c>
      <c r="AC17">
        <v>1</v>
      </c>
      <c r="AD17" t="s">
        <v>5</v>
      </c>
      <c r="AE17">
        <v>0</v>
      </c>
    </row>
    <row r="18" spans="1:31" x14ac:dyDescent="0.25">
      <c r="A18" t="s">
        <v>35</v>
      </c>
      <c r="B18" t="s">
        <v>189</v>
      </c>
      <c r="C18">
        <v>1200</v>
      </c>
      <c r="D18" t="s">
        <v>190</v>
      </c>
      <c r="E18">
        <v>1000000</v>
      </c>
      <c r="F18" t="s">
        <v>191</v>
      </c>
      <c r="G18">
        <v>12345</v>
      </c>
      <c r="H18" t="s">
        <v>216</v>
      </c>
      <c r="I18">
        <v>1</v>
      </c>
      <c r="J18" t="s">
        <v>192</v>
      </c>
      <c r="K18">
        <v>1E-4</v>
      </c>
      <c r="L18" t="s">
        <v>3</v>
      </c>
      <c r="M18">
        <v>1</v>
      </c>
      <c r="N18" t="s">
        <v>2</v>
      </c>
      <c r="O18">
        <v>0</v>
      </c>
      <c r="P18" t="s">
        <v>17</v>
      </c>
      <c r="Q18">
        <v>8</v>
      </c>
      <c r="R18" t="s">
        <v>0</v>
      </c>
      <c r="S18">
        <v>3.5</v>
      </c>
      <c r="T18" t="s">
        <v>152</v>
      </c>
      <c r="U18">
        <v>1</v>
      </c>
      <c r="V18" t="s">
        <v>153</v>
      </c>
      <c r="W18">
        <v>2</v>
      </c>
      <c r="X18" t="s">
        <v>151</v>
      </c>
      <c r="Y18">
        <v>730</v>
      </c>
      <c r="Z18" t="s">
        <v>1</v>
      </c>
      <c r="AA18" t="s">
        <v>155</v>
      </c>
      <c r="AB18" t="s">
        <v>4</v>
      </c>
      <c r="AC18">
        <v>1</v>
      </c>
      <c r="AD18" t="s">
        <v>5</v>
      </c>
      <c r="AE18">
        <v>0</v>
      </c>
    </row>
    <row r="19" spans="1:31" x14ac:dyDescent="0.25">
      <c r="A19" t="s">
        <v>30</v>
      </c>
      <c r="B19" t="s">
        <v>189</v>
      </c>
      <c r="C19">
        <v>1200</v>
      </c>
      <c r="D19" t="s">
        <v>190</v>
      </c>
      <c r="E19">
        <v>1000000</v>
      </c>
      <c r="F19" t="s">
        <v>191</v>
      </c>
      <c r="G19">
        <v>12345</v>
      </c>
      <c r="H19" t="s">
        <v>216</v>
      </c>
      <c r="I19">
        <v>1</v>
      </c>
      <c r="J19" t="s">
        <v>192</v>
      </c>
      <c r="K19">
        <v>1E-4</v>
      </c>
      <c r="L19" t="s">
        <v>3</v>
      </c>
      <c r="M19">
        <v>1</v>
      </c>
      <c r="N19" t="s">
        <v>2</v>
      </c>
      <c r="O19">
        <v>0</v>
      </c>
      <c r="P19" t="s">
        <v>17</v>
      </c>
      <c r="Q19">
        <v>14</v>
      </c>
      <c r="R19" t="s">
        <v>0</v>
      </c>
      <c r="S19">
        <v>188.3</v>
      </c>
      <c r="T19" t="s">
        <v>152</v>
      </c>
      <c r="U19">
        <v>12</v>
      </c>
      <c r="V19" t="s">
        <v>153</v>
      </c>
      <c r="W19">
        <v>47</v>
      </c>
      <c r="X19" t="s">
        <v>151</v>
      </c>
      <c r="Y19">
        <v>46592</v>
      </c>
      <c r="Z19" t="s">
        <v>1</v>
      </c>
      <c r="AA19" t="s">
        <v>220</v>
      </c>
      <c r="AB19" t="s">
        <v>4</v>
      </c>
      <c r="AC19">
        <v>1</v>
      </c>
      <c r="AD19" t="s">
        <v>5</v>
      </c>
      <c r="AE19">
        <v>0</v>
      </c>
    </row>
    <row r="20" spans="1:31" x14ac:dyDescent="0.25">
      <c r="A20" t="s">
        <v>40</v>
      </c>
      <c r="B20" t="s">
        <v>189</v>
      </c>
      <c r="C20">
        <v>1200</v>
      </c>
      <c r="D20" t="s">
        <v>190</v>
      </c>
      <c r="E20">
        <v>1000000</v>
      </c>
      <c r="F20" t="s">
        <v>191</v>
      </c>
      <c r="G20">
        <v>12345</v>
      </c>
      <c r="H20" t="s">
        <v>216</v>
      </c>
      <c r="I20">
        <v>1</v>
      </c>
      <c r="J20" t="s">
        <v>192</v>
      </c>
      <c r="K20">
        <v>1E-4</v>
      </c>
      <c r="L20" t="s">
        <v>3</v>
      </c>
      <c r="M20">
        <v>1</v>
      </c>
      <c r="N20" t="s">
        <v>2</v>
      </c>
      <c r="O20">
        <v>0</v>
      </c>
      <c r="P20" t="s">
        <v>17</v>
      </c>
      <c r="Q20">
        <v>10</v>
      </c>
      <c r="R20" t="s">
        <v>0</v>
      </c>
      <c r="S20">
        <v>7.4</v>
      </c>
      <c r="T20" t="s">
        <v>152</v>
      </c>
      <c r="U20">
        <v>1</v>
      </c>
      <c r="V20" t="s">
        <v>153</v>
      </c>
      <c r="W20">
        <v>3</v>
      </c>
      <c r="X20" t="s">
        <v>151</v>
      </c>
      <c r="Y20">
        <v>1479</v>
      </c>
      <c r="Z20" t="s">
        <v>1</v>
      </c>
      <c r="AA20" t="s">
        <v>200</v>
      </c>
      <c r="AB20" t="s">
        <v>4</v>
      </c>
      <c r="AC20">
        <v>1</v>
      </c>
      <c r="AD20" t="s">
        <v>5</v>
      </c>
      <c r="AE20">
        <v>0</v>
      </c>
    </row>
    <row r="21" spans="1:31" x14ac:dyDescent="0.25">
      <c r="A21" t="s">
        <v>103</v>
      </c>
      <c r="B21" t="s">
        <v>189</v>
      </c>
      <c r="C21">
        <v>1200</v>
      </c>
      <c r="D21" t="s">
        <v>190</v>
      </c>
      <c r="E21">
        <v>1000000</v>
      </c>
      <c r="F21" t="s">
        <v>191</v>
      </c>
      <c r="G21">
        <v>12345</v>
      </c>
      <c r="H21" t="s">
        <v>216</v>
      </c>
      <c r="I21">
        <v>1</v>
      </c>
      <c r="J21" t="s">
        <v>192</v>
      </c>
      <c r="K21">
        <v>1E-4</v>
      </c>
      <c r="L21" t="s">
        <v>3</v>
      </c>
      <c r="M21">
        <v>0.99997689999999995</v>
      </c>
      <c r="N21" t="s">
        <v>2</v>
      </c>
      <c r="O21">
        <v>3.4974900000000003E-2</v>
      </c>
      <c r="P21" t="s">
        <v>17</v>
      </c>
      <c r="Q21">
        <v>115</v>
      </c>
      <c r="R21" t="s">
        <v>0</v>
      </c>
      <c r="S21">
        <v>1201.7</v>
      </c>
      <c r="T21" t="s">
        <v>152</v>
      </c>
      <c r="U21">
        <v>1</v>
      </c>
      <c r="V21" t="s">
        <v>153</v>
      </c>
      <c r="W21">
        <v>27</v>
      </c>
      <c r="X21" t="s">
        <v>151</v>
      </c>
      <c r="Y21">
        <v>86870</v>
      </c>
      <c r="Z21" t="s">
        <v>1</v>
      </c>
      <c r="AA21" t="s">
        <v>249</v>
      </c>
      <c r="AB21" t="s">
        <v>4</v>
      </c>
      <c r="AC21">
        <v>0.9999768</v>
      </c>
      <c r="AD21" t="s">
        <v>5</v>
      </c>
      <c r="AE21">
        <v>3.4963099999999997E-2</v>
      </c>
    </row>
    <row r="22" spans="1:31" x14ac:dyDescent="0.25">
      <c r="A22" t="s">
        <v>113</v>
      </c>
      <c r="B22" t="s">
        <v>189</v>
      </c>
      <c r="C22">
        <v>1200</v>
      </c>
      <c r="D22" t="s">
        <v>190</v>
      </c>
      <c r="E22">
        <v>1000000</v>
      </c>
      <c r="F22" t="s">
        <v>191</v>
      </c>
      <c r="G22">
        <v>12345</v>
      </c>
      <c r="H22" t="s">
        <v>216</v>
      </c>
      <c r="I22">
        <v>1</v>
      </c>
      <c r="J22" t="s">
        <v>192</v>
      </c>
      <c r="K22">
        <v>1E-4</v>
      </c>
      <c r="L22" t="s">
        <v>3</v>
      </c>
      <c r="M22">
        <v>1</v>
      </c>
      <c r="N22" t="s">
        <v>2</v>
      </c>
      <c r="O22">
        <v>0</v>
      </c>
      <c r="P22" t="s">
        <v>17</v>
      </c>
      <c r="Q22">
        <v>16</v>
      </c>
      <c r="R22" t="s">
        <v>0</v>
      </c>
      <c r="S22">
        <v>28.8</v>
      </c>
      <c r="T22" t="s">
        <v>152</v>
      </c>
      <c r="U22">
        <v>1</v>
      </c>
      <c r="V22" t="s">
        <v>153</v>
      </c>
      <c r="W22">
        <v>6</v>
      </c>
      <c r="X22" t="s">
        <v>151</v>
      </c>
      <c r="Y22">
        <v>4796</v>
      </c>
      <c r="Z22" t="s">
        <v>1</v>
      </c>
      <c r="AA22" t="s">
        <v>168</v>
      </c>
      <c r="AB22" t="s">
        <v>4</v>
      </c>
      <c r="AC22">
        <v>1</v>
      </c>
      <c r="AD22" t="s">
        <v>5</v>
      </c>
      <c r="AE22">
        <v>0</v>
      </c>
    </row>
    <row r="23" spans="1:31" x14ac:dyDescent="0.25">
      <c r="A23" t="s">
        <v>123</v>
      </c>
      <c r="B23" t="s">
        <v>189</v>
      </c>
      <c r="C23">
        <v>1200</v>
      </c>
      <c r="D23" t="s">
        <v>190</v>
      </c>
      <c r="E23">
        <v>1000000</v>
      </c>
      <c r="F23" t="s">
        <v>191</v>
      </c>
      <c r="G23">
        <v>12345</v>
      </c>
      <c r="H23" t="s">
        <v>216</v>
      </c>
      <c r="I23">
        <v>1</v>
      </c>
      <c r="J23" t="s">
        <v>192</v>
      </c>
      <c r="K23">
        <v>1E-4</v>
      </c>
      <c r="L23" t="s">
        <v>3</v>
      </c>
      <c r="M23">
        <v>1</v>
      </c>
      <c r="N23" t="s">
        <v>2</v>
      </c>
      <c r="O23">
        <v>0</v>
      </c>
      <c r="P23" t="s">
        <v>17</v>
      </c>
      <c r="Q23">
        <v>26</v>
      </c>
      <c r="R23" t="s">
        <v>0</v>
      </c>
      <c r="S23">
        <v>306.7</v>
      </c>
      <c r="T23" t="s">
        <v>152</v>
      </c>
      <c r="U23">
        <v>1</v>
      </c>
      <c r="V23" t="s">
        <v>153</v>
      </c>
      <c r="W23">
        <v>11</v>
      </c>
      <c r="X23" t="s">
        <v>151</v>
      </c>
      <c r="Y23">
        <v>31541</v>
      </c>
      <c r="Z23" t="s">
        <v>1</v>
      </c>
      <c r="AA23" t="s">
        <v>179</v>
      </c>
      <c r="AB23" t="s">
        <v>4</v>
      </c>
      <c r="AC23">
        <v>1</v>
      </c>
      <c r="AD23" t="s">
        <v>5</v>
      </c>
      <c r="AE23">
        <v>0</v>
      </c>
    </row>
    <row r="24" spans="1:31" x14ac:dyDescent="0.25">
      <c r="A24" t="s">
        <v>133</v>
      </c>
      <c r="B24" t="s">
        <v>189</v>
      </c>
      <c r="C24">
        <v>1200</v>
      </c>
      <c r="D24" t="s">
        <v>190</v>
      </c>
      <c r="E24">
        <v>1000000</v>
      </c>
      <c r="F24" t="s">
        <v>191</v>
      </c>
      <c r="G24">
        <v>12345</v>
      </c>
      <c r="H24" t="s">
        <v>216</v>
      </c>
      <c r="I24">
        <v>1</v>
      </c>
      <c r="J24" t="s">
        <v>192</v>
      </c>
      <c r="K24">
        <v>1E-4</v>
      </c>
      <c r="L24" t="s">
        <v>3</v>
      </c>
      <c r="M24">
        <v>1</v>
      </c>
      <c r="N24" t="s">
        <v>2</v>
      </c>
      <c r="O24">
        <v>0</v>
      </c>
      <c r="P24" t="s">
        <v>17</v>
      </c>
      <c r="Q24">
        <v>14</v>
      </c>
      <c r="R24" t="s">
        <v>0</v>
      </c>
      <c r="S24">
        <v>24.2</v>
      </c>
      <c r="T24" t="s">
        <v>152</v>
      </c>
      <c r="U24">
        <v>1</v>
      </c>
      <c r="V24" t="s">
        <v>153</v>
      </c>
      <c r="W24">
        <v>5</v>
      </c>
      <c r="X24" t="s">
        <v>151</v>
      </c>
      <c r="Y24">
        <v>4034</v>
      </c>
      <c r="Z24" t="s">
        <v>1</v>
      </c>
      <c r="AA24" t="s">
        <v>214</v>
      </c>
      <c r="AB24" t="s">
        <v>4</v>
      </c>
      <c r="AC24">
        <v>1</v>
      </c>
      <c r="AD24" t="s">
        <v>5</v>
      </c>
      <c r="AE24">
        <v>0</v>
      </c>
    </row>
    <row r="25" spans="1:31" x14ac:dyDescent="0.25">
      <c r="A25" t="s">
        <v>89</v>
      </c>
      <c r="B25" t="s">
        <v>189</v>
      </c>
      <c r="C25">
        <v>1200</v>
      </c>
      <c r="D25" t="s">
        <v>190</v>
      </c>
      <c r="E25">
        <v>1000000</v>
      </c>
      <c r="F25" t="s">
        <v>191</v>
      </c>
      <c r="G25">
        <v>12345</v>
      </c>
      <c r="H25" t="s">
        <v>216</v>
      </c>
      <c r="I25">
        <v>1</v>
      </c>
      <c r="J25" t="s">
        <v>192</v>
      </c>
      <c r="K25">
        <v>1E-4</v>
      </c>
      <c r="L25" t="s">
        <v>3</v>
      </c>
      <c r="M25">
        <v>0.93943489999999996</v>
      </c>
      <c r="N25" t="s">
        <v>2</v>
      </c>
      <c r="O25">
        <v>0.24445720000000001</v>
      </c>
      <c r="P25" t="s">
        <v>17</v>
      </c>
      <c r="Q25">
        <v>112</v>
      </c>
      <c r="R25" t="s">
        <v>0</v>
      </c>
      <c r="S25">
        <v>1200.7</v>
      </c>
      <c r="T25" t="s">
        <v>152</v>
      </c>
      <c r="U25">
        <v>1</v>
      </c>
      <c r="V25" t="s">
        <v>153</v>
      </c>
      <c r="W25">
        <v>30</v>
      </c>
      <c r="X25" t="s">
        <v>151</v>
      </c>
      <c r="Y25">
        <v>104673</v>
      </c>
      <c r="Z25" t="s">
        <v>1</v>
      </c>
      <c r="AA25" t="e" cm="1">
        <f t="array" aca="1" ref="AA25" ca="1">-2.2822947234849+(2.0927076661185*pow(v0,-1))+((5.1647315821806*pow((pow(V1,-1)+(0.7272727272727*V1)),-2))*pow(LOG((0.5+v0)),2))+((0.3244413197875*V1)*pow((v0+(0.5*pow(v0,-1))),-1))+((0.2500754377458*pow(V1,2))*pow((v0+(0.5*pow((-0.5+v0),-1))),-1))+((0.1377990428935*pow(V2,-0.8))*pow(V3,2))+(((0.1702276473276*pow(V2,2))*pow(V3,-1))*COS((-0.5+((2.8299589756416*V3)*SIN(pow(V2,-1))))))+(((-0.0085263259381*pow(V2,3.1415926535898))*pow(V3,-1))*COS((-0.5+((5.9715516292314*V3)*pow(V2,-1)))))</f>
        <v>#NAME?</v>
      </c>
      <c r="AB25" t="s">
        <v>4</v>
      </c>
      <c r="AC25">
        <v>0.94023690000000004</v>
      </c>
      <c r="AD25" t="s">
        <v>5</v>
      </c>
      <c r="AE25">
        <v>0.2441342</v>
      </c>
    </row>
    <row r="26" spans="1:31" x14ac:dyDescent="0.25">
      <c r="A26" t="s">
        <v>99</v>
      </c>
      <c r="B26" t="s">
        <v>189</v>
      </c>
      <c r="C26">
        <v>1200</v>
      </c>
      <c r="D26" t="s">
        <v>190</v>
      </c>
      <c r="E26">
        <v>1000000</v>
      </c>
      <c r="F26" t="s">
        <v>191</v>
      </c>
      <c r="G26">
        <v>12345</v>
      </c>
      <c r="H26" t="s">
        <v>216</v>
      </c>
      <c r="I26">
        <v>1</v>
      </c>
      <c r="J26" t="s">
        <v>192</v>
      </c>
      <c r="K26">
        <v>1E-4</v>
      </c>
      <c r="L26" t="s">
        <v>3</v>
      </c>
      <c r="M26">
        <v>1</v>
      </c>
      <c r="N26" t="s">
        <v>2</v>
      </c>
      <c r="O26">
        <v>0</v>
      </c>
      <c r="P26" t="s">
        <v>17</v>
      </c>
      <c r="Q26">
        <v>12</v>
      </c>
      <c r="R26" t="s">
        <v>0</v>
      </c>
      <c r="S26">
        <v>14.5</v>
      </c>
      <c r="T26" t="s">
        <v>152</v>
      </c>
      <c r="U26">
        <v>1</v>
      </c>
      <c r="V26" t="s">
        <v>153</v>
      </c>
      <c r="W26">
        <v>4</v>
      </c>
      <c r="X26" t="s">
        <v>151</v>
      </c>
      <c r="Y26">
        <v>2574</v>
      </c>
      <c r="Z26" t="s">
        <v>1</v>
      </c>
      <c r="AA26" t="s">
        <v>203</v>
      </c>
      <c r="AB26" t="s">
        <v>4</v>
      </c>
      <c r="AC26">
        <v>1</v>
      </c>
      <c r="AD26" t="s">
        <v>5</v>
      </c>
      <c r="AE26">
        <v>0</v>
      </c>
    </row>
    <row r="27" spans="1:31" x14ac:dyDescent="0.25">
      <c r="A27" t="s">
        <v>109</v>
      </c>
      <c r="B27" t="s">
        <v>189</v>
      </c>
      <c r="C27">
        <v>1200</v>
      </c>
      <c r="D27" t="s">
        <v>190</v>
      </c>
      <c r="E27">
        <v>1000000</v>
      </c>
      <c r="F27" t="s">
        <v>191</v>
      </c>
      <c r="G27">
        <v>12345</v>
      </c>
      <c r="H27" t="s">
        <v>216</v>
      </c>
      <c r="I27">
        <v>1</v>
      </c>
      <c r="J27" t="s">
        <v>192</v>
      </c>
      <c r="K27">
        <v>1E-4</v>
      </c>
      <c r="L27" t="s">
        <v>3</v>
      </c>
      <c r="M27">
        <v>1</v>
      </c>
      <c r="N27" t="s">
        <v>2</v>
      </c>
      <c r="O27">
        <v>0</v>
      </c>
      <c r="P27" t="s">
        <v>17</v>
      </c>
      <c r="Q27">
        <v>12</v>
      </c>
      <c r="R27" t="s">
        <v>0</v>
      </c>
      <c r="S27">
        <v>14.5</v>
      </c>
      <c r="T27" t="s">
        <v>152</v>
      </c>
      <c r="U27">
        <v>1</v>
      </c>
      <c r="V27" t="s">
        <v>153</v>
      </c>
      <c r="W27">
        <v>4</v>
      </c>
      <c r="X27" t="s">
        <v>151</v>
      </c>
      <c r="Y27">
        <v>2566</v>
      </c>
      <c r="Z27" t="s">
        <v>1</v>
      </c>
      <c r="AA27" t="s">
        <v>209</v>
      </c>
      <c r="AB27" t="s">
        <v>4</v>
      </c>
      <c r="AC27">
        <v>1</v>
      </c>
      <c r="AD27" t="s">
        <v>5</v>
      </c>
      <c r="AE27">
        <v>0</v>
      </c>
    </row>
    <row r="28" spans="1:31" x14ac:dyDescent="0.25">
      <c r="A28" t="s">
        <v>45</v>
      </c>
      <c r="B28" t="s">
        <v>189</v>
      </c>
      <c r="C28">
        <v>1200</v>
      </c>
      <c r="D28" t="s">
        <v>190</v>
      </c>
      <c r="E28">
        <v>1000000</v>
      </c>
      <c r="F28" t="s">
        <v>191</v>
      </c>
      <c r="G28">
        <v>12345</v>
      </c>
      <c r="H28" t="s">
        <v>216</v>
      </c>
      <c r="I28">
        <v>1</v>
      </c>
      <c r="J28" t="s">
        <v>192</v>
      </c>
      <c r="K28">
        <v>1E-4</v>
      </c>
      <c r="L28" t="s">
        <v>3</v>
      </c>
      <c r="M28">
        <v>0.99999990000000005</v>
      </c>
      <c r="N28" t="s">
        <v>2</v>
      </c>
      <c r="O28">
        <v>8.4900000000000004E-5</v>
      </c>
      <c r="P28" t="s">
        <v>17</v>
      </c>
      <c r="Q28">
        <v>18</v>
      </c>
      <c r="R28" t="s">
        <v>0</v>
      </c>
      <c r="S28">
        <v>1204</v>
      </c>
      <c r="T28" t="s">
        <v>152</v>
      </c>
      <c r="U28">
        <v>32</v>
      </c>
      <c r="V28" t="s">
        <v>153</v>
      </c>
      <c r="W28">
        <v>91</v>
      </c>
      <c r="X28" t="s">
        <v>151</v>
      </c>
      <c r="Y28">
        <v>93600</v>
      </c>
      <c r="Z28" t="s">
        <v>1</v>
      </c>
      <c r="AA28" t="e" cm="1">
        <f t="array" ref="AA28">-0.0405208575693+(0.8485623561983*EXP((v0*V1)))+(0.2450296469576*SIN((0.9+(v0*V1))))</f>
        <v>#NAME?</v>
      </c>
      <c r="AB28" t="s">
        <v>4</v>
      </c>
      <c r="AC28">
        <v>0.99999990000000005</v>
      </c>
      <c r="AD28" t="s">
        <v>5</v>
      </c>
      <c r="AE28" s="7">
        <v>7.9300000000000003E-5</v>
      </c>
    </row>
    <row r="29" spans="1:31" x14ac:dyDescent="0.25">
      <c r="A29" t="s">
        <v>50</v>
      </c>
      <c r="B29" t="s">
        <v>189</v>
      </c>
      <c r="C29">
        <v>1200</v>
      </c>
      <c r="D29" t="s">
        <v>190</v>
      </c>
      <c r="E29">
        <v>1000000</v>
      </c>
      <c r="F29" t="s">
        <v>191</v>
      </c>
      <c r="G29">
        <v>12345</v>
      </c>
      <c r="H29" t="s">
        <v>216</v>
      </c>
      <c r="I29">
        <v>1</v>
      </c>
      <c r="J29" t="s">
        <v>192</v>
      </c>
      <c r="K29">
        <v>1E-4</v>
      </c>
      <c r="L29" t="s">
        <v>3</v>
      </c>
      <c r="M29">
        <v>0.9972879</v>
      </c>
      <c r="N29" t="s">
        <v>2</v>
      </c>
      <c r="O29">
        <v>5.9395999999999997E-2</v>
      </c>
      <c r="P29" t="s">
        <v>17</v>
      </c>
      <c r="Q29">
        <v>64</v>
      </c>
      <c r="R29" t="s">
        <v>0</v>
      </c>
      <c r="S29">
        <v>1203.0999999999999</v>
      </c>
      <c r="T29" t="s">
        <v>152</v>
      </c>
      <c r="U29">
        <v>3</v>
      </c>
      <c r="V29" t="s">
        <v>153</v>
      </c>
      <c r="W29">
        <v>52</v>
      </c>
      <c r="X29" t="s">
        <v>151</v>
      </c>
      <c r="Y29">
        <v>118139</v>
      </c>
      <c r="Z29" t="s">
        <v>1</v>
      </c>
      <c r="AA29" t="s">
        <v>231</v>
      </c>
      <c r="AB29" t="s">
        <v>4</v>
      </c>
      <c r="AC29">
        <v>0.99729040000000002</v>
      </c>
      <c r="AD29" t="s">
        <v>5</v>
      </c>
      <c r="AE29">
        <v>5.9062099999999999E-2</v>
      </c>
    </row>
    <row r="30" spans="1:31" x14ac:dyDescent="0.25">
      <c r="A30" t="s">
        <v>22</v>
      </c>
      <c r="B30" t="s">
        <v>189</v>
      </c>
      <c r="C30">
        <v>1200</v>
      </c>
      <c r="D30" t="s">
        <v>190</v>
      </c>
      <c r="E30">
        <v>1000000</v>
      </c>
      <c r="F30" t="s">
        <v>191</v>
      </c>
      <c r="G30">
        <v>12345</v>
      </c>
      <c r="H30" t="s">
        <v>216</v>
      </c>
      <c r="I30">
        <v>1</v>
      </c>
      <c r="J30" t="s">
        <v>192</v>
      </c>
      <c r="K30">
        <v>1E-4</v>
      </c>
      <c r="L30" t="s">
        <v>3</v>
      </c>
      <c r="M30">
        <v>1</v>
      </c>
      <c r="N30" t="s">
        <v>2</v>
      </c>
      <c r="O30">
        <v>2.9250000000000001E-4</v>
      </c>
      <c r="P30" t="s">
        <v>17</v>
      </c>
      <c r="Q30">
        <v>22</v>
      </c>
      <c r="R30" t="s">
        <v>0</v>
      </c>
      <c r="S30">
        <v>1200.4000000000001</v>
      </c>
      <c r="T30" t="s">
        <v>152</v>
      </c>
      <c r="U30">
        <v>87</v>
      </c>
      <c r="V30" t="s">
        <v>153</v>
      </c>
      <c r="W30">
        <v>421</v>
      </c>
      <c r="X30" t="s">
        <v>151</v>
      </c>
      <c r="Y30">
        <v>377304</v>
      </c>
      <c r="Z30" t="s">
        <v>1</v>
      </c>
      <c r="AA30" t="s">
        <v>223</v>
      </c>
      <c r="AB30" t="s">
        <v>4</v>
      </c>
      <c r="AC30">
        <v>0.99999930000000004</v>
      </c>
      <c r="AD30" t="s">
        <v>5</v>
      </c>
      <c r="AE30">
        <v>1.9031E-3</v>
      </c>
    </row>
    <row r="31" spans="1:31" x14ac:dyDescent="0.25">
      <c r="A31" t="s">
        <v>143</v>
      </c>
      <c r="B31" t="s">
        <v>189</v>
      </c>
      <c r="C31">
        <v>1200</v>
      </c>
      <c r="D31" t="s">
        <v>190</v>
      </c>
      <c r="E31">
        <v>1000000</v>
      </c>
      <c r="F31" t="s">
        <v>191</v>
      </c>
      <c r="G31">
        <v>12345</v>
      </c>
      <c r="H31" t="s">
        <v>216</v>
      </c>
      <c r="I31">
        <v>1</v>
      </c>
      <c r="J31" t="s">
        <v>192</v>
      </c>
      <c r="K31">
        <v>1E-4</v>
      </c>
      <c r="L31" t="s">
        <v>3</v>
      </c>
      <c r="M31">
        <v>0.70051180000000002</v>
      </c>
      <c r="N31" t="s">
        <v>2</v>
      </c>
      <c r="O31">
        <v>1.105661</v>
      </c>
      <c r="P31" t="s">
        <v>17</v>
      </c>
      <c r="Q31">
        <v>120</v>
      </c>
      <c r="R31" t="s">
        <v>0</v>
      </c>
      <c r="S31">
        <v>1200.8</v>
      </c>
      <c r="T31" t="s">
        <v>152</v>
      </c>
      <c r="U31">
        <v>1</v>
      </c>
      <c r="V31" t="s">
        <v>153</v>
      </c>
      <c r="W31">
        <v>30</v>
      </c>
      <c r="X31" t="s">
        <v>151</v>
      </c>
      <c r="Y31">
        <v>107912</v>
      </c>
      <c r="Z31" t="s">
        <v>1</v>
      </c>
      <c r="AA31" t="s">
        <v>310</v>
      </c>
      <c r="AB31" t="s">
        <v>4</v>
      </c>
      <c r="AC31">
        <v>0.69816909999999999</v>
      </c>
      <c r="AD31" t="s">
        <v>5</v>
      </c>
      <c r="AE31">
        <v>1.1139337</v>
      </c>
    </row>
    <row r="32" spans="1:31" x14ac:dyDescent="0.25">
      <c r="A32" t="s">
        <v>119</v>
      </c>
      <c r="B32" t="s">
        <v>189</v>
      </c>
      <c r="C32">
        <v>1200</v>
      </c>
      <c r="D32" t="s">
        <v>190</v>
      </c>
      <c r="E32">
        <v>1000000</v>
      </c>
      <c r="F32" t="s">
        <v>191</v>
      </c>
      <c r="G32">
        <v>12345</v>
      </c>
      <c r="H32" t="s">
        <v>216</v>
      </c>
      <c r="I32">
        <v>1</v>
      </c>
      <c r="J32" t="s">
        <v>192</v>
      </c>
      <c r="K32">
        <v>1E-4</v>
      </c>
      <c r="L32" t="s">
        <v>3</v>
      </c>
      <c r="M32">
        <v>-164250.7477073</v>
      </c>
      <c r="N32" t="s">
        <v>2</v>
      </c>
      <c r="O32">
        <v>2779.4515396000002</v>
      </c>
      <c r="P32" t="s">
        <v>17</v>
      </c>
      <c r="Q32">
        <v>39</v>
      </c>
      <c r="R32" t="s">
        <v>0</v>
      </c>
      <c r="S32">
        <v>1203.5</v>
      </c>
      <c r="T32" t="s">
        <v>152</v>
      </c>
      <c r="U32">
        <v>3</v>
      </c>
      <c r="V32" t="s">
        <v>153</v>
      </c>
      <c r="W32">
        <v>46</v>
      </c>
      <c r="X32" t="s">
        <v>151</v>
      </c>
      <c r="Y32">
        <v>113229</v>
      </c>
      <c r="Z32" t="s">
        <v>1</v>
      </c>
      <c r="AA32" t="s">
        <v>250</v>
      </c>
      <c r="AB32" t="s">
        <v>4</v>
      </c>
      <c r="AC32">
        <v>-33.645205699999998</v>
      </c>
      <c r="AD32" t="s">
        <v>5</v>
      </c>
      <c r="AE32">
        <v>41.188241499999997</v>
      </c>
    </row>
    <row r="33" spans="1:31" x14ac:dyDescent="0.25">
      <c r="A33" t="s">
        <v>129</v>
      </c>
      <c r="B33" t="s">
        <v>189</v>
      </c>
      <c r="C33">
        <v>1200</v>
      </c>
      <c r="D33" t="s">
        <v>190</v>
      </c>
      <c r="E33">
        <v>1000000</v>
      </c>
      <c r="F33" t="s">
        <v>191</v>
      </c>
      <c r="G33">
        <v>12345</v>
      </c>
      <c r="H33" t="s">
        <v>216</v>
      </c>
      <c r="I33">
        <v>1</v>
      </c>
      <c r="J33" t="s">
        <v>192</v>
      </c>
      <c r="K33">
        <v>1E-4</v>
      </c>
      <c r="L33" t="s">
        <v>3</v>
      </c>
      <c r="M33">
        <v>1</v>
      </c>
      <c r="N33" t="s">
        <v>2</v>
      </c>
      <c r="O33">
        <v>0</v>
      </c>
      <c r="P33" t="s">
        <v>17</v>
      </c>
      <c r="Q33">
        <v>15</v>
      </c>
      <c r="R33" t="s">
        <v>0</v>
      </c>
      <c r="S33">
        <v>34.9</v>
      </c>
      <c r="T33" t="s">
        <v>152</v>
      </c>
      <c r="U33">
        <v>1</v>
      </c>
      <c r="V33" t="s">
        <v>153</v>
      </c>
      <c r="W33">
        <v>8</v>
      </c>
      <c r="X33" t="s">
        <v>151</v>
      </c>
      <c r="Y33">
        <v>5459</v>
      </c>
      <c r="Z33" t="s">
        <v>1</v>
      </c>
      <c r="AA33" t="s">
        <v>251</v>
      </c>
      <c r="AB33" t="s">
        <v>4</v>
      </c>
      <c r="AC33">
        <v>1</v>
      </c>
      <c r="AD33" t="s">
        <v>5</v>
      </c>
      <c r="AE33">
        <v>0</v>
      </c>
    </row>
    <row r="34" spans="1:31" x14ac:dyDescent="0.25">
      <c r="A34" t="s">
        <v>18</v>
      </c>
      <c r="B34" t="s">
        <v>189</v>
      </c>
      <c r="C34">
        <v>1200</v>
      </c>
      <c r="D34" t="s">
        <v>190</v>
      </c>
      <c r="E34">
        <v>1000000</v>
      </c>
      <c r="F34" t="s">
        <v>191</v>
      </c>
      <c r="G34">
        <v>12345</v>
      </c>
      <c r="H34" t="s">
        <v>216</v>
      </c>
      <c r="I34">
        <v>1</v>
      </c>
      <c r="J34" t="s">
        <v>192</v>
      </c>
      <c r="K34">
        <v>1E-4</v>
      </c>
      <c r="L34" t="s">
        <v>3</v>
      </c>
      <c r="M34">
        <v>1</v>
      </c>
      <c r="N34" t="s">
        <v>2</v>
      </c>
      <c r="O34">
        <v>0</v>
      </c>
      <c r="P34" t="s">
        <v>17</v>
      </c>
      <c r="Q34">
        <v>4</v>
      </c>
      <c r="R34" t="s">
        <v>0</v>
      </c>
      <c r="S34">
        <v>0.4</v>
      </c>
      <c r="T34" t="s">
        <v>152</v>
      </c>
      <c r="U34">
        <v>1</v>
      </c>
      <c r="V34" t="s">
        <v>153</v>
      </c>
      <c r="W34">
        <v>2</v>
      </c>
      <c r="X34" t="s">
        <v>151</v>
      </c>
      <c r="Y34">
        <v>234</v>
      </c>
      <c r="Z34" t="s">
        <v>1</v>
      </c>
      <c r="AA34" t="s">
        <v>154</v>
      </c>
      <c r="AB34" t="s">
        <v>4</v>
      </c>
      <c r="AC34">
        <v>1</v>
      </c>
      <c r="AD34" t="s">
        <v>5</v>
      </c>
      <c r="AE34">
        <v>0</v>
      </c>
    </row>
    <row r="35" spans="1:31" x14ac:dyDescent="0.25">
      <c r="A35" t="s">
        <v>55</v>
      </c>
      <c r="B35" t="s">
        <v>189</v>
      </c>
      <c r="C35">
        <v>1200</v>
      </c>
      <c r="D35" t="s">
        <v>190</v>
      </c>
      <c r="E35">
        <v>1000000</v>
      </c>
      <c r="F35" t="s">
        <v>191</v>
      </c>
      <c r="G35">
        <v>12345</v>
      </c>
      <c r="H35" t="s">
        <v>216</v>
      </c>
      <c r="I35">
        <v>1</v>
      </c>
      <c r="J35" t="s">
        <v>192</v>
      </c>
      <c r="K35">
        <v>1E-4</v>
      </c>
      <c r="L35" t="s">
        <v>3</v>
      </c>
      <c r="M35">
        <v>0.99999740000000004</v>
      </c>
      <c r="N35" t="s">
        <v>2</v>
      </c>
      <c r="O35">
        <v>3.4163000000000002E-3</v>
      </c>
      <c r="P35" t="s">
        <v>17</v>
      </c>
      <c r="Q35">
        <v>34</v>
      </c>
      <c r="R35" t="s">
        <v>0</v>
      </c>
      <c r="S35">
        <v>1200.3</v>
      </c>
      <c r="T35" t="s">
        <v>152</v>
      </c>
      <c r="U35">
        <v>8</v>
      </c>
      <c r="V35" t="s">
        <v>153</v>
      </c>
      <c r="W35">
        <v>51</v>
      </c>
      <c r="X35" t="s">
        <v>151</v>
      </c>
      <c r="Y35">
        <v>111676</v>
      </c>
      <c r="Z35" t="s">
        <v>1</v>
      </c>
      <c r="AA35" t="s">
        <v>311</v>
      </c>
      <c r="AB35" t="s">
        <v>4</v>
      </c>
      <c r="AC35">
        <v>0.99999740000000004</v>
      </c>
      <c r="AD35" t="s">
        <v>5</v>
      </c>
      <c r="AE35">
        <v>3.4396000000000001E-3</v>
      </c>
    </row>
    <row r="36" spans="1:31" x14ac:dyDescent="0.25">
      <c r="A36" t="s">
        <v>21</v>
      </c>
      <c r="B36" t="s">
        <v>189</v>
      </c>
      <c r="C36">
        <v>1200</v>
      </c>
      <c r="D36" t="s">
        <v>190</v>
      </c>
      <c r="E36">
        <v>1000000</v>
      </c>
      <c r="F36" t="s">
        <v>191</v>
      </c>
      <c r="G36">
        <v>12345</v>
      </c>
      <c r="H36" t="s">
        <v>216</v>
      </c>
      <c r="I36">
        <v>1</v>
      </c>
      <c r="J36" t="s">
        <v>192</v>
      </c>
      <c r="K36">
        <v>1E-4</v>
      </c>
      <c r="L36" t="s">
        <v>3</v>
      </c>
      <c r="M36">
        <v>0.99964319999999995</v>
      </c>
      <c r="N36" t="s">
        <v>2</v>
      </c>
      <c r="O36">
        <v>4.1291000000000001E-3</v>
      </c>
      <c r="P36" t="s">
        <v>17</v>
      </c>
      <c r="Q36">
        <v>31</v>
      </c>
      <c r="R36" t="s">
        <v>0</v>
      </c>
      <c r="S36">
        <v>1200.2</v>
      </c>
      <c r="T36" t="s">
        <v>152</v>
      </c>
      <c r="U36">
        <v>30</v>
      </c>
      <c r="V36" t="s">
        <v>153</v>
      </c>
      <c r="W36">
        <v>140</v>
      </c>
      <c r="X36" t="s">
        <v>151</v>
      </c>
      <c r="Y36">
        <v>280073</v>
      </c>
      <c r="Z36" t="s">
        <v>1</v>
      </c>
      <c r="AA36" t="s">
        <v>222</v>
      </c>
      <c r="AB36" t="s">
        <v>4</v>
      </c>
      <c r="AC36">
        <v>0.99985069999999998</v>
      </c>
      <c r="AD36" t="s">
        <v>5</v>
      </c>
      <c r="AE36">
        <v>2.9613E-3</v>
      </c>
    </row>
    <row r="37" spans="1:31" x14ac:dyDescent="0.25">
      <c r="A37" t="s">
        <v>139</v>
      </c>
      <c r="B37" t="s">
        <v>189</v>
      </c>
      <c r="C37">
        <v>1200</v>
      </c>
      <c r="D37" t="s">
        <v>190</v>
      </c>
      <c r="E37">
        <v>1000000</v>
      </c>
      <c r="F37" t="s">
        <v>191</v>
      </c>
      <c r="G37">
        <v>12345</v>
      </c>
      <c r="H37" t="s">
        <v>216</v>
      </c>
      <c r="I37">
        <v>1</v>
      </c>
      <c r="J37" t="s">
        <v>192</v>
      </c>
      <c r="K37">
        <v>1E-4</v>
      </c>
      <c r="L37" t="s">
        <v>3</v>
      </c>
      <c r="M37">
        <v>1</v>
      </c>
      <c r="N37" t="s">
        <v>2</v>
      </c>
      <c r="O37">
        <v>0</v>
      </c>
      <c r="P37" t="s">
        <v>17</v>
      </c>
      <c r="Q37">
        <v>50</v>
      </c>
      <c r="R37" t="s">
        <v>0</v>
      </c>
      <c r="S37">
        <v>339.3</v>
      </c>
      <c r="T37" t="s">
        <v>152</v>
      </c>
      <c r="U37">
        <v>1</v>
      </c>
      <c r="V37" t="s">
        <v>153</v>
      </c>
      <c r="W37">
        <v>11</v>
      </c>
      <c r="X37" t="s">
        <v>151</v>
      </c>
      <c r="Y37">
        <v>31415</v>
      </c>
      <c r="Z37" t="s">
        <v>1</v>
      </c>
      <c r="AA37" t="s">
        <v>253</v>
      </c>
      <c r="AB37" t="s">
        <v>4</v>
      </c>
      <c r="AC37">
        <v>1</v>
      </c>
      <c r="AD37" t="s">
        <v>5</v>
      </c>
      <c r="AE37">
        <v>0</v>
      </c>
    </row>
    <row r="38" spans="1:31" x14ac:dyDescent="0.25">
      <c r="A38" t="s">
        <v>26</v>
      </c>
      <c r="B38" t="s">
        <v>189</v>
      </c>
      <c r="C38">
        <v>1200</v>
      </c>
      <c r="D38" t="s">
        <v>190</v>
      </c>
      <c r="E38">
        <v>1000000</v>
      </c>
      <c r="F38" t="s">
        <v>191</v>
      </c>
      <c r="G38">
        <v>12345</v>
      </c>
      <c r="H38" t="s">
        <v>216</v>
      </c>
      <c r="I38">
        <v>1</v>
      </c>
      <c r="J38" t="s">
        <v>192</v>
      </c>
      <c r="K38">
        <v>1E-4</v>
      </c>
      <c r="L38" t="s">
        <v>3</v>
      </c>
      <c r="M38">
        <v>0.99999910000000003</v>
      </c>
      <c r="N38" t="s">
        <v>2</v>
      </c>
      <c r="O38">
        <v>2.3800000000000002E-3</v>
      </c>
      <c r="P38" t="s">
        <v>17</v>
      </c>
      <c r="Q38">
        <v>26</v>
      </c>
      <c r="R38" t="s">
        <v>0</v>
      </c>
      <c r="S38">
        <v>1200.5</v>
      </c>
      <c r="T38" t="s">
        <v>152</v>
      </c>
      <c r="U38">
        <v>45</v>
      </c>
      <c r="V38" t="s">
        <v>153</v>
      </c>
      <c r="W38">
        <v>248</v>
      </c>
      <c r="X38" t="s">
        <v>151</v>
      </c>
      <c r="Y38">
        <v>289173</v>
      </c>
      <c r="Z38" t="s">
        <v>1</v>
      </c>
      <c r="AA38" t="s">
        <v>225</v>
      </c>
      <c r="AB38" t="s">
        <v>4</v>
      </c>
      <c r="AC38">
        <v>0.99760329999999997</v>
      </c>
      <c r="AD38" t="s">
        <v>5</v>
      </c>
      <c r="AE38">
        <v>0.1288559</v>
      </c>
    </row>
    <row r="39" spans="1:31" x14ac:dyDescent="0.25">
      <c r="A39" t="s">
        <v>36</v>
      </c>
      <c r="B39" t="s">
        <v>189</v>
      </c>
      <c r="C39">
        <v>1200</v>
      </c>
      <c r="D39" t="s">
        <v>190</v>
      </c>
      <c r="E39">
        <v>1000000</v>
      </c>
      <c r="F39" t="s">
        <v>191</v>
      </c>
      <c r="G39">
        <v>12345</v>
      </c>
      <c r="H39" t="s">
        <v>216</v>
      </c>
      <c r="I39">
        <v>1</v>
      </c>
      <c r="J39" t="s">
        <v>192</v>
      </c>
      <c r="K39">
        <v>1E-4</v>
      </c>
      <c r="L39" t="s">
        <v>3</v>
      </c>
      <c r="M39">
        <v>1</v>
      </c>
      <c r="N39" t="s">
        <v>2</v>
      </c>
      <c r="O39">
        <v>0</v>
      </c>
      <c r="P39" t="s">
        <v>17</v>
      </c>
      <c r="Q39">
        <v>6</v>
      </c>
      <c r="R39" t="s">
        <v>0</v>
      </c>
      <c r="S39">
        <v>3.1</v>
      </c>
      <c r="T39" t="s">
        <v>152</v>
      </c>
      <c r="U39">
        <v>1</v>
      </c>
      <c r="V39" t="s">
        <v>153</v>
      </c>
      <c r="W39">
        <v>2</v>
      </c>
      <c r="X39" t="s">
        <v>151</v>
      </c>
      <c r="Y39">
        <v>540</v>
      </c>
      <c r="Z39" t="s">
        <v>1</v>
      </c>
      <c r="AA39" t="s">
        <v>157</v>
      </c>
      <c r="AB39" t="s">
        <v>4</v>
      </c>
      <c r="AC39">
        <v>1</v>
      </c>
      <c r="AD39" t="s">
        <v>5</v>
      </c>
      <c r="AE39">
        <v>0</v>
      </c>
    </row>
    <row r="40" spans="1:31" x14ac:dyDescent="0.25">
      <c r="A40" t="s">
        <v>46</v>
      </c>
      <c r="B40" t="s">
        <v>189</v>
      </c>
      <c r="C40">
        <v>1200</v>
      </c>
      <c r="D40" t="s">
        <v>190</v>
      </c>
      <c r="E40">
        <v>1000000</v>
      </c>
      <c r="F40" t="s">
        <v>191</v>
      </c>
      <c r="G40">
        <v>12345</v>
      </c>
      <c r="H40" t="s">
        <v>216</v>
      </c>
      <c r="I40">
        <v>1</v>
      </c>
      <c r="J40" t="s">
        <v>192</v>
      </c>
      <c r="K40">
        <v>1E-4</v>
      </c>
      <c r="L40" t="s">
        <v>3</v>
      </c>
      <c r="M40">
        <v>1</v>
      </c>
      <c r="N40" t="s">
        <v>2</v>
      </c>
      <c r="O40">
        <v>0</v>
      </c>
      <c r="P40" t="s">
        <v>17</v>
      </c>
      <c r="Q40">
        <v>8</v>
      </c>
      <c r="R40" t="s">
        <v>0</v>
      </c>
      <c r="S40">
        <v>6.6</v>
      </c>
      <c r="T40" t="s">
        <v>152</v>
      </c>
      <c r="U40">
        <v>1</v>
      </c>
      <c r="V40" t="s">
        <v>153</v>
      </c>
      <c r="W40">
        <v>3</v>
      </c>
      <c r="X40" t="s">
        <v>151</v>
      </c>
      <c r="Y40">
        <v>1137</v>
      </c>
      <c r="Z40" t="s">
        <v>1</v>
      </c>
      <c r="AA40" t="s">
        <v>202</v>
      </c>
      <c r="AB40" t="s">
        <v>4</v>
      </c>
      <c r="AC40">
        <v>1</v>
      </c>
      <c r="AD40" t="s">
        <v>5</v>
      </c>
      <c r="AE40">
        <v>0</v>
      </c>
    </row>
    <row r="41" spans="1:31" x14ac:dyDescent="0.25">
      <c r="A41" t="s">
        <v>60</v>
      </c>
      <c r="B41" t="s">
        <v>189</v>
      </c>
      <c r="C41">
        <v>1200</v>
      </c>
      <c r="D41" t="s">
        <v>190</v>
      </c>
      <c r="E41">
        <v>1000000</v>
      </c>
      <c r="F41" t="s">
        <v>191</v>
      </c>
      <c r="G41">
        <v>12345</v>
      </c>
      <c r="H41" t="s">
        <v>216</v>
      </c>
      <c r="I41">
        <v>1</v>
      </c>
      <c r="J41" t="s">
        <v>192</v>
      </c>
      <c r="K41">
        <v>1E-4</v>
      </c>
      <c r="L41" t="s">
        <v>3</v>
      </c>
      <c r="M41">
        <v>0.99975789999999998</v>
      </c>
      <c r="N41" t="s">
        <v>2</v>
      </c>
      <c r="O41">
        <v>5.5722999999999996E-3</v>
      </c>
      <c r="P41" t="s">
        <v>17</v>
      </c>
      <c r="Q41">
        <v>36</v>
      </c>
      <c r="R41" t="s">
        <v>0</v>
      </c>
      <c r="S41">
        <v>1200.0999999999999</v>
      </c>
      <c r="T41" t="s">
        <v>152</v>
      </c>
      <c r="U41">
        <v>6</v>
      </c>
      <c r="V41" t="s">
        <v>153</v>
      </c>
      <c r="W41">
        <v>49</v>
      </c>
      <c r="X41" t="s">
        <v>151</v>
      </c>
      <c r="Y41">
        <v>106137</v>
      </c>
      <c r="Z41" t="s">
        <v>1</v>
      </c>
      <c r="AA41" t="s">
        <v>239</v>
      </c>
      <c r="AB41" t="s">
        <v>4</v>
      </c>
      <c r="AC41">
        <v>0.99976419999999999</v>
      </c>
      <c r="AD41" t="s">
        <v>5</v>
      </c>
      <c r="AE41">
        <v>5.4616999999999999E-3</v>
      </c>
    </row>
    <row r="42" spans="1:31" x14ac:dyDescent="0.25">
      <c r="A42" t="s">
        <v>70</v>
      </c>
      <c r="B42" t="s">
        <v>189</v>
      </c>
      <c r="C42">
        <v>1200</v>
      </c>
      <c r="D42" t="s">
        <v>190</v>
      </c>
      <c r="E42">
        <v>1000000</v>
      </c>
      <c r="F42" t="s">
        <v>191</v>
      </c>
      <c r="G42">
        <v>12345</v>
      </c>
      <c r="H42" t="s">
        <v>216</v>
      </c>
      <c r="I42">
        <v>1</v>
      </c>
      <c r="J42" t="s">
        <v>192</v>
      </c>
      <c r="K42">
        <v>1E-4</v>
      </c>
      <c r="L42" t="s">
        <v>3</v>
      </c>
      <c r="M42">
        <v>1</v>
      </c>
      <c r="N42" t="s">
        <v>2</v>
      </c>
      <c r="O42">
        <v>0</v>
      </c>
      <c r="P42" t="s">
        <v>17</v>
      </c>
      <c r="Q42">
        <v>9</v>
      </c>
      <c r="R42" t="s">
        <v>0</v>
      </c>
      <c r="S42">
        <v>8.9</v>
      </c>
      <c r="T42" t="s">
        <v>152</v>
      </c>
      <c r="U42">
        <v>1</v>
      </c>
      <c r="V42" t="s">
        <v>153</v>
      </c>
      <c r="W42">
        <v>4</v>
      </c>
      <c r="X42" t="s">
        <v>151</v>
      </c>
      <c r="Y42">
        <v>1540</v>
      </c>
      <c r="Z42" t="s">
        <v>1</v>
      </c>
      <c r="AA42" t="s">
        <v>178</v>
      </c>
      <c r="AB42" t="s">
        <v>4</v>
      </c>
      <c r="AC42">
        <v>1</v>
      </c>
      <c r="AD42" t="s">
        <v>5</v>
      </c>
      <c r="AE42">
        <v>0</v>
      </c>
    </row>
    <row r="43" spans="1:31" x14ac:dyDescent="0.25">
      <c r="A43" t="s">
        <v>80</v>
      </c>
      <c r="B43" t="s">
        <v>189</v>
      </c>
      <c r="C43">
        <v>1200</v>
      </c>
      <c r="D43" t="s">
        <v>190</v>
      </c>
      <c r="E43">
        <v>1000000</v>
      </c>
      <c r="F43" t="s">
        <v>191</v>
      </c>
      <c r="G43">
        <v>12345</v>
      </c>
      <c r="H43" t="s">
        <v>216</v>
      </c>
      <c r="I43">
        <v>1</v>
      </c>
      <c r="J43" t="s">
        <v>192</v>
      </c>
      <c r="K43">
        <v>1E-4</v>
      </c>
      <c r="L43" t="s">
        <v>3</v>
      </c>
      <c r="M43">
        <v>1</v>
      </c>
      <c r="N43" t="s">
        <v>2</v>
      </c>
      <c r="O43">
        <v>0</v>
      </c>
      <c r="P43" t="s">
        <v>17</v>
      </c>
      <c r="Q43">
        <v>14</v>
      </c>
      <c r="R43" t="s">
        <v>0</v>
      </c>
      <c r="S43">
        <v>19.5</v>
      </c>
      <c r="T43" t="s">
        <v>152</v>
      </c>
      <c r="U43">
        <v>1</v>
      </c>
      <c r="V43" t="s">
        <v>153</v>
      </c>
      <c r="W43">
        <v>4</v>
      </c>
      <c r="X43" t="s">
        <v>151</v>
      </c>
      <c r="Y43">
        <v>2825</v>
      </c>
      <c r="Z43" t="s">
        <v>1</v>
      </c>
      <c r="AA43" t="s">
        <v>165</v>
      </c>
      <c r="AB43" t="s">
        <v>4</v>
      </c>
      <c r="AC43">
        <v>1</v>
      </c>
      <c r="AD43" t="s">
        <v>5</v>
      </c>
      <c r="AE43">
        <v>0</v>
      </c>
    </row>
    <row r="44" spans="1:31" x14ac:dyDescent="0.25">
      <c r="A44" t="s">
        <v>90</v>
      </c>
      <c r="B44" t="s">
        <v>189</v>
      </c>
      <c r="C44">
        <v>1200</v>
      </c>
      <c r="D44" t="s">
        <v>190</v>
      </c>
      <c r="E44">
        <v>1000000</v>
      </c>
      <c r="F44" t="s">
        <v>191</v>
      </c>
      <c r="G44">
        <v>12345</v>
      </c>
      <c r="H44" t="s">
        <v>216</v>
      </c>
      <c r="I44">
        <v>1</v>
      </c>
      <c r="J44" t="s">
        <v>192</v>
      </c>
      <c r="K44">
        <v>1E-4</v>
      </c>
      <c r="L44" t="s">
        <v>3</v>
      </c>
      <c r="M44">
        <v>1</v>
      </c>
      <c r="N44" t="s">
        <v>2</v>
      </c>
      <c r="O44">
        <v>0</v>
      </c>
      <c r="P44" t="s">
        <v>17</v>
      </c>
      <c r="Q44">
        <v>16</v>
      </c>
      <c r="R44" t="s">
        <v>0</v>
      </c>
      <c r="S44">
        <v>31.9</v>
      </c>
      <c r="T44" t="s">
        <v>152</v>
      </c>
      <c r="U44">
        <v>1</v>
      </c>
      <c r="V44" t="s">
        <v>153</v>
      </c>
      <c r="W44">
        <v>5</v>
      </c>
      <c r="X44" t="s">
        <v>151</v>
      </c>
      <c r="Y44">
        <v>4521</v>
      </c>
      <c r="Z44" t="s">
        <v>1</v>
      </c>
      <c r="AA44" t="s">
        <v>240</v>
      </c>
      <c r="AB44" t="s">
        <v>4</v>
      </c>
      <c r="AC44">
        <v>1</v>
      </c>
      <c r="AD44" t="s">
        <v>5</v>
      </c>
      <c r="AE44">
        <v>0</v>
      </c>
    </row>
    <row r="45" spans="1:31" x14ac:dyDescent="0.25">
      <c r="A45" t="s">
        <v>100</v>
      </c>
      <c r="B45" t="s">
        <v>189</v>
      </c>
      <c r="C45">
        <v>1200</v>
      </c>
      <c r="D45" t="s">
        <v>190</v>
      </c>
      <c r="E45">
        <v>1000000</v>
      </c>
      <c r="F45" t="s">
        <v>191</v>
      </c>
      <c r="G45">
        <v>12345</v>
      </c>
      <c r="H45" t="s">
        <v>216</v>
      </c>
      <c r="I45">
        <v>1</v>
      </c>
      <c r="J45" t="s">
        <v>192</v>
      </c>
      <c r="K45">
        <v>1E-4</v>
      </c>
      <c r="L45" t="s">
        <v>3</v>
      </c>
      <c r="M45">
        <v>1</v>
      </c>
      <c r="N45" t="s">
        <v>2</v>
      </c>
      <c r="O45">
        <v>0</v>
      </c>
      <c r="P45" t="s">
        <v>17</v>
      </c>
      <c r="Q45">
        <v>12</v>
      </c>
      <c r="R45" t="s">
        <v>0</v>
      </c>
      <c r="S45">
        <v>17.8</v>
      </c>
      <c r="T45" t="s">
        <v>152</v>
      </c>
      <c r="U45">
        <v>1</v>
      </c>
      <c r="V45" t="s">
        <v>153</v>
      </c>
      <c r="W45">
        <v>4</v>
      </c>
      <c r="X45" t="s">
        <v>151</v>
      </c>
      <c r="Y45">
        <v>2574</v>
      </c>
      <c r="Z45" t="s">
        <v>1</v>
      </c>
      <c r="AA45" t="s">
        <v>177</v>
      </c>
      <c r="AB45" t="s">
        <v>4</v>
      </c>
      <c r="AC45">
        <v>1</v>
      </c>
      <c r="AD45" t="s">
        <v>5</v>
      </c>
      <c r="AE45">
        <v>0</v>
      </c>
    </row>
    <row r="46" spans="1:31" x14ac:dyDescent="0.25">
      <c r="A46" t="s">
        <v>110</v>
      </c>
      <c r="B46" t="s">
        <v>189</v>
      </c>
      <c r="C46">
        <v>1200</v>
      </c>
      <c r="D46" t="s">
        <v>190</v>
      </c>
      <c r="E46">
        <v>1000000</v>
      </c>
      <c r="F46" t="s">
        <v>191</v>
      </c>
      <c r="G46">
        <v>12345</v>
      </c>
      <c r="H46" t="s">
        <v>216</v>
      </c>
      <c r="I46">
        <v>1</v>
      </c>
      <c r="J46" t="s">
        <v>192</v>
      </c>
      <c r="K46">
        <v>1E-4</v>
      </c>
      <c r="L46" t="s">
        <v>3</v>
      </c>
      <c r="M46">
        <v>1</v>
      </c>
      <c r="N46" t="s">
        <v>2</v>
      </c>
      <c r="O46">
        <v>0</v>
      </c>
      <c r="P46" t="s">
        <v>17</v>
      </c>
      <c r="Q46">
        <v>16</v>
      </c>
      <c r="R46" t="s">
        <v>0</v>
      </c>
      <c r="S46">
        <v>39.1</v>
      </c>
      <c r="T46" t="s">
        <v>152</v>
      </c>
      <c r="U46">
        <v>1</v>
      </c>
      <c r="V46" t="s">
        <v>153</v>
      </c>
      <c r="W46">
        <v>5</v>
      </c>
      <c r="X46" t="s">
        <v>151</v>
      </c>
      <c r="Y46">
        <v>4929</v>
      </c>
      <c r="Z46" t="s">
        <v>1</v>
      </c>
      <c r="AA46" t="s">
        <v>241</v>
      </c>
      <c r="AB46" t="s">
        <v>4</v>
      </c>
      <c r="AC46">
        <v>1</v>
      </c>
      <c r="AD46" t="s">
        <v>5</v>
      </c>
      <c r="AE46">
        <v>0</v>
      </c>
    </row>
    <row r="47" spans="1:31" x14ac:dyDescent="0.25">
      <c r="A47" t="s">
        <v>32</v>
      </c>
      <c r="B47" t="s">
        <v>189</v>
      </c>
      <c r="C47">
        <v>1200</v>
      </c>
      <c r="D47" t="s">
        <v>190</v>
      </c>
      <c r="E47">
        <v>1000000</v>
      </c>
      <c r="F47" t="s">
        <v>191</v>
      </c>
      <c r="G47">
        <v>12345</v>
      </c>
      <c r="H47" t="s">
        <v>216</v>
      </c>
      <c r="I47">
        <v>1</v>
      </c>
      <c r="J47" t="s">
        <v>192</v>
      </c>
      <c r="K47">
        <v>1E-4</v>
      </c>
      <c r="L47" t="s">
        <v>3</v>
      </c>
      <c r="M47">
        <v>0.99994360000000004</v>
      </c>
      <c r="N47" t="s">
        <v>2</v>
      </c>
      <c r="O47">
        <v>5.2599999999999999E-4</v>
      </c>
      <c r="P47" t="s">
        <v>17</v>
      </c>
      <c r="Q47">
        <v>11</v>
      </c>
      <c r="R47" t="s">
        <v>0</v>
      </c>
      <c r="S47">
        <v>1200.0999999999999</v>
      </c>
      <c r="T47" t="s">
        <v>152</v>
      </c>
      <c r="U47">
        <v>40</v>
      </c>
      <c r="V47" t="s">
        <v>153</v>
      </c>
      <c r="W47">
        <v>104</v>
      </c>
      <c r="X47" t="s">
        <v>151</v>
      </c>
      <c r="Y47">
        <v>63241</v>
      </c>
      <c r="Z47" t="s">
        <v>1</v>
      </c>
      <c r="AA47" t="s">
        <v>233</v>
      </c>
      <c r="AB47" t="s">
        <v>4</v>
      </c>
      <c r="AC47">
        <v>0.99994260000000001</v>
      </c>
      <c r="AD47" t="s">
        <v>5</v>
      </c>
      <c r="AE47">
        <v>5.2999999999999998E-4</v>
      </c>
    </row>
    <row r="48" spans="1:31" x14ac:dyDescent="0.25">
      <c r="A48" t="s">
        <v>42</v>
      </c>
      <c r="B48" t="s">
        <v>189</v>
      </c>
      <c r="C48">
        <v>1200</v>
      </c>
      <c r="D48" t="s">
        <v>190</v>
      </c>
      <c r="E48">
        <v>1000000</v>
      </c>
      <c r="F48" t="s">
        <v>191</v>
      </c>
      <c r="G48">
        <v>12345</v>
      </c>
      <c r="H48" t="s">
        <v>216</v>
      </c>
      <c r="I48">
        <v>1</v>
      </c>
      <c r="J48" t="s">
        <v>192</v>
      </c>
      <c r="K48">
        <v>1E-4</v>
      </c>
      <c r="L48" t="s">
        <v>3</v>
      </c>
      <c r="M48">
        <v>1</v>
      </c>
      <c r="N48" t="s">
        <v>2</v>
      </c>
      <c r="O48">
        <v>0</v>
      </c>
      <c r="P48" t="s">
        <v>17</v>
      </c>
      <c r="Q48">
        <v>8</v>
      </c>
      <c r="R48" t="s">
        <v>0</v>
      </c>
      <c r="S48">
        <v>7.1</v>
      </c>
      <c r="T48" t="s">
        <v>152</v>
      </c>
      <c r="U48">
        <v>1</v>
      </c>
      <c r="V48" t="s">
        <v>153</v>
      </c>
      <c r="W48">
        <v>3</v>
      </c>
      <c r="X48" t="s">
        <v>151</v>
      </c>
      <c r="Y48">
        <v>1036</v>
      </c>
      <c r="Z48" t="s">
        <v>1</v>
      </c>
      <c r="AA48" t="s">
        <v>205</v>
      </c>
      <c r="AB48" t="s">
        <v>4</v>
      </c>
      <c r="AC48">
        <v>1</v>
      </c>
      <c r="AD48" t="s">
        <v>5</v>
      </c>
      <c r="AE48">
        <v>0</v>
      </c>
    </row>
    <row r="49" spans="1:31" x14ac:dyDescent="0.25">
      <c r="A49" t="s">
        <v>52</v>
      </c>
      <c r="B49" t="s">
        <v>189</v>
      </c>
      <c r="C49">
        <v>1200</v>
      </c>
      <c r="D49" t="s">
        <v>190</v>
      </c>
      <c r="E49">
        <v>1000000</v>
      </c>
      <c r="F49" t="s">
        <v>191</v>
      </c>
      <c r="G49">
        <v>12345</v>
      </c>
      <c r="H49" t="s">
        <v>216</v>
      </c>
      <c r="I49">
        <v>1</v>
      </c>
      <c r="J49" t="s">
        <v>192</v>
      </c>
      <c r="K49">
        <v>1E-4</v>
      </c>
      <c r="L49" t="s">
        <v>3</v>
      </c>
      <c r="M49">
        <v>1</v>
      </c>
      <c r="N49" t="s">
        <v>2</v>
      </c>
      <c r="O49">
        <v>0</v>
      </c>
      <c r="P49" t="s">
        <v>17</v>
      </c>
      <c r="Q49">
        <v>18</v>
      </c>
      <c r="R49" t="s">
        <v>0</v>
      </c>
      <c r="S49">
        <v>30.7</v>
      </c>
      <c r="T49" t="s">
        <v>152</v>
      </c>
      <c r="U49">
        <v>1</v>
      </c>
      <c r="V49" t="s">
        <v>153</v>
      </c>
      <c r="W49">
        <v>5</v>
      </c>
      <c r="X49" t="s">
        <v>151</v>
      </c>
      <c r="Y49">
        <v>3750</v>
      </c>
      <c r="Z49" t="s">
        <v>1</v>
      </c>
      <c r="AA49" t="s">
        <v>235</v>
      </c>
      <c r="AB49" t="s">
        <v>4</v>
      </c>
      <c r="AC49">
        <v>1</v>
      </c>
      <c r="AD49" t="s">
        <v>5</v>
      </c>
      <c r="AE49">
        <v>0</v>
      </c>
    </row>
    <row r="50" spans="1:31" x14ac:dyDescent="0.25">
      <c r="A50" t="s">
        <v>62</v>
      </c>
      <c r="B50" t="s">
        <v>189</v>
      </c>
      <c r="C50">
        <v>1200</v>
      </c>
      <c r="D50" t="s">
        <v>190</v>
      </c>
      <c r="E50">
        <v>1000000</v>
      </c>
      <c r="F50" t="s">
        <v>191</v>
      </c>
      <c r="G50">
        <v>12345</v>
      </c>
      <c r="H50" t="s">
        <v>216</v>
      </c>
      <c r="I50">
        <v>1</v>
      </c>
      <c r="J50" t="s">
        <v>192</v>
      </c>
      <c r="K50">
        <v>1E-4</v>
      </c>
      <c r="L50" t="s">
        <v>3</v>
      </c>
      <c r="M50">
        <v>1</v>
      </c>
      <c r="N50" t="s">
        <v>2</v>
      </c>
      <c r="O50">
        <v>0</v>
      </c>
      <c r="P50" t="s">
        <v>17</v>
      </c>
      <c r="Q50">
        <v>13</v>
      </c>
      <c r="R50" t="s">
        <v>0</v>
      </c>
      <c r="S50">
        <v>20.7</v>
      </c>
      <c r="T50" t="s">
        <v>152</v>
      </c>
      <c r="U50">
        <v>1</v>
      </c>
      <c r="V50" t="s">
        <v>153</v>
      </c>
      <c r="W50">
        <v>5</v>
      </c>
      <c r="X50" t="s">
        <v>151</v>
      </c>
      <c r="Y50">
        <v>3849</v>
      </c>
      <c r="Z50" t="s">
        <v>1</v>
      </c>
      <c r="AA50" t="s">
        <v>237</v>
      </c>
      <c r="AB50" t="s">
        <v>4</v>
      </c>
      <c r="AC50">
        <v>1</v>
      </c>
      <c r="AD50" t="s">
        <v>5</v>
      </c>
      <c r="AE50">
        <v>0</v>
      </c>
    </row>
    <row r="51" spans="1:31" x14ac:dyDescent="0.25">
      <c r="A51" t="s">
        <v>72</v>
      </c>
      <c r="B51" t="s">
        <v>189</v>
      </c>
      <c r="C51">
        <v>1200</v>
      </c>
      <c r="D51" t="s">
        <v>190</v>
      </c>
      <c r="E51">
        <v>1000000</v>
      </c>
      <c r="F51" t="s">
        <v>191</v>
      </c>
      <c r="G51">
        <v>12345</v>
      </c>
      <c r="H51" t="s">
        <v>216</v>
      </c>
      <c r="I51">
        <v>1</v>
      </c>
      <c r="J51" t="s">
        <v>192</v>
      </c>
      <c r="K51">
        <v>1E-4</v>
      </c>
      <c r="L51" t="s">
        <v>3</v>
      </c>
      <c r="M51">
        <v>1</v>
      </c>
      <c r="N51" t="s">
        <v>2</v>
      </c>
      <c r="O51">
        <v>0</v>
      </c>
      <c r="P51" t="s">
        <v>17</v>
      </c>
      <c r="Q51">
        <v>8</v>
      </c>
      <c r="R51" t="s">
        <v>0</v>
      </c>
      <c r="S51">
        <v>7.7</v>
      </c>
      <c r="T51" t="s">
        <v>152</v>
      </c>
      <c r="U51">
        <v>1</v>
      </c>
      <c r="V51" t="s">
        <v>153</v>
      </c>
      <c r="W51">
        <v>3</v>
      </c>
      <c r="X51" t="s">
        <v>151</v>
      </c>
      <c r="Y51">
        <v>1184</v>
      </c>
      <c r="Z51" t="s">
        <v>1</v>
      </c>
      <c r="AA51" t="s">
        <v>207</v>
      </c>
      <c r="AB51" t="s">
        <v>4</v>
      </c>
      <c r="AC51">
        <v>1</v>
      </c>
      <c r="AD51" t="s">
        <v>5</v>
      </c>
      <c r="AE51">
        <v>0</v>
      </c>
    </row>
    <row r="52" spans="1:31" x14ac:dyDescent="0.25">
      <c r="A52" t="s">
        <v>149</v>
      </c>
      <c r="B52" t="s">
        <v>189</v>
      </c>
      <c r="C52">
        <v>1200</v>
      </c>
      <c r="D52" t="s">
        <v>190</v>
      </c>
      <c r="E52">
        <v>1000000</v>
      </c>
      <c r="F52" t="s">
        <v>191</v>
      </c>
      <c r="G52">
        <v>12345</v>
      </c>
      <c r="H52" t="s">
        <v>216</v>
      </c>
      <c r="I52">
        <v>1</v>
      </c>
      <c r="J52" t="s">
        <v>192</v>
      </c>
      <c r="K52">
        <v>1E-4</v>
      </c>
      <c r="L52" t="s">
        <v>3</v>
      </c>
      <c r="M52">
        <v>1</v>
      </c>
      <c r="N52" t="s">
        <v>2</v>
      </c>
      <c r="O52">
        <v>0</v>
      </c>
      <c r="P52" t="s">
        <v>17</v>
      </c>
      <c r="Q52">
        <v>38</v>
      </c>
      <c r="R52" t="s">
        <v>0</v>
      </c>
      <c r="S52">
        <v>343.4</v>
      </c>
      <c r="T52" t="s">
        <v>152</v>
      </c>
      <c r="U52">
        <v>1</v>
      </c>
      <c r="V52" t="s">
        <v>153</v>
      </c>
      <c r="W52">
        <v>12</v>
      </c>
      <c r="X52" t="s">
        <v>151</v>
      </c>
      <c r="Y52">
        <v>32871</v>
      </c>
      <c r="Z52" t="s">
        <v>1</v>
      </c>
      <c r="AA52" t="s">
        <v>180</v>
      </c>
      <c r="AB52" t="s">
        <v>4</v>
      </c>
      <c r="AC52">
        <v>1</v>
      </c>
      <c r="AD52" t="s">
        <v>5</v>
      </c>
      <c r="AE52">
        <v>0</v>
      </c>
    </row>
    <row r="53" spans="1:31" x14ac:dyDescent="0.25">
      <c r="A53" t="s">
        <v>27</v>
      </c>
      <c r="B53" t="s">
        <v>189</v>
      </c>
      <c r="C53">
        <v>1200</v>
      </c>
      <c r="D53" t="s">
        <v>190</v>
      </c>
      <c r="E53">
        <v>1000000</v>
      </c>
      <c r="F53" t="s">
        <v>191</v>
      </c>
      <c r="G53">
        <v>12345</v>
      </c>
      <c r="H53" t="s">
        <v>216</v>
      </c>
      <c r="I53">
        <v>1</v>
      </c>
      <c r="J53" t="s">
        <v>192</v>
      </c>
      <c r="K53">
        <v>1E-4</v>
      </c>
      <c r="L53" t="s">
        <v>3</v>
      </c>
      <c r="M53">
        <v>1</v>
      </c>
      <c r="N53" t="s">
        <v>2</v>
      </c>
      <c r="O53">
        <v>0</v>
      </c>
      <c r="P53" t="s">
        <v>17</v>
      </c>
      <c r="Q53">
        <v>16</v>
      </c>
      <c r="R53" t="s">
        <v>0</v>
      </c>
      <c r="S53">
        <v>33.6</v>
      </c>
      <c r="T53" t="s">
        <v>152</v>
      </c>
      <c r="U53">
        <v>2</v>
      </c>
      <c r="V53" t="s">
        <v>153</v>
      </c>
      <c r="W53">
        <v>14</v>
      </c>
      <c r="X53" t="s">
        <v>151</v>
      </c>
      <c r="Y53">
        <v>12926</v>
      </c>
      <c r="Z53" t="s">
        <v>1</v>
      </c>
      <c r="AA53" t="s">
        <v>156</v>
      </c>
      <c r="AB53" t="s">
        <v>4</v>
      </c>
      <c r="AC53">
        <v>1</v>
      </c>
      <c r="AD53" t="s">
        <v>5</v>
      </c>
      <c r="AE53">
        <v>0</v>
      </c>
    </row>
    <row r="54" spans="1:31" x14ac:dyDescent="0.25">
      <c r="A54" t="s">
        <v>37</v>
      </c>
      <c r="B54" t="s">
        <v>189</v>
      </c>
      <c r="C54">
        <v>1200</v>
      </c>
      <c r="D54" t="s">
        <v>190</v>
      </c>
      <c r="E54">
        <v>1000000</v>
      </c>
      <c r="F54" t="s">
        <v>191</v>
      </c>
      <c r="G54">
        <v>12345</v>
      </c>
      <c r="H54" t="s">
        <v>216</v>
      </c>
      <c r="I54">
        <v>1</v>
      </c>
      <c r="J54" t="s">
        <v>192</v>
      </c>
      <c r="K54">
        <v>1E-4</v>
      </c>
      <c r="L54" t="s">
        <v>3</v>
      </c>
      <c r="M54">
        <v>1</v>
      </c>
      <c r="N54" t="s">
        <v>2</v>
      </c>
      <c r="O54">
        <v>0</v>
      </c>
      <c r="P54" t="s">
        <v>17</v>
      </c>
      <c r="Q54">
        <v>6</v>
      </c>
      <c r="R54" t="s">
        <v>0</v>
      </c>
      <c r="S54">
        <v>3.2</v>
      </c>
      <c r="T54" t="s">
        <v>152</v>
      </c>
      <c r="U54">
        <v>1</v>
      </c>
      <c r="V54" t="s">
        <v>153</v>
      </c>
      <c r="W54">
        <v>2</v>
      </c>
      <c r="X54" t="s">
        <v>151</v>
      </c>
      <c r="Y54">
        <v>540</v>
      </c>
      <c r="Z54" t="s">
        <v>1</v>
      </c>
      <c r="AA54" t="s">
        <v>157</v>
      </c>
      <c r="AB54" t="s">
        <v>4</v>
      </c>
      <c r="AC54">
        <v>1</v>
      </c>
      <c r="AD54" t="s">
        <v>5</v>
      </c>
      <c r="AE54">
        <v>0</v>
      </c>
    </row>
    <row r="55" spans="1:31" x14ac:dyDescent="0.25">
      <c r="A55" t="s">
        <v>28</v>
      </c>
      <c r="B55" t="s">
        <v>189</v>
      </c>
      <c r="C55">
        <v>1200</v>
      </c>
      <c r="D55" t="s">
        <v>190</v>
      </c>
      <c r="E55">
        <v>1000000</v>
      </c>
      <c r="F55" t="s">
        <v>191</v>
      </c>
      <c r="G55">
        <v>12345</v>
      </c>
      <c r="H55" t="s">
        <v>216</v>
      </c>
      <c r="I55">
        <v>1</v>
      </c>
      <c r="J55" t="s">
        <v>192</v>
      </c>
      <c r="K55">
        <v>1E-4</v>
      </c>
      <c r="L55" t="s">
        <v>3</v>
      </c>
      <c r="M55">
        <v>0.99999919999999998</v>
      </c>
      <c r="N55" t="s">
        <v>2</v>
      </c>
      <c r="O55">
        <v>1.3431000000000001E-3</v>
      </c>
      <c r="P55" t="s">
        <v>17</v>
      </c>
      <c r="Q55">
        <v>30</v>
      </c>
      <c r="R55" t="s">
        <v>0</v>
      </c>
      <c r="S55">
        <v>1200.3</v>
      </c>
      <c r="T55" t="s">
        <v>152</v>
      </c>
      <c r="U55">
        <v>10</v>
      </c>
      <c r="V55" t="s">
        <v>153</v>
      </c>
      <c r="W55">
        <v>110</v>
      </c>
      <c r="X55" t="s">
        <v>151</v>
      </c>
      <c r="Y55">
        <v>277708</v>
      </c>
      <c r="Z55" t="s">
        <v>1</v>
      </c>
      <c r="AA55" t="s">
        <v>221</v>
      </c>
      <c r="AB55" t="s">
        <v>4</v>
      </c>
      <c r="AC55">
        <v>0.99999839999999995</v>
      </c>
      <c r="AD55" t="s">
        <v>5</v>
      </c>
      <c r="AE55">
        <v>2.1009000000000002E-3</v>
      </c>
    </row>
    <row r="56" spans="1:31" x14ac:dyDescent="0.25">
      <c r="A56" t="s">
        <v>38</v>
      </c>
      <c r="B56" t="s">
        <v>189</v>
      </c>
      <c r="C56">
        <v>1200</v>
      </c>
      <c r="D56" t="s">
        <v>190</v>
      </c>
      <c r="E56">
        <v>1000000</v>
      </c>
      <c r="F56" t="s">
        <v>191</v>
      </c>
      <c r="G56">
        <v>12345</v>
      </c>
      <c r="H56" t="s">
        <v>216</v>
      </c>
      <c r="I56">
        <v>1</v>
      </c>
      <c r="J56" t="s">
        <v>192</v>
      </c>
      <c r="K56">
        <v>1E-4</v>
      </c>
      <c r="L56" t="s">
        <v>3</v>
      </c>
      <c r="M56">
        <v>1</v>
      </c>
      <c r="N56" t="s">
        <v>2</v>
      </c>
      <c r="O56">
        <v>0</v>
      </c>
      <c r="P56" t="s">
        <v>17</v>
      </c>
      <c r="Q56">
        <v>8</v>
      </c>
      <c r="R56" t="s">
        <v>0</v>
      </c>
      <c r="S56">
        <v>4.3</v>
      </c>
      <c r="T56" t="s">
        <v>152</v>
      </c>
      <c r="U56">
        <v>1</v>
      </c>
      <c r="V56" t="s">
        <v>153</v>
      </c>
      <c r="W56">
        <v>2</v>
      </c>
      <c r="X56" t="s">
        <v>151</v>
      </c>
      <c r="Y56">
        <v>730</v>
      </c>
      <c r="Z56" t="s">
        <v>1</v>
      </c>
      <c r="AA56" t="s">
        <v>155</v>
      </c>
      <c r="AB56" t="s">
        <v>4</v>
      </c>
      <c r="AC56">
        <v>1</v>
      </c>
      <c r="AD56" t="s">
        <v>5</v>
      </c>
      <c r="AE56">
        <v>0</v>
      </c>
    </row>
    <row r="57" spans="1:31" x14ac:dyDescent="0.25">
      <c r="A57" t="s">
        <v>65</v>
      </c>
      <c r="B57" t="s">
        <v>189</v>
      </c>
      <c r="C57">
        <v>1200</v>
      </c>
      <c r="D57" t="s">
        <v>190</v>
      </c>
      <c r="E57">
        <v>1000000</v>
      </c>
      <c r="F57" t="s">
        <v>191</v>
      </c>
      <c r="G57">
        <v>12345</v>
      </c>
      <c r="H57" t="s">
        <v>216</v>
      </c>
      <c r="I57">
        <v>1</v>
      </c>
      <c r="J57" t="s">
        <v>192</v>
      </c>
      <c r="K57">
        <v>1E-4</v>
      </c>
      <c r="L57" t="s">
        <v>3</v>
      </c>
      <c r="M57">
        <v>0.99971370000000004</v>
      </c>
      <c r="N57" t="s">
        <v>2</v>
      </c>
      <c r="O57">
        <v>1.0172E-3</v>
      </c>
      <c r="P57" t="s">
        <v>17</v>
      </c>
      <c r="Q57">
        <v>37</v>
      </c>
      <c r="R57" t="s">
        <v>0</v>
      </c>
      <c r="S57">
        <v>1200.3</v>
      </c>
      <c r="T57" t="s">
        <v>152</v>
      </c>
      <c r="U57">
        <v>4</v>
      </c>
      <c r="V57" t="s">
        <v>153</v>
      </c>
      <c r="W57">
        <v>55</v>
      </c>
      <c r="X57" t="s">
        <v>151</v>
      </c>
      <c r="Y57">
        <v>117745</v>
      </c>
      <c r="Z57" t="s">
        <v>1</v>
      </c>
      <c r="AA57" t="s">
        <v>245</v>
      </c>
      <c r="AB57" t="s">
        <v>4</v>
      </c>
      <c r="AC57">
        <v>0.99971350000000003</v>
      </c>
      <c r="AD57" t="s">
        <v>5</v>
      </c>
      <c r="AE57">
        <v>1.0164E-3</v>
      </c>
    </row>
    <row r="58" spans="1:31" x14ac:dyDescent="0.25">
      <c r="A58" t="s">
        <v>24</v>
      </c>
      <c r="B58" t="s">
        <v>189</v>
      </c>
      <c r="C58">
        <v>1200</v>
      </c>
      <c r="D58" t="s">
        <v>190</v>
      </c>
      <c r="E58">
        <v>1000000</v>
      </c>
      <c r="F58" t="s">
        <v>191</v>
      </c>
      <c r="G58">
        <v>12345</v>
      </c>
      <c r="H58" t="s">
        <v>216</v>
      </c>
      <c r="I58">
        <v>1</v>
      </c>
      <c r="J58" t="s">
        <v>192</v>
      </c>
      <c r="K58">
        <v>1E-4</v>
      </c>
      <c r="L58" t="s">
        <v>3</v>
      </c>
      <c r="M58">
        <v>1</v>
      </c>
      <c r="N58" t="s">
        <v>2</v>
      </c>
      <c r="O58">
        <v>0</v>
      </c>
      <c r="P58" t="s">
        <v>17</v>
      </c>
      <c r="Q58">
        <v>14</v>
      </c>
      <c r="R58" t="s">
        <v>0</v>
      </c>
      <c r="S58">
        <v>335.8</v>
      </c>
      <c r="T58" t="s">
        <v>152</v>
      </c>
      <c r="U58">
        <v>11</v>
      </c>
      <c r="V58" t="s">
        <v>153</v>
      </c>
      <c r="W58">
        <v>60</v>
      </c>
      <c r="X58" t="s">
        <v>151</v>
      </c>
      <c r="Y58">
        <v>102565</v>
      </c>
      <c r="Z58" t="s">
        <v>1</v>
      </c>
      <c r="AA58" t="s">
        <v>176</v>
      </c>
      <c r="AB58" t="s">
        <v>4</v>
      </c>
      <c r="AC58">
        <v>1</v>
      </c>
      <c r="AD58" t="s">
        <v>5</v>
      </c>
      <c r="AE58">
        <v>0</v>
      </c>
    </row>
    <row r="59" spans="1:31" x14ac:dyDescent="0.25">
      <c r="A59" t="s">
        <v>34</v>
      </c>
      <c r="B59" t="s">
        <v>189</v>
      </c>
      <c r="C59">
        <v>1200</v>
      </c>
      <c r="D59" t="s">
        <v>190</v>
      </c>
      <c r="E59">
        <v>1000000</v>
      </c>
      <c r="F59" t="s">
        <v>191</v>
      </c>
      <c r="G59">
        <v>12345</v>
      </c>
      <c r="H59" t="s">
        <v>216</v>
      </c>
      <c r="I59">
        <v>1</v>
      </c>
      <c r="J59" t="s">
        <v>192</v>
      </c>
      <c r="K59">
        <v>1E-4</v>
      </c>
      <c r="L59" t="s">
        <v>3</v>
      </c>
      <c r="M59">
        <v>1</v>
      </c>
      <c r="N59" t="s">
        <v>2</v>
      </c>
      <c r="O59">
        <v>0</v>
      </c>
      <c r="P59" t="s">
        <v>17</v>
      </c>
      <c r="Q59">
        <v>6</v>
      </c>
      <c r="R59" t="s">
        <v>0</v>
      </c>
      <c r="S59">
        <v>3.2</v>
      </c>
      <c r="T59" t="s">
        <v>152</v>
      </c>
      <c r="U59">
        <v>1</v>
      </c>
      <c r="V59" t="s">
        <v>153</v>
      </c>
      <c r="W59">
        <v>2</v>
      </c>
      <c r="X59" t="s">
        <v>151</v>
      </c>
      <c r="Y59">
        <v>540</v>
      </c>
      <c r="Z59" t="s">
        <v>1</v>
      </c>
      <c r="AA59" t="s">
        <v>159</v>
      </c>
      <c r="AB59" t="s">
        <v>4</v>
      </c>
      <c r="AC59">
        <v>1</v>
      </c>
      <c r="AD59" t="s">
        <v>5</v>
      </c>
      <c r="AE59">
        <v>0</v>
      </c>
    </row>
    <row r="60" spans="1:31" x14ac:dyDescent="0.25">
      <c r="A60" t="s">
        <v>75</v>
      </c>
      <c r="B60" t="s">
        <v>189</v>
      </c>
      <c r="C60">
        <v>1200</v>
      </c>
      <c r="D60" t="s">
        <v>190</v>
      </c>
      <c r="E60">
        <v>1000000</v>
      </c>
      <c r="F60" t="s">
        <v>191</v>
      </c>
      <c r="G60">
        <v>12345</v>
      </c>
      <c r="H60" t="s">
        <v>216</v>
      </c>
      <c r="I60">
        <v>1</v>
      </c>
      <c r="J60" t="s">
        <v>192</v>
      </c>
      <c r="K60">
        <v>1E-4</v>
      </c>
      <c r="L60" t="s">
        <v>3</v>
      </c>
      <c r="M60">
        <v>1</v>
      </c>
      <c r="N60" t="s">
        <v>2</v>
      </c>
      <c r="O60">
        <v>0</v>
      </c>
      <c r="P60" t="s">
        <v>17</v>
      </c>
      <c r="Q60">
        <v>14</v>
      </c>
      <c r="R60" t="s">
        <v>0</v>
      </c>
      <c r="S60">
        <v>11.1</v>
      </c>
      <c r="T60" t="s">
        <v>152</v>
      </c>
      <c r="U60">
        <v>1</v>
      </c>
      <c r="V60" t="s">
        <v>153</v>
      </c>
      <c r="W60">
        <v>4</v>
      </c>
      <c r="X60" t="s">
        <v>151</v>
      </c>
      <c r="Y60">
        <v>1605</v>
      </c>
      <c r="Z60" t="s">
        <v>1</v>
      </c>
      <c r="AA60" t="s">
        <v>164</v>
      </c>
      <c r="AB60" t="s">
        <v>4</v>
      </c>
      <c r="AC60">
        <v>1</v>
      </c>
      <c r="AD60" t="s">
        <v>5</v>
      </c>
      <c r="AE60">
        <v>0</v>
      </c>
    </row>
    <row r="61" spans="1:31" x14ac:dyDescent="0.25">
      <c r="A61" t="s">
        <v>31</v>
      </c>
      <c r="B61" t="s">
        <v>189</v>
      </c>
      <c r="C61">
        <v>1200</v>
      </c>
      <c r="D61" t="s">
        <v>190</v>
      </c>
      <c r="E61">
        <v>1000000</v>
      </c>
      <c r="F61" t="s">
        <v>191</v>
      </c>
      <c r="G61">
        <v>12345</v>
      </c>
      <c r="H61" t="s">
        <v>216</v>
      </c>
      <c r="I61">
        <v>1</v>
      </c>
      <c r="J61" t="s">
        <v>192</v>
      </c>
      <c r="K61">
        <v>1E-4</v>
      </c>
      <c r="L61" t="s">
        <v>3</v>
      </c>
      <c r="M61">
        <v>0.99903109999999995</v>
      </c>
      <c r="N61" t="s">
        <v>2</v>
      </c>
      <c r="O61">
        <v>6.8365099999999998E-2</v>
      </c>
      <c r="P61" t="s">
        <v>17</v>
      </c>
      <c r="Q61">
        <v>41</v>
      </c>
      <c r="R61" t="s">
        <v>0</v>
      </c>
      <c r="S61">
        <v>1200.2</v>
      </c>
      <c r="T61" t="s">
        <v>152</v>
      </c>
      <c r="U61">
        <v>10</v>
      </c>
      <c r="V61" t="s">
        <v>153</v>
      </c>
      <c r="W61">
        <v>127</v>
      </c>
      <c r="X61" t="s">
        <v>151</v>
      </c>
      <c r="Y61">
        <v>269714</v>
      </c>
      <c r="Z61" t="s">
        <v>1</v>
      </c>
      <c r="AA61" t="s">
        <v>232</v>
      </c>
      <c r="AB61" t="s">
        <v>4</v>
      </c>
      <c r="AC61">
        <v>0.99879070000000003</v>
      </c>
      <c r="AD61" t="s">
        <v>5</v>
      </c>
      <c r="AE61">
        <v>0.1029853</v>
      </c>
    </row>
    <row r="62" spans="1:31" x14ac:dyDescent="0.25">
      <c r="A62" t="s">
        <v>41</v>
      </c>
      <c r="B62" t="s">
        <v>189</v>
      </c>
      <c r="C62">
        <v>1200</v>
      </c>
      <c r="D62" t="s">
        <v>190</v>
      </c>
      <c r="E62">
        <v>1000000</v>
      </c>
      <c r="F62" t="s">
        <v>191</v>
      </c>
      <c r="G62">
        <v>12345</v>
      </c>
      <c r="H62" t="s">
        <v>216</v>
      </c>
      <c r="I62">
        <v>1</v>
      </c>
      <c r="J62" t="s">
        <v>192</v>
      </c>
      <c r="K62">
        <v>1E-4</v>
      </c>
      <c r="L62" t="s">
        <v>3</v>
      </c>
      <c r="M62">
        <v>1</v>
      </c>
      <c r="N62" t="s">
        <v>2</v>
      </c>
      <c r="O62">
        <v>0</v>
      </c>
      <c r="P62" t="s">
        <v>17</v>
      </c>
      <c r="Q62">
        <v>8</v>
      </c>
      <c r="R62" t="s">
        <v>0</v>
      </c>
      <c r="S62">
        <v>6.3</v>
      </c>
      <c r="T62" t="s">
        <v>152</v>
      </c>
      <c r="U62">
        <v>1</v>
      </c>
      <c r="V62" t="s">
        <v>153</v>
      </c>
      <c r="W62">
        <v>3</v>
      </c>
      <c r="X62" t="s">
        <v>151</v>
      </c>
      <c r="Y62">
        <v>1036</v>
      </c>
      <c r="Z62" t="s">
        <v>1</v>
      </c>
      <c r="AA62" t="s">
        <v>205</v>
      </c>
      <c r="AB62" t="s">
        <v>4</v>
      </c>
      <c r="AC62">
        <v>1</v>
      </c>
      <c r="AD62" t="s">
        <v>5</v>
      </c>
      <c r="AE62">
        <v>0</v>
      </c>
    </row>
    <row r="63" spans="1:31" x14ac:dyDescent="0.25">
      <c r="A63" t="s">
        <v>56</v>
      </c>
      <c r="B63" t="s">
        <v>189</v>
      </c>
      <c r="C63">
        <v>1200</v>
      </c>
      <c r="D63" t="s">
        <v>190</v>
      </c>
      <c r="E63">
        <v>1000000</v>
      </c>
      <c r="F63" t="s">
        <v>191</v>
      </c>
      <c r="G63">
        <v>12345</v>
      </c>
      <c r="H63" t="s">
        <v>216</v>
      </c>
      <c r="I63">
        <v>1</v>
      </c>
      <c r="J63" t="s">
        <v>192</v>
      </c>
      <c r="K63">
        <v>1E-4</v>
      </c>
      <c r="L63" t="s">
        <v>3</v>
      </c>
      <c r="M63">
        <v>0.99999950000000004</v>
      </c>
      <c r="N63" t="s">
        <v>2</v>
      </c>
      <c r="O63">
        <v>1.4140999999999999E-3</v>
      </c>
      <c r="P63" t="s">
        <v>17</v>
      </c>
      <c r="Q63">
        <v>44</v>
      </c>
      <c r="R63" t="s">
        <v>0</v>
      </c>
      <c r="S63">
        <v>1200.3</v>
      </c>
      <c r="T63" t="s">
        <v>152</v>
      </c>
      <c r="U63">
        <v>9</v>
      </c>
      <c r="V63" t="s">
        <v>153</v>
      </c>
      <c r="W63">
        <v>58</v>
      </c>
      <c r="X63" t="s">
        <v>151</v>
      </c>
      <c r="Y63">
        <v>118349</v>
      </c>
      <c r="Z63" t="s">
        <v>1</v>
      </c>
      <c r="AA63" t="s">
        <v>234</v>
      </c>
      <c r="AB63" t="s">
        <v>4</v>
      </c>
      <c r="AC63">
        <v>0.99999950000000004</v>
      </c>
      <c r="AD63" t="s">
        <v>5</v>
      </c>
      <c r="AE63">
        <v>1.4411000000000001E-3</v>
      </c>
    </row>
    <row r="64" spans="1:31" x14ac:dyDescent="0.25">
      <c r="A64" t="s">
        <v>66</v>
      </c>
      <c r="B64" t="s">
        <v>189</v>
      </c>
      <c r="C64">
        <v>1200</v>
      </c>
      <c r="D64" t="s">
        <v>190</v>
      </c>
      <c r="E64">
        <v>1000000</v>
      </c>
      <c r="F64" t="s">
        <v>191</v>
      </c>
      <c r="G64">
        <v>12345</v>
      </c>
      <c r="H64" t="s">
        <v>216</v>
      </c>
      <c r="I64">
        <v>1</v>
      </c>
      <c r="J64" t="s">
        <v>192</v>
      </c>
      <c r="K64">
        <v>1E-4</v>
      </c>
      <c r="L64" t="s">
        <v>3</v>
      </c>
      <c r="M64">
        <v>1</v>
      </c>
      <c r="N64" t="s">
        <v>2</v>
      </c>
      <c r="O64">
        <v>0</v>
      </c>
      <c r="P64" t="s">
        <v>17</v>
      </c>
      <c r="Q64">
        <v>10</v>
      </c>
      <c r="R64" t="s">
        <v>0</v>
      </c>
      <c r="S64">
        <v>9.1999999999999993</v>
      </c>
      <c r="T64" t="s">
        <v>152</v>
      </c>
      <c r="U64">
        <v>1</v>
      </c>
      <c r="V64" t="s">
        <v>153</v>
      </c>
      <c r="W64">
        <v>3</v>
      </c>
      <c r="X64" t="s">
        <v>151</v>
      </c>
      <c r="Y64">
        <v>1492</v>
      </c>
      <c r="Z64" t="s">
        <v>1</v>
      </c>
      <c r="AA64" t="s">
        <v>161</v>
      </c>
      <c r="AB64" t="s">
        <v>4</v>
      </c>
      <c r="AC64">
        <v>1</v>
      </c>
      <c r="AD64" t="s">
        <v>5</v>
      </c>
      <c r="AE64">
        <v>0</v>
      </c>
    </row>
    <row r="65" spans="1:31" x14ac:dyDescent="0.25">
      <c r="A65" t="s">
        <v>76</v>
      </c>
      <c r="B65" t="s">
        <v>189</v>
      </c>
      <c r="C65">
        <v>1200</v>
      </c>
      <c r="D65" t="s">
        <v>190</v>
      </c>
      <c r="E65">
        <v>1000000</v>
      </c>
      <c r="F65" t="s">
        <v>191</v>
      </c>
      <c r="G65">
        <v>12345</v>
      </c>
      <c r="H65" t="s">
        <v>216</v>
      </c>
      <c r="I65">
        <v>1</v>
      </c>
      <c r="J65" t="s">
        <v>192</v>
      </c>
      <c r="K65">
        <v>1E-4</v>
      </c>
      <c r="L65" t="s">
        <v>3</v>
      </c>
      <c r="M65">
        <v>1</v>
      </c>
      <c r="N65" t="s">
        <v>2</v>
      </c>
      <c r="O65">
        <v>0</v>
      </c>
      <c r="P65" t="s">
        <v>17</v>
      </c>
      <c r="Q65">
        <v>10</v>
      </c>
      <c r="R65" t="s">
        <v>0</v>
      </c>
      <c r="S65">
        <v>9.4</v>
      </c>
      <c r="T65" t="s">
        <v>152</v>
      </c>
      <c r="U65">
        <v>1</v>
      </c>
      <c r="V65" t="s">
        <v>153</v>
      </c>
      <c r="W65">
        <v>3</v>
      </c>
      <c r="X65" t="s">
        <v>151</v>
      </c>
      <c r="Y65">
        <v>1486</v>
      </c>
      <c r="Z65" t="s">
        <v>1</v>
      </c>
      <c r="AA65" t="s">
        <v>208</v>
      </c>
      <c r="AB65" t="s">
        <v>4</v>
      </c>
      <c r="AC65">
        <v>1</v>
      </c>
      <c r="AD65" t="s">
        <v>5</v>
      </c>
      <c r="AE65">
        <v>0</v>
      </c>
    </row>
    <row r="66" spans="1:31" x14ac:dyDescent="0.25">
      <c r="A66" t="s">
        <v>120</v>
      </c>
      <c r="B66" t="s">
        <v>189</v>
      </c>
      <c r="C66">
        <v>1200</v>
      </c>
      <c r="D66" t="s">
        <v>190</v>
      </c>
      <c r="E66">
        <v>1000000</v>
      </c>
      <c r="F66" t="s">
        <v>191</v>
      </c>
      <c r="G66">
        <v>12345</v>
      </c>
      <c r="H66" t="s">
        <v>216</v>
      </c>
      <c r="I66">
        <v>1</v>
      </c>
      <c r="J66" t="s">
        <v>192</v>
      </c>
      <c r="K66">
        <v>1E-4</v>
      </c>
      <c r="L66" t="s">
        <v>3</v>
      </c>
      <c r="M66">
        <v>0.98112900000000003</v>
      </c>
      <c r="N66" t="s">
        <v>2</v>
      </c>
      <c r="O66">
        <v>4.3499999999999997E-2</v>
      </c>
      <c r="P66" t="s">
        <v>17</v>
      </c>
      <c r="Q66">
        <v>47</v>
      </c>
      <c r="R66" t="s">
        <v>0</v>
      </c>
      <c r="S66">
        <v>1202</v>
      </c>
      <c r="T66" t="s">
        <v>152</v>
      </c>
      <c r="U66">
        <v>5</v>
      </c>
      <c r="V66" t="s">
        <v>153</v>
      </c>
      <c r="W66">
        <v>47</v>
      </c>
      <c r="X66" t="s">
        <v>151</v>
      </c>
      <c r="Y66">
        <v>110486</v>
      </c>
      <c r="Z66" t="s">
        <v>1</v>
      </c>
      <c r="AA66" t="s">
        <v>254</v>
      </c>
      <c r="AB66" t="s">
        <v>4</v>
      </c>
      <c r="AC66">
        <v>0.98174229999999996</v>
      </c>
      <c r="AD66" t="s">
        <v>5</v>
      </c>
      <c r="AE66">
        <v>4.2904299999999999E-2</v>
      </c>
    </row>
    <row r="67" spans="1:31" x14ac:dyDescent="0.25">
      <c r="A67" t="s">
        <v>82</v>
      </c>
      <c r="B67" t="s">
        <v>189</v>
      </c>
      <c r="C67">
        <v>1200</v>
      </c>
      <c r="D67" t="s">
        <v>190</v>
      </c>
      <c r="E67">
        <v>1000000</v>
      </c>
      <c r="F67" t="s">
        <v>191</v>
      </c>
      <c r="G67">
        <v>12345</v>
      </c>
      <c r="H67" t="s">
        <v>216</v>
      </c>
      <c r="I67">
        <v>1</v>
      </c>
      <c r="J67" t="s">
        <v>192</v>
      </c>
      <c r="K67">
        <v>1E-4</v>
      </c>
      <c r="L67" t="s">
        <v>3</v>
      </c>
      <c r="M67">
        <v>1</v>
      </c>
      <c r="N67" t="s">
        <v>2</v>
      </c>
      <c r="O67">
        <v>5.0619000000000003E-3</v>
      </c>
      <c r="P67" t="s">
        <v>17</v>
      </c>
      <c r="Q67">
        <v>54</v>
      </c>
      <c r="R67" t="s">
        <v>0</v>
      </c>
      <c r="S67">
        <v>1200.5999999999999</v>
      </c>
      <c r="T67" t="s">
        <v>152</v>
      </c>
      <c r="U67">
        <v>4</v>
      </c>
      <c r="V67" t="s">
        <v>153</v>
      </c>
      <c r="W67">
        <v>37</v>
      </c>
      <c r="X67" t="s">
        <v>151</v>
      </c>
      <c r="Y67">
        <v>101707</v>
      </c>
      <c r="Z67" t="s">
        <v>1</v>
      </c>
      <c r="AA67" t="s">
        <v>248</v>
      </c>
      <c r="AB67" t="s">
        <v>4</v>
      </c>
      <c r="AC67">
        <v>1</v>
      </c>
      <c r="AD67" t="s">
        <v>5</v>
      </c>
      <c r="AE67">
        <v>4.9170000000000004E-3</v>
      </c>
    </row>
    <row r="68" spans="1:31" x14ac:dyDescent="0.25">
      <c r="A68" t="s">
        <v>47</v>
      </c>
      <c r="B68" t="s">
        <v>189</v>
      </c>
      <c r="C68">
        <v>1200</v>
      </c>
      <c r="D68" t="s">
        <v>190</v>
      </c>
      <c r="E68">
        <v>1000000</v>
      </c>
      <c r="F68" t="s">
        <v>191</v>
      </c>
      <c r="G68">
        <v>12345</v>
      </c>
      <c r="H68" t="s">
        <v>216</v>
      </c>
      <c r="I68">
        <v>1</v>
      </c>
      <c r="J68" t="s">
        <v>192</v>
      </c>
      <c r="K68">
        <v>1E-4</v>
      </c>
      <c r="L68" t="s">
        <v>3</v>
      </c>
      <c r="M68">
        <v>0.99960550000000004</v>
      </c>
      <c r="N68" t="s">
        <v>2</v>
      </c>
      <c r="O68">
        <v>9.9392999999999999E-3</v>
      </c>
      <c r="P68" t="s">
        <v>17</v>
      </c>
      <c r="Q68">
        <v>32</v>
      </c>
      <c r="R68" t="s">
        <v>0</v>
      </c>
      <c r="S68">
        <v>1200.2</v>
      </c>
      <c r="T68" t="s">
        <v>152</v>
      </c>
      <c r="U68">
        <v>13</v>
      </c>
      <c r="V68" t="s">
        <v>153</v>
      </c>
      <c r="W68">
        <v>79</v>
      </c>
      <c r="X68" t="s">
        <v>151</v>
      </c>
      <c r="Y68">
        <v>124780</v>
      </c>
      <c r="Z68" t="s">
        <v>1</v>
      </c>
      <c r="AA68" t="s">
        <v>227</v>
      </c>
      <c r="AB68" t="s">
        <v>4</v>
      </c>
      <c r="AC68">
        <v>0.99960970000000005</v>
      </c>
      <c r="AD68" t="s">
        <v>5</v>
      </c>
      <c r="AE68">
        <v>9.8946999999999993E-3</v>
      </c>
    </row>
    <row r="69" spans="1:31" x14ac:dyDescent="0.25">
      <c r="A69" t="s">
        <v>48</v>
      </c>
      <c r="B69" t="s">
        <v>189</v>
      </c>
      <c r="C69">
        <v>1200</v>
      </c>
      <c r="D69" t="s">
        <v>190</v>
      </c>
      <c r="E69">
        <v>1000000</v>
      </c>
      <c r="F69" t="s">
        <v>191</v>
      </c>
      <c r="G69">
        <v>12345</v>
      </c>
      <c r="H69" t="s">
        <v>216</v>
      </c>
      <c r="I69">
        <v>1</v>
      </c>
      <c r="J69" t="s">
        <v>192</v>
      </c>
      <c r="K69">
        <v>1E-4</v>
      </c>
      <c r="L69" t="s">
        <v>3</v>
      </c>
      <c r="M69">
        <v>0.99995440000000002</v>
      </c>
      <c r="N69" t="s">
        <v>2</v>
      </c>
      <c r="O69">
        <v>3.2299E-3</v>
      </c>
      <c r="P69" t="s">
        <v>17</v>
      </c>
      <c r="Q69">
        <v>34</v>
      </c>
      <c r="R69" t="s">
        <v>0</v>
      </c>
      <c r="S69">
        <v>1201.4000000000001</v>
      </c>
      <c r="T69" t="s">
        <v>152</v>
      </c>
      <c r="U69">
        <v>10</v>
      </c>
      <c r="V69" t="s">
        <v>153</v>
      </c>
      <c r="W69">
        <v>76</v>
      </c>
      <c r="X69" t="s">
        <v>151</v>
      </c>
      <c r="Y69">
        <v>133767</v>
      </c>
      <c r="Z69" t="s">
        <v>1</v>
      </c>
      <c r="AA69" t="e" cm="1">
        <f t="array" aca="1" ref="AA69" ca="1">-0.6766808501208+(0.7471810130917*SIN(pow(V2,0.5)))+(0.9830980000609*V2)+(((0.8849283238432*pow(LOG((1+V2)),-1))*ASIN(((1.0445796352693*V1)*pow(v0,-1))))*SIN(V2))</f>
        <v>#NAME?</v>
      </c>
      <c r="AB69" t="s">
        <v>4</v>
      </c>
      <c r="AC69">
        <v>0.99995520000000004</v>
      </c>
      <c r="AD69" t="s">
        <v>5</v>
      </c>
      <c r="AE69">
        <v>3.1973000000000001E-3</v>
      </c>
    </row>
    <row r="70" spans="1:31" x14ac:dyDescent="0.25">
      <c r="A70" t="s">
        <v>44</v>
      </c>
      <c r="B70" t="s">
        <v>189</v>
      </c>
      <c r="C70">
        <v>1200</v>
      </c>
      <c r="D70" t="s">
        <v>190</v>
      </c>
      <c r="E70">
        <v>1000000</v>
      </c>
      <c r="F70" t="s">
        <v>191</v>
      </c>
      <c r="G70">
        <v>12345</v>
      </c>
      <c r="H70" t="s">
        <v>216</v>
      </c>
      <c r="I70">
        <v>1</v>
      </c>
      <c r="J70" t="s">
        <v>192</v>
      </c>
      <c r="K70">
        <v>1E-4</v>
      </c>
      <c r="L70" t="s">
        <v>3</v>
      </c>
      <c r="M70">
        <v>0.9970424</v>
      </c>
      <c r="N70" t="s">
        <v>2</v>
      </c>
      <c r="O70">
        <v>2.3186000000000001E-3</v>
      </c>
      <c r="P70" t="s">
        <v>17</v>
      </c>
      <c r="Q70">
        <v>33</v>
      </c>
      <c r="R70" t="s">
        <v>0</v>
      </c>
      <c r="S70">
        <v>1202.5999999999999</v>
      </c>
      <c r="T70" t="s">
        <v>152</v>
      </c>
      <c r="U70">
        <v>12</v>
      </c>
      <c r="V70" t="s">
        <v>153</v>
      </c>
      <c r="W70">
        <v>80</v>
      </c>
      <c r="X70" t="s">
        <v>151</v>
      </c>
      <c r="Y70">
        <v>131847</v>
      </c>
      <c r="Z70" t="s">
        <v>1</v>
      </c>
      <c r="AA70" t="e" cm="1">
        <f t="array" aca="1" ref="AA70" ca="1">-1.4833056316036+(1.1012457571529*ACOS(EXP(((-2*v0)*ASIN(pow(V1,-0.8))))))+(0.0815802256267*V1)+(-0.0187706856792*v0)+((-0.1730241853022*pow(V1,0.5))*SIN(LOG(v0)))</f>
        <v>#NAME?</v>
      </c>
      <c r="AB70" t="s">
        <v>4</v>
      </c>
      <c r="AC70">
        <v>0.99705699999999997</v>
      </c>
      <c r="AD70" t="s">
        <v>5</v>
      </c>
      <c r="AE70">
        <v>2.3075999999999999E-3</v>
      </c>
    </row>
    <row r="71" spans="1:31" x14ac:dyDescent="0.25">
      <c r="A71" t="s">
        <v>85</v>
      </c>
      <c r="B71" t="s">
        <v>189</v>
      </c>
      <c r="C71">
        <v>1200</v>
      </c>
      <c r="D71" t="s">
        <v>190</v>
      </c>
      <c r="E71">
        <v>1000000</v>
      </c>
      <c r="F71" t="s">
        <v>191</v>
      </c>
      <c r="G71">
        <v>12345</v>
      </c>
      <c r="H71" t="s">
        <v>216</v>
      </c>
      <c r="I71">
        <v>1</v>
      </c>
      <c r="J71" t="s">
        <v>192</v>
      </c>
      <c r="K71">
        <v>1E-4</v>
      </c>
      <c r="L71" t="s">
        <v>3</v>
      </c>
      <c r="M71">
        <v>0.99729109999999999</v>
      </c>
      <c r="N71" t="s">
        <v>2</v>
      </c>
      <c r="O71">
        <v>4.4272600000000002E-2</v>
      </c>
      <c r="P71" t="s">
        <v>17</v>
      </c>
      <c r="Q71">
        <v>34</v>
      </c>
      <c r="R71" t="s">
        <v>0</v>
      </c>
      <c r="S71">
        <v>1200.7</v>
      </c>
      <c r="T71" t="s">
        <v>152</v>
      </c>
      <c r="U71">
        <v>11</v>
      </c>
      <c r="V71" t="s">
        <v>153</v>
      </c>
      <c r="W71">
        <v>51</v>
      </c>
      <c r="X71" t="s">
        <v>151</v>
      </c>
      <c r="Y71">
        <v>112809</v>
      </c>
      <c r="Z71" t="s">
        <v>1</v>
      </c>
      <c r="AA71" t="e" cm="1">
        <f t="array" aca="1" ref="AA71" ca="1">-0.0183572731847+(1.1091631648338*SIN(((0.5798263934512*LOG((V1*pow(v0,-1))))*LOG((V3*SIN(pow(V2,-1)))))))+(0.5003460166918*V2)+(0.0072370379341*V1)+(0.4975342449709*V3)</f>
        <v>#VALUE!</v>
      </c>
      <c r="AB71" t="s">
        <v>4</v>
      </c>
      <c r="AC71">
        <v>0.99725730000000001</v>
      </c>
      <c r="AD71" t="s">
        <v>5</v>
      </c>
      <c r="AE71">
        <v>4.4386500000000002E-2</v>
      </c>
    </row>
    <row r="72" spans="1:31" x14ac:dyDescent="0.25">
      <c r="A72" t="s">
        <v>54</v>
      </c>
      <c r="B72" t="s">
        <v>189</v>
      </c>
      <c r="C72">
        <v>1200</v>
      </c>
      <c r="D72" t="s">
        <v>190</v>
      </c>
      <c r="E72">
        <v>1000000</v>
      </c>
      <c r="F72" t="s">
        <v>191</v>
      </c>
      <c r="G72">
        <v>12345</v>
      </c>
      <c r="H72" t="s">
        <v>216</v>
      </c>
      <c r="I72">
        <v>1</v>
      </c>
      <c r="J72" t="s">
        <v>192</v>
      </c>
      <c r="K72">
        <v>1E-4</v>
      </c>
      <c r="L72" t="s">
        <v>3</v>
      </c>
      <c r="M72">
        <v>1</v>
      </c>
      <c r="N72" t="s">
        <v>2</v>
      </c>
      <c r="O72">
        <v>0</v>
      </c>
      <c r="P72" t="s">
        <v>17</v>
      </c>
      <c r="Q72">
        <v>12</v>
      </c>
      <c r="R72" t="s">
        <v>0</v>
      </c>
      <c r="S72">
        <v>17.100000000000001</v>
      </c>
      <c r="T72" t="s">
        <v>152</v>
      </c>
      <c r="U72">
        <v>1</v>
      </c>
      <c r="V72" t="s">
        <v>153</v>
      </c>
      <c r="W72">
        <v>5</v>
      </c>
      <c r="X72" t="s">
        <v>151</v>
      </c>
      <c r="Y72">
        <v>2522</v>
      </c>
      <c r="Z72" t="s">
        <v>1</v>
      </c>
      <c r="AA72" t="s">
        <v>230</v>
      </c>
      <c r="AB72" t="s">
        <v>4</v>
      </c>
      <c r="AC72">
        <v>1</v>
      </c>
      <c r="AD72" t="s">
        <v>5</v>
      </c>
      <c r="AE72">
        <v>0</v>
      </c>
    </row>
    <row r="73" spans="1:31" x14ac:dyDescent="0.25">
      <c r="A73" t="s">
        <v>95</v>
      </c>
      <c r="B73" t="s">
        <v>189</v>
      </c>
      <c r="C73">
        <v>1200</v>
      </c>
      <c r="D73" t="s">
        <v>190</v>
      </c>
      <c r="E73">
        <v>1000000</v>
      </c>
      <c r="F73" t="s">
        <v>191</v>
      </c>
      <c r="G73">
        <v>12345</v>
      </c>
      <c r="H73" t="s">
        <v>216</v>
      </c>
      <c r="I73">
        <v>1</v>
      </c>
      <c r="J73" t="s">
        <v>192</v>
      </c>
      <c r="K73">
        <v>1E-4</v>
      </c>
      <c r="L73" t="s">
        <v>3</v>
      </c>
      <c r="M73">
        <v>1</v>
      </c>
      <c r="N73" t="s">
        <v>2</v>
      </c>
      <c r="O73">
        <v>0</v>
      </c>
      <c r="P73" t="s">
        <v>17</v>
      </c>
      <c r="Q73">
        <v>12</v>
      </c>
      <c r="R73" t="s">
        <v>0</v>
      </c>
      <c r="S73">
        <v>16.399999999999999</v>
      </c>
      <c r="T73" t="s">
        <v>152</v>
      </c>
      <c r="U73">
        <v>1</v>
      </c>
      <c r="V73" t="s">
        <v>153</v>
      </c>
      <c r="W73">
        <v>4</v>
      </c>
      <c r="X73" t="s">
        <v>151</v>
      </c>
      <c r="Y73">
        <v>2572</v>
      </c>
      <c r="Z73" t="s">
        <v>1</v>
      </c>
      <c r="AA73" t="s">
        <v>175</v>
      </c>
      <c r="AB73" t="s">
        <v>4</v>
      </c>
      <c r="AC73">
        <v>1</v>
      </c>
      <c r="AD73" t="s">
        <v>5</v>
      </c>
      <c r="AE73">
        <v>0</v>
      </c>
    </row>
    <row r="74" spans="1:31" x14ac:dyDescent="0.25">
      <c r="A74" t="s">
        <v>51</v>
      </c>
      <c r="B74" t="s">
        <v>189</v>
      </c>
      <c r="C74">
        <v>1200</v>
      </c>
      <c r="D74" t="s">
        <v>190</v>
      </c>
      <c r="E74">
        <v>1000000</v>
      </c>
      <c r="F74" t="s">
        <v>191</v>
      </c>
      <c r="G74">
        <v>12345</v>
      </c>
      <c r="H74" t="s">
        <v>216</v>
      </c>
      <c r="I74">
        <v>1</v>
      </c>
      <c r="J74" t="s">
        <v>192</v>
      </c>
      <c r="K74">
        <v>1E-4</v>
      </c>
      <c r="L74" t="s">
        <v>3</v>
      </c>
      <c r="M74">
        <v>1</v>
      </c>
      <c r="N74" t="s">
        <v>2</v>
      </c>
      <c r="O74">
        <v>1.2070000000000001E-4</v>
      </c>
      <c r="P74" t="s">
        <v>17</v>
      </c>
      <c r="Q74">
        <v>27</v>
      </c>
      <c r="R74" t="s">
        <v>0</v>
      </c>
      <c r="S74">
        <v>1200.0999999999999</v>
      </c>
      <c r="T74" t="s">
        <v>152</v>
      </c>
      <c r="U74">
        <v>13</v>
      </c>
      <c r="V74" t="s">
        <v>153</v>
      </c>
      <c r="W74">
        <v>74</v>
      </c>
      <c r="X74" t="s">
        <v>151</v>
      </c>
      <c r="Y74">
        <v>127588</v>
      </c>
      <c r="Z74" t="s">
        <v>1</v>
      </c>
      <c r="AA74" t="s">
        <v>243</v>
      </c>
      <c r="AB74" t="s">
        <v>4</v>
      </c>
      <c r="AC74">
        <v>1</v>
      </c>
      <c r="AD74" t="s">
        <v>5</v>
      </c>
      <c r="AE74">
        <v>1.228E-4</v>
      </c>
    </row>
    <row r="75" spans="1:31" x14ac:dyDescent="0.25">
      <c r="A75" t="s">
        <v>86</v>
      </c>
      <c r="B75" t="s">
        <v>189</v>
      </c>
      <c r="C75">
        <v>1200</v>
      </c>
      <c r="D75" t="s">
        <v>190</v>
      </c>
      <c r="E75">
        <v>1000000</v>
      </c>
      <c r="F75" t="s">
        <v>191</v>
      </c>
      <c r="G75">
        <v>12345</v>
      </c>
      <c r="H75" t="s">
        <v>216</v>
      </c>
      <c r="I75">
        <v>1</v>
      </c>
      <c r="J75" t="s">
        <v>192</v>
      </c>
      <c r="K75">
        <v>1E-4</v>
      </c>
      <c r="L75" t="s">
        <v>3</v>
      </c>
      <c r="M75">
        <v>0.99994450000000001</v>
      </c>
      <c r="N75" t="s">
        <v>2</v>
      </c>
      <c r="O75">
        <v>1.3718599999999999E-2</v>
      </c>
      <c r="P75" t="s">
        <v>17</v>
      </c>
      <c r="Q75">
        <v>35</v>
      </c>
      <c r="R75" t="s">
        <v>0</v>
      </c>
      <c r="S75">
        <v>1201</v>
      </c>
      <c r="T75" t="s">
        <v>152</v>
      </c>
      <c r="U75">
        <v>8</v>
      </c>
      <c r="V75" t="s">
        <v>153</v>
      </c>
      <c r="W75">
        <v>44</v>
      </c>
      <c r="X75" t="s">
        <v>151</v>
      </c>
      <c r="Y75">
        <v>128857</v>
      </c>
      <c r="Z75" t="s">
        <v>1</v>
      </c>
      <c r="AA75" t="s">
        <v>246</v>
      </c>
      <c r="AB75" t="s">
        <v>4</v>
      </c>
      <c r="AC75">
        <v>0.99994669999999997</v>
      </c>
      <c r="AD75" t="s">
        <v>5</v>
      </c>
      <c r="AE75">
        <v>1.3422E-2</v>
      </c>
    </row>
    <row r="76" spans="1:31" x14ac:dyDescent="0.25">
      <c r="A76" t="s">
        <v>130</v>
      </c>
      <c r="B76" t="s">
        <v>189</v>
      </c>
      <c r="C76">
        <v>1200</v>
      </c>
      <c r="D76" t="s">
        <v>190</v>
      </c>
      <c r="E76">
        <v>1000000</v>
      </c>
      <c r="F76" t="s">
        <v>191</v>
      </c>
      <c r="G76">
        <v>12345</v>
      </c>
      <c r="H76" t="s">
        <v>216</v>
      </c>
      <c r="I76">
        <v>1</v>
      </c>
      <c r="J76" t="s">
        <v>192</v>
      </c>
      <c r="K76">
        <v>1E-4</v>
      </c>
      <c r="L76" t="s">
        <v>3</v>
      </c>
      <c r="M76">
        <v>0.99347209999999997</v>
      </c>
      <c r="N76" t="s">
        <v>2</v>
      </c>
      <c r="O76">
        <v>2.1050727</v>
      </c>
      <c r="P76" t="s">
        <v>17</v>
      </c>
      <c r="Q76">
        <v>108</v>
      </c>
      <c r="R76" t="s">
        <v>0</v>
      </c>
      <c r="S76">
        <v>1203.0999999999999</v>
      </c>
      <c r="T76" t="s">
        <v>152</v>
      </c>
      <c r="U76">
        <v>1</v>
      </c>
      <c r="V76" t="s">
        <v>153</v>
      </c>
      <c r="W76">
        <v>28</v>
      </c>
      <c r="X76" t="s">
        <v>151</v>
      </c>
      <c r="Y76">
        <v>77819</v>
      </c>
      <c r="Z76" t="s">
        <v>1</v>
      </c>
      <c r="AA76" t="s">
        <v>312</v>
      </c>
      <c r="AB76" t="s">
        <v>4</v>
      </c>
      <c r="AC76">
        <v>0.99359189999999997</v>
      </c>
      <c r="AD76" t="s">
        <v>5</v>
      </c>
      <c r="AE76">
        <v>2.0718774999999998</v>
      </c>
    </row>
    <row r="77" spans="1:31" x14ac:dyDescent="0.25">
      <c r="A77" t="s">
        <v>92</v>
      </c>
      <c r="B77" t="s">
        <v>189</v>
      </c>
      <c r="C77">
        <v>1200</v>
      </c>
      <c r="D77" t="s">
        <v>190</v>
      </c>
      <c r="E77">
        <v>1000000</v>
      </c>
      <c r="F77" t="s">
        <v>191</v>
      </c>
      <c r="G77">
        <v>12345</v>
      </c>
      <c r="H77" t="s">
        <v>216</v>
      </c>
      <c r="I77">
        <v>1</v>
      </c>
      <c r="J77" t="s">
        <v>192</v>
      </c>
      <c r="K77">
        <v>1E-4</v>
      </c>
      <c r="L77" t="s">
        <v>3</v>
      </c>
      <c r="M77">
        <v>0.99990979999999996</v>
      </c>
      <c r="N77" t="s">
        <v>2</v>
      </c>
      <c r="O77">
        <v>1.1488E-2</v>
      </c>
      <c r="P77" t="s">
        <v>17</v>
      </c>
      <c r="Q77">
        <v>40</v>
      </c>
      <c r="R77" t="s">
        <v>0</v>
      </c>
      <c r="S77">
        <v>1200.5999999999999</v>
      </c>
      <c r="T77" t="s">
        <v>152</v>
      </c>
      <c r="U77">
        <v>8</v>
      </c>
      <c r="V77" t="s">
        <v>153</v>
      </c>
      <c r="W77">
        <v>61</v>
      </c>
      <c r="X77" t="s">
        <v>151</v>
      </c>
      <c r="Y77">
        <v>147243</v>
      </c>
      <c r="Z77" t="s">
        <v>1</v>
      </c>
      <c r="AA77" t="s">
        <v>256</v>
      </c>
      <c r="AB77" t="s">
        <v>4</v>
      </c>
      <c r="AC77">
        <v>0.9999055</v>
      </c>
      <c r="AD77" t="s">
        <v>5</v>
      </c>
      <c r="AE77">
        <v>1.1768000000000001E-2</v>
      </c>
    </row>
    <row r="78" spans="1:31" x14ac:dyDescent="0.25">
      <c r="A78" t="s">
        <v>102</v>
      </c>
      <c r="B78" t="s">
        <v>189</v>
      </c>
      <c r="C78">
        <v>1200</v>
      </c>
      <c r="D78" t="s">
        <v>190</v>
      </c>
      <c r="E78">
        <v>1000000</v>
      </c>
      <c r="F78" t="s">
        <v>191</v>
      </c>
      <c r="G78">
        <v>12345</v>
      </c>
      <c r="H78" t="s">
        <v>216</v>
      </c>
      <c r="I78">
        <v>1</v>
      </c>
      <c r="J78" t="s">
        <v>192</v>
      </c>
      <c r="K78">
        <v>1E-4</v>
      </c>
      <c r="L78" t="s">
        <v>3</v>
      </c>
      <c r="M78">
        <v>1</v>
      </c>
      <c r="N78" t="s">
        <v>2</v>
      </c>
      <c r="O78">
        <v>0</v>
      </c>
      <c r="P78" t="s">
        <v>17</v>
      </c>
      <c r="Q78">
        <v>12</v>
      </c>
      <c r="R78" t="s">
        <v>0</v>
      </c>
      <c r="S78">
        <v>16.2</v>
      </c>
      <c r="T78" t="s">
        <v>152</v>
      </c>
      <c r="U78">
        <v>1</v>
      </c>
      <c r="V78" t="s">
        <v>153</v>
      </c>
      <c r="W78">
        <v>4</v>
      </c>
      <c r="X78" t="s">
        <v>151</v>
      </c>
      <c r="Y78">
        <v>2574</v>
      </c>
      <c r="Z78" t="s">
        <v>1</v>
      </c>
      <c r="AA78" t="s">
        <v>177</v>
      </c>
      <c r="AB78" t="s">
        <v>4</v>
      </c>
      <c r="AC78">
        <v>1</v>
      </c>
      <c r="AD78" t="s">
        <v>5</v>
      </c>
      <c r="AE78">
        <v>0</v>
      </c>
    </row>
    <row r="79" spans="1:31" x14ac:dyDescent="0.25">
      <c r="A79" t="s">
        <v>61</v>
      </c>
      <c r="B79" t="s">
        <v>189</v>
      </c>
      <c r="C79">
        <v>1200</v>
      </c>
      <c r="D79" t="s">
        <v>190</v>
      </c>
      <c r="E79">
        <v>1000000</v>
      </c>
      <c r="F79" t="s">
        <v>191</v>
      </c>
      <c r="G79">
        <v>12345</v>
      </c>
      <c r="H79" t="s">
        <v>216</v>
      </c>
      <c r="I79">
        <v>1</v>
      </c>
      <c r="J79" t="s">
        <v>192</v>
      </c>
      <c r="K79">
        <v>1E-4</v>
      </c>
      <c r="L79" t="s">
        <v>3</v>
      </c>
      <c r="M79">
        <v>1</v>
      </c>
      <c r="N79" t="s">
        <v>2</v>
      </c>
      <c r="O79">
        <v>0</v>
      </c>
      <c r="P79" t="s">
        <v>17</v>
      </c>
      <c r="Q79">
        <v>19</v>
      </c>
      <c r="R79" t="s">
        <v>0</v>
      </c>
      <c r="S79">
        <v>514.9</v>
      </c>
      <c r="T79" t="s">
        <v>152</v>
      </c>
      <c r="U79">
        <v>7</v>
      </c>
      <c r="V79" t="s">
        <v>153</v>
      </c>
      <c r="W79">
        <v>28</v>
      </c>
      <c r="X79" t="s">
        <v>151</v>
      </c>
      <c r="Y79">
        <v>54043</v>
      </c>
      <c r="Z79" t="s">
        <v>1</v>
      </c>
      <c r="AA79" t="s">
        <v>173</v>
      </c>
      <c r="AB79" t="s">
        <v>4</v>
      </c>
      <c r="AC79">
        <v>1</v>
      </c>
      <c r="AD79" t="s">
        <v>5</v>
      </c>
      <c r="AE79">
        <v>0</v>
      </c>
    </row>
    <row r="80" spans="1:31" x14ac:dyDescent="0.25">
      <c r="A80" t="s">
        <v>71</v>
      </c>
      <c r="B80" t="s">
        <v>189</v>
      </c>
      <c r="C80">
        <v>1200</v>
      </c>
      <c r="D80" t="s">
        <v>190</v>
      </c>
      <c r="E80">
        <v>1000000</v>
      </c>
      <c r="F80" t="s">
        <v>191</v>
      </c>
      <c r="G80">
        <v>12345</v>
      </c>
      <c r="H80" t="s">
        <v>216</v>
      </c>
      <c r="I80">
        <v>1</v>
      </c>
      <c r="J80" t="s">
        <v>192</v>
      </c>
      <c r="K80">
        <v>1E-4</v>
      </c>
      <c r="L80" t="s">
        <v>3</v>
      </c>
      <c r="M80">
        <v>1</v>
      </c>
      <c r="N80" t="s">
        <v>2</v>
      </c>
      <c r="O80">
        <v>0</v>
      </c>
      <c r="P80" t="s">
        <v>17</v>
      </c>
      <c r="Q80">
        <v>10</v>
      </c>
      <c r="R80" t="s">
        <v>0</v>
      </c>
      <c r="S80">
        <v>8.5</v>
      </c>
      <c r="T80" t="s">
        <v>152</v>
      </c>
      <c r="U80">
        <v>1</v>
      </c>
      <c r="V80" t="s">
        <v>153</v>
      </c>
      <c r="W80">
        <v>3</v>
      </c>
      <c r="X80" t="s">
        <v>151</v>
      </c>
      <c r="Y80">
        <v>1492</v>
      </c>
      <c r="Z80" t="s">
        <v>1</v>
      </c>
      <c r="AA80" t="s">
        <v>211</v>
      </c>
      <c r="AB80" t="s">
        <v>4</v>
      </c>
      <c r="AC80">
        <v>1</v>
      </c>
      <c r="AD80" t="s">
        <v>5</v>
      </c>
      <c r="AE80">
        <v>0</v>
      </c>
    </row>
    <row r="81" spans="1:31" x14ac:dyDescent="0.25">
      <c r="A81" t="s">
        <v>81</v>
      </c>
      <c r="B81" t="s">
        <v>189</v>
      </c>
      <c r="C81">
        <v>1200</v>
      </c>
      <c r="D81" t="s">
        <v>190</v>
      </c>
      <c r="E81">
        <v>1000000</v>
      </c>
      <c r="F81" t="s">
        <v>191</v>
      </c>
      <c r="G81">
        <v>12345</v>
      </c>
      <c r="H81" t="s">
        <v>216</v>
      </c>
      <c r="I81">
        <v>1</v>
      </c>
      <c r="J81" t="s">
        <v>192</v>
      </c>
      <c r="K81">
        <v>1E-4</v>
      </c>
      <c r="L81" t="s">
        <v>3</v>
      </c>
      <c r="M81">
        <v>1</v>
      </c>
      <c r="N81" t="s">
        <v>2</v>
      </c>
      <c r="O81">
        <v>0</v>
      </c>
      <c r="P81" t="s">
        <v>17</v>
      </c>
      <c r="Q81">
        <v>12</v>
      </c>
      <c r="R81" t="s">
        <v>0</v>
      </c>
      <c r="S81">
        <v>10.5</v>
      </c>
      <c r="T81" t="s">
        <v>152</v>
      </c>
      <c r="U81">
        <v>1</v>
      </c>
      <c r="V81" t="s">
        <v>153</v>
      </c>
      <c r="W81">
        <v>3</v>
      </c>
      <c r="X81" t="s">
        <v>151</v>
      </c>
      <c r="Y81">
        <v>1736</v>
      </c>
      <c r="Z81" t="s">
        <v>1</v>
      </c>
      <c r="AA81" t="s">
        <v>174</v>
      </c>
      <c r="AB81" t="s">
        <v>4</v>
      </c>
      <c r="AC81">
        <v>1</v>
      </c>
      <c r="AD81" t="s">
        <v>5</v>
      </c>
      <c r="AE81">
        <v>0</v>
      </c>
    </row>
    <row r="82" spans="1:31" x14ac:dyDescent="0.25">
      <c r="A82" t="s">
        <v>57</v>
      </c>
      <c r="B82" t="s">
        <v>189</v>
      </c>
      <c r="C82">
        <v>1200</v>
      </c>
      <c r="D82" t="s">
        <v>190</v>
      </c>
      <c r="E82">
        <v>1000000</v>
      </c>
      <c r="F82" t="s">
        <v>191</v>
      </c>
      <c r="G82">
        <v>12345</v>
      </c>
      <c r="H82" t="s">
        <v>216</v>
      </c>
      <c r="I82">
        <v>1</v>
      </c>
      <c r="J82" t="s">
        <v>192</v>
      </c>
      <c r="K82">
        <v>1E-4</v>
      </c>
      <c r="L82" t="s">
        <v>3</v>
      </c>
      <c r="M82">
        <v>0.99999950000000004</v>
      </c>
      <c r="N82" t="s">
        <v>2</v>
      </c>
      <c r="O82">
        <v>8.4179999999999997E-4</v>
      </c>
      <c r="P82" t="s">
        <v>17</v>
      </c>
      <c r="Q82">
        <v>25</v>
      </c>
      <c r="R82" t="s">
        <v>0</v>
      </c>
      <c r="S82">
        <v>1201.5</v>
      </c>
      <c r="T82" t="s">
        <v>152</v>
      </c>
      <c r="U82">
        <v>14</v>
      </c>
      <c r="V82" t="s">
        <v>153</v>
      </c>
      <c r="W82">
        <v>85</v>
      </c>
      <c r="X82" t="s">
        <v>151</v>
      </c>
      <c r="Y82">
        <v>129494</v>
      </c>
      <c r="Z82" t="s">
        <v>1</v>
      </c>
      <c r="AA82" t="s">
        <v>236</v>
      </c>
      <c r="AB82" t="s">
        <v>4</v>
      </c>
      <c r="AC82">
        <v>0.99999950000000004</v>
      </c>
      <c r="AD82" t="s">
        <v>5</v>
      </c>
      <c r="AE82">
        <v>8.6399999999999997E-4</v>
      </c>
    </row>
    <row r="83" spans="1:31" x14ac:dyDescent="0.25">
      <c r="A83" t="s">
        <v>58</v>
      </c>
      <c r="B83" t="s">
        <v>189</v>
      </c>
      <c r="C83">
        <v>1200</v>
      </c>
      <c r="D83" t="s">
        <v>190</v>
      </c>
      <c r="E83">
        <v>1000000</v>
      </c>
      <c r="F83" t="s">
        <v>191</v>
      </c>
      <c r="G83">
        <v>12345</v>
      </c>
      <c r="H83" t="s">
        <v>216</v>
      </c>
      <c r="I83">
        <v>1</v>
      </c>
      <c r="J83" t="s">
        <v>192</v>
      </c>
      <c r="K83">
        <v>1E-4</v>
      </c>
      <c r="L83" t="s">
        <v>3</v>
      </c>
      <c r="M83">
        <v>0.99999959999999999</v>
      </c>
      <c r="N83" t="s">
        <v>2</v>
      </c>
      <c r="O83">
        <v>7.6009999999999999E-4</v>
      </c>
      <c r="P83" t="s">
        <v>17</v>
      </c>
      <c r="Q83">
        <v>19</v>
      </c>
      <c r="R83" t="s">
        <v>0</v>
      </c>
      <c r="S83">
        <v>1200.2</v>
      </c>
      <c r="T83" t="s">
        <v>152</v>
      </c>
      <c r="U83">
        <v>17</v>
      </c>
      <c r="V83" t="s">
        <v>153</v>
      </c>
      <c r="W83">
        <v>79</v>
      </c>
      <c r="X83" t="s">
        <v>151</v>
      </c>
      <c r="Y83">
        <v>125973</v>
      </c>
      <c r="Z83" t="s">
        <v>1</v>
      </c>
      <c r="AA83" t="s">
        <v>242</v>
      </c>
      <c r="AB83" t="s">
        <v>4</v>
      </c>
      <c r="AC83">
        <v>0.99999959999999999</v>
      </c>
      <c r="AD83" t="s">
        <v>5</v>
      </c>
      <c r="AE83">
        <v>7.5960000000000003E-4</v>
      </c>
    </row>
    <row r="84" spans="1:31" x14ac:dyDescent="0.25">
      <c r="A84" t="s">
        <v>68</v>
      </c>
      <c r="B84" t="s">
        <v>189</v>
      </c>
      <c r="C84">
        <v>1200</v>
      </c>
      <c r="D84" t="s">
        <v>190</v>
      </c>
      <c r="E84">
        <v>1000000</v>
      </c>
      <c r="F84" t="s">
        <v>191</v>
      </c>
      <c r="G84">
        <v>12345</v>
      </c>
      <c r="H84" t="s">
        <v>216</v>
      </c>
      <c r="I84">
        <v>1</v>
      </c>
      <c r="J84" t="s">
        <v>192</v>
      </c>
      <c r="K84">
        <v>1E-4</v>
      </c>
      <c r="L84" t="s">
        <v>3</v>
      </c>
      <c r="M84">
        <v>1</v>
      </c>
      <c r="N84" t="s">
        <v>2</v>
      </c>
      <c r="O84">
        <v>0</v>
      </c>
      <c r="P84" t="s">
        <v>17</v>
      </c>
      <c r="Q84">
        <v>14</v>
      </c>
      <c r="R84" t="s">
        <v>0</v>
      </c>
      <c r="S84">
        <v>21.7</v>
      </c>
      <c r="T84" t="s">
        <v>152</v>
      </c>
      <c r="U84">
        <v>1</v>
      </c>
      <c r="V84" t="s">
        <v>153</v>
      </c>
      <c r="W84">
        <v>5</v>
      </c>
      <c r="X84" t="s">
        <v>151</v>
      </c>
      <c r="Y84">
        <v>3364</v>
      </c>
      <c r="Z84" t="s">
        <v>1</v>
      </c>
      <c r="AA84" t="s">
        <v>244</v>
      </c>
      <c r="AB84" t="s">
        <v>4</v>
      </c>
      <c r="AC84">
        <v>1</v>
      </c>
      <c r="AD84" t="s">
        <v>5</v>
      </c>
      <c r="AE84">
        <v>0</v>
      </c>
    </row>
    <row r="85" spans="1:31" x14ac:dyDescent="0.25">
      <c r="A85" t="s">
        <v>78</v>
      </c>
      <c r="B85" t="s">
        <v>189</v>
      </c>
      <c r="C85">
        <v>1200</v>
      </c>
      <c r="D85" t="s">
        <v>190</v>
      </c>
      <c r="E85">
        <v>1000000</v>
      </c>
      <c r="F85" t="s">
        <v>191</v>
      </c>
      <c r="G85">
        <v>12345</v>
      </c>
      <c r="H85" t="s">
        <v>216</v>
      </c>
      <c r="I85">
        <v>1</v>
      </c>
      <c r="J85" t="s">
        <v>192</v>
      </c>
      <c r="K85">
        <v>1E-4</v>
      </c>
      <c r="L85" t="s">
        <v>3</v>
      </c>
      <c r="M85">
        <v>1</v>
      </c>
      <c r="N85" t="s">
        <v>2</v>
      </c>
      <c r="O85">
        <v>0</v>
      </c>
      <c r="P85" t="s">
        <v>17</v>
      </c>
      <c r="Q85">
        <v>9</v>
      </c>
      <c r="R85" t="s">
        <v>0</v>
      </c>
      <c r="S85">
        <v>9.1999999999999993</v>
      </c>
      <c r="T85" t="s">
        <v>152</v>
      </c>
      <c r="U85">
        <v>1</v>
      </c>
      <c r="V85" t="s">
        <v>153</v>
      </c>
      <c r="W85">
        <v>4</v>
      </c>
      <c r="X85" t="s">
        <v>151</v>
      </c>
      <c r="Y85">
        <v>1546</v>
      </c>
      <c r="Z85" t="s">
        <v>1</v>
      </c>
      <c r="AA85" t="s">
        <v>186</v>
      </c>
      <c r="AB85" t="s">
        <v>4</v>
      </c>
      <c r="AC85">
        <v>1</v>
      </c>
      <c r="AD85" t="s">
        <v>5</v>
      </c>
      <c r="AE85">
        <v>0</v>
      </c>
    </row>
    <row r="86" spans="1:31" x14ac:dyDescent="0.25">
      <c r="A86" t="s">
        <v>105</v>
      </c>
      <c r="B86" t="s">
        <v>189</v>
      </c>
      <c r="C86">
        <v>1200</v>
      </c>
      <c r="D86" t="s">
        <v>190</v>
      </c>
      <c r="E86">
        <v>1000000</v>
      </c>
      <c r="F86" t="s">
        <v>191</v>
      </c>
      <c r="G86">
        <v>12345</v>
      </c>
      <c r="H86" t="s">
        <v>216</v>
      </c>
      <c r="I86">
        <v>1</v>
      </c>
      <c r="J86" t="s">
        <v>192</v>
      </c>
      <c r="K86">
        <v>1E-4</v>
      </c>
      <c r="L86" t="s">
        <v>3</v>
      </c>
      <c r="M86">
        <v>1</v>
      </c>
      <c r="N86" t="s">
        <v>2</v>
      </c>
      <c r="O86">
        <v>0</v>
      </c>
      <c r="P86" t="s">
        <v>17</v>
      </c>
      <c r="Q86">
        <v>22</v>
      </c>
      <c r="R86" t="s">
        <v>0</v>
      </c>
      <c r="S86">
        <v>1161.5</v>
      </c>
      <c r="T86" t="s">
        <v>152</v>
      </c>
      <c r="U86">
        <v>5</v>
      </c>
      <c r="V86" t="s">
        <v>153</v>
      </c>
      <c r="W86">
        <v>57</v>
      </c>
      <c r="X86" t="s">
        <v>151</v>
      </c>
      <c r="Y86">
        <v>122559</v>
      </c>
      <c r="Z86" t="s">
        <v>1</v>
      </c>
      <c r="AA86" t="s">
        <v>185</v>
      </c>
      <c r="AB86" t="s">
        <v>4</v>
      </c>
      <c r="AC86">
        <v>1</v>
      </c>
      <c r="AD86" t="s">
        <v>5</v>
      </c>
      <c r="AE86">
        <v>0</v>
      </c>
    </row>
    <row r="87" spans="1:31" x14ac:dyDescent="0.25">
      <c r="A87" t="s">
        <v>64</v>
      </c>
      <c r="B87" t="s">
        <v>189</v>
      </c>
      <c r="C87">
        <v>1200</v>
      </c>
      <c r="D87" t="s">
        <v>190</v>
      </c>
      <c r="E87">
        <v>1000000</v>
      </c>
      <c r="F87" t="s">
        <v>191</v>
      </c>
      <c r="G87">
        <v>12345</v>
      </c>
      <c r="H87" t="s">
        <v>216</v>
      </c>
      <c r="I87">
        <v>1</v>
      </c>
      <c r="J87" t="s">
        <v>192</v>
      </c>
      <c r="K87">
        <v>1E-4</v>
      </c>
      <c r="L87" t="s">
        <v>3</v>
      </c>
      <c r="M87">
        <v>0.60828570000000004</v>
      </c>
      <c r="N87" t="s">
        <v>2</v>
      </c>
      <c r="O87">
        <v>1.6103856000000001</v>
      </c>
      <c r="P87" t="s">
        <v>17</v>
      </c>
      <c r="Q87">
        <v>110</v>
      </c>
      <c r="R87" t="s">
        <v>0</v>
      </c>
      <c r="S87">
        <v>1201.4000000000001</v>
      </c>
      <c r="T87" t="s">
        <v>152</v>
      </c>
      <c r="U87">
        <v>1</v>
      </c>
      <c r="V87" t="s">
        <v>153</v>
      </c>
      <c r="W87">
        <v>30</v>
      </c>
      <c r="X87" t="s">
        <v>151</v>
      </c>
      <c r="Y87">
        <v>87195</v>
      </c>
      <c r="Z87" t="s">
        <v>1</v>
      </c>
      <c r="AA87" t="e" cm="1">
        <f t="array" aca="1" ref="AA87" ca="1">-0.8331690178846+(-1.0195538978588*pow((-1+(0.25*pow(V2,1.8))),2))+(-34.2389226579804*pow(V1,-6.6))+((16.0247101038712*V2)*pow(V1,-5))+((0.0000139123196*v0)*EXP((2.3677440438966*V1)))+((2.9439016975316*v0)*pow((V1+(-0.5*pow(V1,-1))),-1))+((37.5367766564685*pow((-1+(0.5*V2)),2))*SIN(pow(V1,-1)))+((-209.050475354347*pow(V1,-2))*pow((-1+(0.7071067811865*pow(V2,0.55))),2))+((-1.3089268485598*v0)*pow((-1+(0.7071067811865*pow((V1*pow(V2,-1)),0.55))),2))+(((-0.5062910325045*v0)*V2)*pow(V1,-1))</f>
        <v>#NAME?</v>
      </c>
      <c r="AB87" t="s">
        <v>4</v>
      </c>
      <c r="AC87">
        <v>0.60533930000000002</v>
      </c>
      <c r="AD87" t="s">
        <v>5</v>
      </c>
      <c r="AE87">
        <v>1.6233734</v>
      </c>
    </row>
    <row r="88" spans="1:31" x14ac:dyDescent="0.25">
      <c r="A88" t="s">
        <v>96</v>
      </c>
      <c r="B88" t="s">
        <v>189</v>
      </c>
      <c r="C88">
        <v>1200</v>
      </c>
      <c r="D88" t="s">
        <v>190</v>
      </c>
      <c r="E88">
        <v>1000000</v>
      </c>
      <c r="F88" t="s">
        <v>191</v>
      </c>
      <c r="G88">
        <v>12345</v>
      </c>
      <c r="H88" t="s">
        <v>216</v>
      </c>
      <c r="I88">
        <v>1</v>
      </c>
      <c r="J88" t="s">
        <v>192</v>
      </c>
      <c r="K88">
        <v>1E-4</v>
      </c>
      <c r="L88" t="s">
        <v>3</v>
      </c>
      <c r="M88">
        <v>0.99999990000000005</v>
      </c>
      <c r="N88" t="s">
        <v>2</v>
      </c>
      <c r="O88">
        <v>1.2324E-3</v>
      </c>
      <c r="P88" t="s">
        <v>17</v>
      </c>
      <c r="Q88">
        <v>32</v>
      </c>
      <c r="R88" t="s">
        <v>0</v>
      </c>
      <c r="S88">
        <v>1201.5999999999999</v>
      </c>
      <c r="T88" t="s">
        <v>152</v>
      </c>
      <c r="U88">
        <v>16</v>
      </c>
      <c r="V88" t="s">
        <v>153</v>
      </c>
      <c r="W88">
        <v>59</v>
      </c>
      <c r="X88" t="s">
        <v>151</v>
      </c>
      <c r="Y88">
        <v>104223</v>
      </c>
      <c r="Z88" t="s">
        <v>1</v>
      </c>
      <c r="AA88" t="s">
        <v>255</v>
      </c>
      <c r="AB88" t="s">
        <v>4</v>
      </c>
      <c r="AC88">
        <v>0.99999990000000005</v>
      </c>
      <c r="AD88" t="s">
        <v>5</v>
      </c>
      <c r="AE88">
        <v>1.5120999999999999E-3</v>
      </c>
    </row>
    <row r="89" spans="1:31" x14ac:dyDescent="0.25">
      <c r="A89" t="s">
        <v>106</v>
      </c>
      <c r="B89" t="s">
        <v>189</v>
      </c>
      <c r="C89">
        <v>1200</v>
      </c>
      <c r="D89" t="s">
        <v>190</v>
      </c>
      <c r="E89">
        <v>1000000</v>
      </c>
      <c r="F89" t="s">
        <v>191</v>
      </c>
      <c r="G89">
        <v>12345</v>
      </c>
      <c r="H89" t="s">
        <v>216</v>
      </c>
      <c r="I89">
        <v>1</v>
      </c>
      <c r="J89" t="s">
        <v>192</v>
      </c>
      <c r="K89">
        <v>1E-4</v>
      </c>
      <c r="L89" t="s">
        <v>3</v>
      </c>
      <c r="M89">
        <v>1</v>
      </c>
      <c r="N89" t="s">
        <v>2</v>
      </c>
      <c r="O89">
        <v>0</v>
      </c>
      <c r="P89" t="s">
        <v>17</v>
      </c>
      <c r="Q89">
        <v>24</v>
      </c>
      <c r="R89" t="s">
        <v>0</v>
      </c>
      <c r="S89">
        <v>77.5</v>
      </c>
      <c r="T89" t="s">
        <v>152</v>
      </c>
      <c r="U89">
        <v>1</v>
      </c>
      <c r="V89" t="s">
        <v>153</v>
      </c>
      <c r="W89">
        <v>8</v>
      </c>
      <c r="X89" t="s">
        <v>151</v>
      </c>
      <c r="Y89">
        <v>9635</v>
      </c>
      <c r="Z89" t="s">
        <v>1</v>
      </c>
      <c r="AA89" t="s">
        <v>184</v>
      </c>
      <c r="AB89" t="s">
        <v>4</v>
      </c>
      <c r="AC89">
        <v>1</v>
      </c>
      <c r="AD89" t="s">
        <v>5</v>
      </c>
      <c r="AE89">
        <v>0</v>
      </c>
    </row>
    <row r="90" spans="1:31" x14ac:dyDescent="0.25">
      <c r="A90" t="s">
        <v>116</v>
      </c>
      <c r="B90" t="s">
        <v>189</v>
      </c>
      <c r="C90">
        <v>1200</v>
      </c>
      <c r="D90" t="s">
        <v>190</v>
      </c>
      <c r="E90">
        <v>1000000</v>
      </c>
      <c r="F90" t="s">
        <v>191</v>
      </c>
      <c r="G90">
        <v>12345</v>
      </c>
      <c r="H90" t="s">
        <v>216</v>
      </c>
      <c r="I90">
        <v>1</v>
      </c>
      <c r="J90" t="s">
        <v>192</v>
      </c>
      <c r="K90">
        <v>1E-4</v>
      </c>
      <c r="L90" t="s">
        <v>3</v>
      </c>
      <c r="M90">
        <v>1</v>
      </c>
      <c r="N90" t="s">
        <v>2</v>
      </c>
      <c r="O90">
        <v>0</v>
      </c>
      <c r="P90" t="s">
        <v>17</v>
      </c>
      <c r="Q90">
        <v>15</v>
      </c>
      <c r="R90" t="s">
        <v>0</v>
      </c>
      <c r="S90">
        <v>45</v>
      </c>
      <c r="T90" t="s">
        <v>152</v>
      </c>
      <c r="U90">
        <v>1</v>
      </c>
      <c r="V90" t="s">
        <v>153</v>
      </c>
      <c r="W90">
        <v>7</v>
      </c>
      <c r="X90" t="s">
        <v>151</v>
      </c>
      <c r="Y90">
        <v>6143</v>
      </c>
      <c r="Z90" t="s">
        <v>1</v>
      </c>
      <c r="AA90" t="s">
        <v>170</v>
      </c>
      <c r="AB90" t="s">
        <v>4</v>
      </c>
      <c r="AC90">
        <v>1</v>
      </c>
      <c r="AD90" t="s">
        <v>5</v>
      </c>
      <c r="AE90">
        <v>0</v>
      </c>
    </row>
    <row r="91" spans="1:31" x14ac:dyDescent="0.25">
      <c r="A91" t="s">
        <v>140</v>
      </c>
      <c r="B91" t="s">
        <v>189</v>
      </c>
      <c r="C91">
        <v>1200</v>
      </c>
      <c r="D91" t="s">
        <v>190</v>
      </c>
      <c r="E91">
        <v>1000000</v>
      </c>
      <c r="F91" t="s">
        <v>191</v>
      </c>
      <c r="G91">
        <v>12345</v>
      </c>
      <c r="H91" t="s">
        <v>216</v>
      </c>
      <c r="I91">
        <v>1</v>
      </c>
      <c r="J91" t="s">
        <v>192</v>
      </c>
      <c r="K91">
        <v>1E-4</v>
      </c>
      <c r="L91" t="s">
        <v>3</v>
      </c>
      <c r="M91">
        <v>0.99848729999999997</v>
      </c>
      <c r="N91" t="s">
        <v>2</v>
      </c>
      <c r="O91">
        <v>1.1135442</v>
      </c>
      <c r="P91" t="s">
        <v>17</v>
      </c>
      <c r="Q91">
        <v>115</v>
      </c>
      <c r="R91" t="s">
        <v>0</v>
      </c>
      <c r="S91">
        <v>1203.5999999999999</v>
      </c>
      <c r="T91" t="s">
        <v>152</v>
      </c>
      <c r="U91">
        <v>1</v>
      </c>
      <c r="V91" t="s">
        <v>153</v>
      </c>
      <c r="W91">
        <v>26</v>
      </c>
      <c r="X91" t="s">
        <v>151</v>
      </c>
      <c r="Y91">
        <v>74177</v>
      </c>
      <c r="Z91" t="s">
        <v>1</v>
      </c>
      <c r="AA91" t="e" cm="1">
        <f t="array" aca="1" ref="AA91" ca="1">-1.0404459671531+(1.3742568976784*V5)+(0.719215478565*V2)+(0.3620146770577*v0)+(-0.3592797988523*pow(((-1*V1)+(V1*pow(V3,-1))),2))+((1.0005564505266*v0)*pow(V1,2))+((0.1588215916228*V5)*pow(V3,2))+((0.2155570932424*V3)*pow(V4,2))+((-0.510524156457*V1)*V4)+((-0.4051824553723*V2)*V4)+((-0.0758077998629*V4)*pow(V3,2))+(((0.3529092051264*V1)*V3)*V4)+(((-0.094564884449*v0)*V3)*V4)+(((-0.0268988143093*V1)*V2)*pow(V3,2))+((((0.2836286148386*V4)*pow(v0,-1))*pow(V3,2))*LOG((v0*V1)))</f>
        <v>#VALUE!</v>
      </c>
      <c r="AB91" t="s">
        <v>4</v>
      </c>
      <c r="AC91">
        <v>0.99842640000000005</v>
      </c>
      <c r="AD91" t="s">
        <v>5</v>
      </c>
      <c r="AE91">
        <v>1.1232928</v>
      </c>
    </row>
    <row r="92" spans="1:31" x14ac:dyDescent="0.25">
      <c r="A92" t="s">
        <v>126</v>
      </c>
      <c r="B92" t="s">
        <v>189</v>
      </c>
      <c r="C92">
        <v>1200</v>
      </c>
      <c r="D92" t="s">
        <v>190</v>
      </c>
      <c r="E92">
        <v>1000000</v>
      </c>
      <c r="F92" t="s">
        <v>191</v>
      </c>
      <c r="G92">
        <v>12345</v>
      </c>
      <c r="H92" t="s">
        <v>216</v>
      </c>
      <c r="I92">
        <v>1</v>
      </c>
      <c r="J92" t="s">
        <v>192</v>
      </c>
      <c r="K92">
        <v>1E-4</v>
      </c>
      <c r="L92" t="s">
        <v>3</v>
      </c>
      <c r="M92">
        <v>1</v>
      </c>
      <c r="N92" t="s">
        <v>2</v>
      </c>
      <c r="O92">
        <v>0</v>
      </c>
      <c r="P92" t="s">
        <v>17</v>
      </c>
      <c r="Q92">
        <v>24</v>
      </c>
      <c r="R92" t="s">
        <v>0</v>
      </c>
      <c r="S92">
        <v>81.8</v>
      </c>
      <c r="T92" t="s">
        <v>152</v>
      </c>
      <c r="U92">
        <v>1</v>
      </c>
      <c r="V92" t="s">
        <v>153</v>
      </c>
      <c r="W92">
        <v>8</v>
      </c>
      <c r="X92" t="s">
        <v>151</v>
      </c>
      <c r="Y92">
        <v>10474</v>
      </c>
      <c r="Z92" t="s">
        <v>1</v>
      </c>
      <c r="AA92" t="s">
        <v>258</v>
      </c>
      <c r="AB92" t="s">
        <v>4</v>
      </c>
      <c r="AC92">
        <v>1</v>
      </c>
      <c r="AD92" t="s">
        <v>5</v>
      </c>
      <c r="AE92">
        <v>0</v>
      </c>
    </row>
    <row r="93" spans="1:31" x14ac:dyDescent="0.25">
      <c r="A93" t="s">
        <v>112</v>
      </c>
      <c r="B93" t="s">
        <v>189</v>
      </c>
      <c r="C93">
        <v>1200</v>
      </c>
      <c r="D93" t="s">
        <v>190</v>
      </c>
      <c r="E93">
        <v>1000000</v>
      </c>
      <c r="F93" t="s">
        <v>191</v>
      </c>
      <c r="G93">
        <v>12345</v>
      </c>
      <c r="H93" t="s">
        <v>216</v>
      </c>
      <c r="I93">
        <v>1</v>
      </c>
      <c r="J93" t="s">
        <v>192</v>
      </c>
      <c r="K93">
        <v>1E-4</v>
      </c>
      <c r="L93" t="s">
        <v>3</v>
      </c>
      <c r="M93">
        <v>0.99999970000000005</v>
      </c>
      <c r="N93" t="s">
        <v>2</v>
      </c>
      <c r="O93">
        <v>4.1389999999999998E-4</v>
      </c>
      <c r="P93" t="s">
        <v>17</v>
      </c>
      <c r="Q93">
        <v>31</v>
      </c>
      <c r="R93" t="s">
        <v>0</v>
      </c>
      <c r="S93">
        <v>1200.0999999999999</v>
      </c>
      <c r="T93" t="s">
        <v>152</v>
      </c>
      <c r="U93">
        <v>7</v>
      </c>
      <c r="V93" t="s">
        <v>153</v>
      </c>
      <c r="W93">
        <v>37</v>
      </c>
      <c r="X93" t="s">
        <v>151</v>
      </c>
      <c r="Y93">
        <v>116988</v>
      </c>
      <c r="Z93" t="s">
        <v>1</v>
      </c>
      <c r="AA93" t="s">
        <v>313</v>
      </c>
      <c r="AB93" t="s">
        <v>4</v>
      </c>
      <c r="AC93">
        <v>0.99999970000000005</v>
      </c>
      <c r="AD93" t="s">
        <v>5</v>
      </c>
      <c r="AE93">
        <v>4.059E-4</v>
      </c>
    </row>
    <row r="94" spans="1:31" x14ac:dyDescent="0.25">
      <c r="A94" t="s">
        <v>122</v>
      </c>
      <c r="B94" t="s">
        <v>189</v>
      </c>
      <c r="C94">
        <v>1200</v>
      </c>
      <c r="D94" t="s">
        <v>190</v>
      </c>
      <c r="E94">
        <v>1000000</v>
      </c>
      <c r="F94" t="s">
        <v>191</v>
      </c>
      <c r="G94">
        <v>12345</v>
      </c>
      <c r="H94" t="s">
        <v>216</v>
      </c>
      <c r="I94">
        <v>1</v>
      </c>
      <c r="J94" t="s">
        <v>192</v>
      </c>
      <c r="K94">
        <v>1E-4</v>
      </c>
      <c r="L94" t="s">
        <v>3</v>
      </c>
      <c r="M94">
        <v>1</v>
      </c>
      <c r="N94" t="s">
        <v>2</v>
      </c>
      <c r="O94">
        <v>0</v>
      </c>
      <c r="P94" t="s">
        <v>17</v>
      </c>
      <c r="Q94">
        <v>18</v>
      </c>
      <c r="R94" t="s">
        <v>0</v>
      </c>
      <c r="S94">
        <v>44</v>
      </c>
      <c r="T94" t="s">
        <v>152</v>
      </c>
      <c r="U94">
        <v>1</v>
      </c>
      <c r="V94" t="s">
        <v>153</v>
      </c>
      <c r="W94">
        <v>6</v>
      </c>
      <c r="X94" t="s">
        <v>151</v>
      </c>
      <c r="Y94">
        <v>6199</v>
      </c>
      <c r="Z94" t="s">
        <v>1</v>
      </c>
      <c r="AA94" t="s">
        <v>171</v>
      </c>
      <c r="AB94" t="s">
        <v>4</v>
      </c>
      <c r="AC94">
        <v>1</v>
      </c>
      <c r="AD94" t="s">
        <v>5</v>
      </c>
      <c r="AE94">
        <v>0</v>
      </c>
    </row>
    <row r="95" spans="1:31" x14ac:dyDescent="0.25">
      <c r="A95" t="s">
        <v>115</v>
      </c>
      <c r="B95" t="s">
        <v>189</v>
      </c>
      <c r="C95">
        <v>1200</v>
      </c>
      <c r="D95" t="s">
        <v>190</v>
      </c>
      <c r="E95">
        <v>1000000</v>
      </c>
      <c r="F95" t="s">
        <v>191</v>
      </c>
      <c r="G95">
        <v>12345</v>
      </c>
      <c r="H95" t="s">
        <v>216</v>
      </c>
      <c r="I95">
        <v>1</v>
      </c>
      <c r="J95" t="s">
        <v>192</v>
      </c>
      <c r="K95">
        <v>1E-4</v>
      </c>
      <c r="L95" t="s">
        <v>3</v>
      </c>
      <c r="M95">
        <v>1</v>
      </c>
      <c r="N95" t="s">
        <v>2</v>
      </c>
      <c r="O95">
        <v>0</v>
      </c>
      <c r="P95" t="s">
        <v>17</v>
      </c>
      <c r="Q95">
        <v>20</v>
      </c>
      <c r="R95" t="s">
        <v>0</v>
      </c>
      <c r="S95">
        <v>425.5</v>
      </c>
      <c r="T95" t="s">
        <v>152</v>
      </c>
      <c r="U95">
        <v>1</v>
      </c>
      <c r="V95" t="s">
        <v>153</v>
      </c>
      <c r="W95">
        <v>21</v>
      </c>
      <c r="X95" t="s">
        <v>151</v>
      </c>
      <c r="Y95">
        <v>40850</v>
      </c>
      <c r="Z95" t="s">
        <v>1</v>
      </c>
      <c r="AA95" t="s">
        <v>259</v>
      </c>
      <c r="AB95" t="s">
        <v>4</v>
      </c>
      <c r="AC95">
        <v>1</v>
      </c>
      <c r="AD95" t="s">
        <v>5</v>
      </c>
      <c r="AE95">
        <v>0</v>
      </c>
    </row>
    <row r="96" spans="1:31" x14ac:dyDescent="0.25">
      <c r="A96" t="s">
        <v>91</v>
      </c>
      <c r="B96" t="s">
        <v>189</v>
      </c>
      <c r="C96">
        <v>1200</v>
      </c>
      <c r="D96" t="s">
        <v>190</v>
      </c>
      <c r="E96">
        <v>1000000</v>
      </c>
      <c r="F96" t="s">
        <v>191</v>
      </c>
      <c r="G96">
        <v>12345</v>
      </c>
      <c r="H96" t="s">
        <v>216</v>
      </c>
      <c r="I96">
        <v>1</v>
      </c>
      <c r="J96" t="s">
        <v>192</v>
      </c>
      <c r="K96">
        <v>1E-4</v>
      </c>
      <c r="L96" t="s">
        <v>3</v>
      </c>
      <c r="M96">
        <v>0.99370780000000003</v>
      </c>
      <c r="N96" t="s">
        <v>2</v>
      </c>
      <c r="O96">
        <v>8.2355100000000001E-2</v>
      </c>
      <c r="P96" t="s">
        <v>17</v>
      </c>
      <c r="Q96">
        <v>107</v>
      </c>
      <c r="R96" t="s">
        <v>0</v>
      </c>
      <c r="S96">
        <v>1202.4000000000001</v>
      </c>
      <c r="T96" t="s">
        <v>152</v>
      </c>
      <c r="U96">
        <v>1</v>
      </c>
      <c r="V96" t="s">
        <v>153</v>
      </c>
      <c r="W96">
        <v>29</v>
      </c>
      <c r="X96" t="s">
        <v>151</v>
      </c>
      <c r="Y96">
        <v>87110</v>
      </c>
      <c r="Z96" t="s">
        <v>1</v>
      </c>
      <c r="AA96" t="s">
        <v>314</v>
      </c>
      <c r="AB96" t="s">
        <v>4</v>
      </c>
      <c r="AC96">
        <v>0.99335119999999999</v>
      </c>
      <c r="AD96" t="s">
        <v>5</v>
      </c>
      <c r="AE96">
        <v>8.4398899999999999E-2</v>
      </c>
    </row>
    <row r="97" spans="1:31" x14ac:dyDescent="0.25">
      <c r="A97" t="s">
        <v>101</v>
      </c>
      <c r="B97" t="s">
        <v>189</v>
      </c>
      <c r="C97">
        <v>1200</v>
      </c>
      <c r="D97" t="s">
        <v>190</v>
      </c>
      <c r="E97">
        <v>1000000</v>
      </c>
      <c r="F97" t="s">
        <v>191</v>
      </c>
      <c r="G97">
        <v>12345</v>
      </c>
      <c r="H97" t="s">
        <v>216</v>
      </c>
      <c r="I97">
        <v>1</v>
      </c>
      <c r="J97" t="s">
        <v>192</v>
      </c>
      <c r="K97">
        <v>1E-4</v>
      </c>
      <c r="L97" t="s">
        <v>3</v>
      </c>
      <c r="M97">
        <v>1</v>
      </c>
      <c r="N97" t="s">
        <v>2</v>
      </c>
      <c r="O97">
        <v>0</v>
      </c>
      <c r="P97" t="s">
        <v>17</v>
      </c>
      <c r="Q97">
        <v>12</v>
      </c>
      <c r="R97" t="s">
        <v>0</v>
      </c>
      <c r="S97">
        <v>16.2</v>
      </c>
      <c r="T97" t="s">
        <v>152</v>
      </c>
      <c r="U97">
        <v>1</v>
      </c>
      <c r="V97" t="s">
        <v>153</v>
      </c>
      <c r="W97">
        <v>4</v>
      </c>
      <c r="X97" t="s">
        <v>151</v>
      </c>
      <c r="Y97">
        <v>2574</v>
      </c>
      <c r="Z97" t="s">
        <v>1</v>
      </c>
      <c r="AA97" t="s">
        <v>203</v>
      </c>
      <c r="AB97" t="s">
        <v>4</v>
      </c>
      <c r="AC97">
        <v>1</v>
      </c>
      <c r="AD97" t="s">
        <v>5</v>
      </c>
      <c r="AE97">
        <v>0</v>
      </c>
    </row>
    <row r="98" spans="1:31" x14ac:dyDescent="0.25">
      <c r="A98" t="s">
        <v>67</v>
      </c>
      <c r="B98" t="s">
        <v>189</v>
      </c>
      <c r="C98">
        <v>1200</v>
      </c>
      <c r="D98" t="s">
        <v>190</v>
      </c>
      <c r="E98">
        <v>1000000</v>
      </c>
      <c r="F98" t="s">
        <v>191</v>
      </c>
      <c r="G98">
        <v>12345</v>
      </c>
      <c r="H98" t="s">
        <v>216</v>
      </c>
      <c r="I98">
        <v>1</v>
      </c>
      <c r="J98" t="s">
        <v>192</v>
      </c>
      <c r="K98">
        <v>1E-4</v>
      </c>
      <c r="L98" t="s">
        <v>3</v>
      </c>
      <c r="M98">
        <v>0.86183699999999996</v>
      </c>
      <c r="N98" t="s">
        <v>2</v>
      </c>
      <c r="O98">
        <v>1.9011087</v>
      </c>
      <c r="P98" t="s">
        <v>17</v>
      </c>
      <c r="Q98">
        <v>129</v>
      </c>
      <c r="R98" t="s">
        <v>0</v>
      </c>
      <c r="S98">
        <v>1200.5999999999999</v>
      </c>
      <c r="T98" t="s">
        <v>152</v>
      </c>
      <c r="U98">
        <v>1</v>
      </c>
      <c r="V98" t="s">
        <v>153</v>
      </c>
      <c r="W98">
        <v>25</v>
      </c>
      <c r="X98" t="s">
        <v>151</v>
      </c>
      <c r="Y98">
        <v>79110</v>
      </c>
      <c r="Z98" t="s">
        <v>1</v>
      </c>
      <c r="AA98" t="s">
        <v>247</v>
      </c>
      <c r="AB98" t="s">
        <v>4</v>
      </c>
      <c r="AC98">
        <v>0.86297469999999998</v>
      </c>
      <c r="AD98" t="s">
        <v>5</v>
      </c>
      <c r="AE98">
        <v>1.9059078</v>
      </c>
    </row>
    <row r="99" spans="1:31" x14ac:dyDescent="0.25">
      <c r="A99" t="s">
        <v>77</v>
      </c>
      <c r="B99" t="s">
        <v>189</v>
      </c>
      <c r="C99">
        <v>1200</v>
      </c>
      <c r="D99" t="s">
        <v>190</v>
      </c>
      <c r="E99">
        <v>1000000</v>
      </c>
      <c r="F99" t="s">
        <v>191</v>
      </c>
      <c r="G99">
        <v>12345</v>
      </c>
      <c r="H99" t="s">
        <v>216</v>
      </c>
      <c r="I99">
        <v>1</v>
      </c>
      <c r="J99" t="s">
        <v>192</v>
      </c>
      <c r="K99">
        <v>1E-4</v>
      </c>
      <c r="L99" t="s">
        <v>3</v>
      </c>
      <c r="M99">
        <v>1</v>
      </c>
      <c r="N99" t="s">
        <v>2</v>
      </c>
      <c r="O99">
        <v>0</v>
      </c>
      <c r="P99" t="s">
        <v>17</v>
      </c>
      <c r="Q99">
        <v>13</v>
      </c>
      <c r="R99" t="s">
        <v>0</v>
      </c>
      <c r="S99">
        <v>19.5</v>
      </c>
      <c r="T99" t="s">
        <v>152</v>
      </c>
      <c r="U99">
        <v>1</v>
      </c>
      <c r="V99" t="s">
        <v>153</v>
      </c>
      <c r="W99">
        <v>5</v>
      </c>
      <c r="X99" t="s">
        <v>151</v>
      </c>
      <c r="Y99">
        <v>3060</v>
      </c>
      <c r="Z99" t="s">
        <v>1</v>
      </c>
      <c r="AA99" t="s">
        <v>162</v>
      </c>
      <c r="AB99" t="s">
        <v>4</v>
      </c>
      <c r="AC99">
        <v>1</v>
      </c>
      <c r="AD99" t="s">
        <v>5</v>
      </c>
      <c r="AE99">
        <v>0</v>
      </c>
    </row>
    <row r="100" spans="1:31" x14ac:dyDescent="0.25">
      <c r="A100" t="s">
        <v>88</v>
      </c>
      <c r="B100" t="s">
        <v>189</v>
      </c>
      <c r="C100">
        <v>1200</v>
      </c>
      <c r="D100" t="s">
        <v>190</v>
      </c>
      <c r="E100">
        <v>1000000</v>
      </c>
      <c r="F100" t="s">
        <v>191</v>
      </c>
      <c r="G100">
        <v>12345</v>
      </c>
      <c r="H100" t="s">
        <v>216</v>
      </c>
      <c r="I100">
        <v>1</v>
      </c>
      <c r="J100" t="s">
        <v>192</v>
      </c>
      <c r="K100">
        <v>1E-4</v>
      </c>
      <c r="L100" t="s">
        <v>3</v>
      </c>
      <c r="M100">
        <v>0.90466159999999995</v>
      </c>
      <c r="N100" t="s">
        <v>2</v>
      </c>
      <c r="O100">
        <v>0.59308550000000004</v>
      </c>
      <c r="P100" t="s">
        <v>17</v>
      </c>
      <c r="Q100">
        <v>176</v>
      </c>
      <c r="R100" t="s">
        <v>0</v>
      </c>
      <c r="S100">
        <v>1204.5</v>
      </c>
      <c r="T100" t="s">
        <v>152</v>
      </c>
      <c r="U100">
        <v>1</v>
      </c>
      <c r="V100" t="s">
        <v>153</v>
      </c>
      <c r="W100">
        <v>24</v>
      </c>
      <c r="X100" t="s">
        <v>151</v>
      </c>
      <c r="Y100">
        <v>86485</v>
      </c>
      <c r="Z100" t="s">
        <v>1</v>
      </c>
      <c r="AA100" t="e" cm="1">
        <f t="array" aca="1" ref="AA100" ca="1">-2.5510695999391+(1.242811559672*pow((pow(v0,2)*pow(V1,-1)),0.5))+(5.2068563007337*V1)+((0.5566953826129*V1)*pow(v0,-1))+((0.4280658398988*V3)*pow((V2*pow((0.8485281374238+V1),-1)),-1))+((-5.9231018518024*V3)*pow((((-0.1591549430919*pow(V1,-1))+(V3*pow(V1,-1)))+((0.3183098861838*V2)*pow(V1,-1.2))),-1))+(((0.1091778249503*pow(V3,1))*pow((V2*pow((0.8485281374238+V1),-1)),-1))*COS((((4.5184490559136*pow(V3,-1))*pow((V2*pow((0.8485281374238+V1),-1)),1))+(((5.3250432798044*V1)*pow(V3,-1))*pow((V2*pow((V1+(1.6970562748476*pow(v0,1))),-1)),1)))))+(((-0.0757699925371*pow(V3,2))*pow((V2*pow((0.8485281374238+V1),-1)),-1))*COS((((4.5184490559136*pow(V3,-1))*pow((V2*pow((0.8485281374238+V1),-1)),1))+(((5.3250432798044*V1)*pow(V3,-1))*pow((V2*pow((V1+(0.8485281374238*pow(v0,-1))),-1)),1)))))</f>
        <v>#NAME?</v>
      </c>
      <c r="AB100" t="s">
        <v>4</v>
      </c>
      <c r="AC100">
        <v>0.90485729999999998</v>
      </c>
      <c r="AD100" t="s">
        <v>5</v>
      </c>
      <c r="AE100">
        <v>0.59013190000000004</v>
      </c>
    </row>
    <row r="101" spans="1:31" x14ac:dyDescent="0.25">
      <c r="A101" t="s">
        <v>74</v>
      </c>
      <c r="B101" t="s">
        <v>189</v>
      </c>
      <c r="C101">
        <v>1200</v>
      </c>
      <c r="D101" t="s">
        <v>190</v>
      </c>
      <c r="E101">
        <v>1000000</v>
      </c>
      <c r="F101" t="s">
        <v>191</v>
      </c>
      <c r="G101">
        <v>12345</v>
      </c>
      <c r="H101" t="s">
        <v>216</v>
      </c>
      <c r="I101">
        <v>1</v>
      </c>
      <c r="J101" t="s">
        <v>192</v>
      </c>
      <c r="K101">
        <v>1E-4</v>
      </c>
      <c r="L101" t="s">
        <v>3</v>
      </c>
      <c r="M101">
        <v>0.51998750000000005</v>
      </c>
      <c r="N101" t="s">
        <v>2</v>
      </c>
      <c r="O101">
        <v>0.24453569999999999</v>
      </c>
      <c r="P101" t="s">
        <v>17</v>
      </c>
      <c r="Q101">
        <v>87</v>
      </c>
      <c r="R101" t="s">
        <v>0</v>
      </c>
      <c r="S101">
        <v>1200.5</v>
      </c>
      <c r="T101" t="s">
        <v>152</v>
      </c>
      <c r="U101">
        <v>1</v>
      </c>
      <c r="V101" t="s">
        <v>153</v>
      </c>
      <c r="W101">
        <v>32</v>
      </c>
      <c r="X101" t="s">
        <v>151</v>
      </c>
      <c r="Y101">
        <v>104045</v>
      </c>
      <c r="Z101" t="s">
        <v>1</v>
      </c>
      <c r="AA101" t="s">
        <v>252</v>
      </c>
      <c r="AB101" t="s">
        <v>4</v>
      </c>
      <c r="AC101">
        <v>0.52998630000000002</v>
      </c>
      <c r="AD101" t="s">
        <v>5</v>
      </c>
      <c r="AE101">
        <v>0.2433227</v>
      </c>
    </row>
    <row r="102" spans="1:31" x14ac:dyDescent="0.25">
      <c r="A102" t="s">
        <v>84</v>
      </c>
      <c r="B102" t="s">
        <v>189</v>
      </c>
      <c r="C102">
        <v>1200</v>
      </c>
      <c r="D102" t="s">
        <v>190</v>
      </c>
      <c r="E102">
        <v>1000000</v>
      </c>
      <c r="F102" t="s">
        <v>191</v>
      </c>
      <c r="G102">
        <v>12345</v>
      </c>
      <c r="H102" t="s">
        <v>216</v>
      </c>
      <c r="I102">
        <v>1</v>
      </c>
      <c r="J102" t="s">
        <v>192</v>
      </c>
      <c r="K102">
        <v>1E-4</v>
      </c>
      <c r="L102" t="s">
        <v>3</v>
      </c>
      <c r="M102">
        <v>1</v>
      </c>
      <c r="N102" t="s">
        <v>2</v>
      </c>
      <c r="O102">
        <v>0</v>
      </c>
      <c r="P102" t="s">
        <v>17</v>
      </c>
      <c r="Q102">
        <v>14</v>
      </c>
      <c r="R102" t="s">
        <v>0</v>
      </c>
      <c r="S102">
        <v>22.9</v>
      </c>
      <c r="T102" t="s">
        <v>152</v>
      </c>
      <c r="U102">
        <v>1</v>
      </c>
      <c r="V102" t="s">
        <v>153</v>
      </c>
      <c r="W102">
        <v>5</v>
      </c>
      <c r="X102" t="s">
        <v>151</v>
      </c>
      <c r="Y102">
        <v>3559</v>
      </c>
      <c r="Z102" t="s">
        <v>1</v>
      </c>
      <c r="AA102" t="s">
        <v>166</v>
      </c>
      <c r="AB102" t="s">
        <v>4</v>
      </c>
      <c r="AC102">
        <v>1</v>
      </c>
      <c r="AD102" t="s">
        <v>5</v>
      </c>
      <c r="AE102">
        <v>0</v>
      </c>
    </row>
    <row r="103" spans="1:31" x14ac:dyDescent="0.25">
      <c r="A103" t="s">
        <v>150</v>
      </c>
      <c r="B103" t="s">
        <v>189</v>
      </c>
      <c r="C103">
        <v>1200</v>
      </c>
      <c r="D103" t="s">
        <v>190</v>
      </c>
      <c r="E103">
        <v>1000000</v>
      </c>
      <c r="F103" t="s">
        <v>191</v>
      </c>
      <c r="G103">
        <v>12345</v>
      </c>
      <c r="H103" t="s">
        <v>216</v>
      </c>
      <c r="I103">
        <v>1</v>
      </c>
      <c r="J103" t="s">
        <v>192</v>
      </c>
      <c r="K103">
        <v>1E-4</v>
      </c>
      <c r="L103" t="s">
        <v>3</v>
      </c>
      <c r="M103">
        <v>0.99029480000000003</v>
      </c>
      <c r="N103" t="s">
        <v>2</v>
      </c>
      <c r="O103">
        <v>1.20873E-2</v>
      </c>
      <c r="P103" t="s">
        <v>17</v>
      </c>
      <c r="Q103">
        <v>62</v>
      </c>
      <c r="R103" t="s">
        <v>0</v>
      </c>
      <c r="S103">
        <v>1201.4000000000001</v>
      </c>
      <c r="T103" t="s">
        <v>152</v>
      </c>
      <c r="U103">
        <v>4</v>
      </c>
      <c r="V103" t="s">
        <v>153</v>
      </c>
      <c r="W103">
        <v>35</v>
      </c>
      <c r="X103" t="s">
        <v>151</v>
      </c>
      <c r="Y103">
        <v>126074</v>
      </c>
      <c r="Z103" t="s">
        <v>1</v>
      </c>
      <c r="AA103" t="e" cm="1">
        <f t="array" aca="1" ref="AA103" ca="1">-0.0465014344867+(((2.0147339224106*pow(V3,-1))*pow(V5,-1))*pow(V7,-1))+((((((1.7278859535888*v0)*V1)*V2)*pow(V3,-1))*pow(V5,-1))*pow(V7,-1))+(((((((((0.5321775548546*v0)*V1)*V2)*V4)*V6)*V8)*pow(V3,-1))*pow(V5,-1))*pow(V7,-1))</f>
        <v>#NAME?</v>
      </c>
      <c r="AB103" t="s">
        <v>4</v>
      </c>
      <c r="AC103">
        <v>0.99016179999999998</v>
      </c>
      <c r="AD103" t="s">
        <v>5</v>
      </c>
      <c r="AE103">
        <v>1.22694E-2</v>
      </c>
    </row>
    <row r="104" spans="1:31" x14ac:dyDescent="0.25">
      <c r="A104" t="s">
        <v>136</v>
      </c>
      <c r="B104" t="s">
        <v>189</v>
      </c>
      <c r="C104">
        <v>1200</v>
      </c>
      <c r="D104" t="s">
        <v>190</v>
      </c>
      <c r="E104">
        <v>1000000</v>
      </c>
      <c r="F104" t="s">
        <v>191</v>
      </c>
      <c r="G104">
        <v>12345</v>
      </c>
      <c r="H104" t="s">
        <v>216</v>
      </c>
      <c r="I104">
        <v>1</v>
      </c>
      <c r="J104" t="s">
        <v>192</v>
      </c>
      <c r="K104">
        <v>1E-4</v>
      </c>
      <c r="L104" t="s">
        <v>3</v>
      </c>
      <c r="M104">
        <v>0.99983690000000003</v>
      </c>
      <c r="N104" t="s">
        <v>2</v>
      </c>
      <c r="O104">
        <v>88.763212600000003</v>
      </c>
      <c r="P104" t="s">
        <v>17</v>
      </c>
      <c r="Q104">
        <v>110</v>
      </c>
      <c r="R104" t="s">
        <v>0</v>
      </c>
      <c r="S104">
        <v>1202</v>
      </c>
      <c r="T104" t="s">
        <v>152</v>
      </c>
      <c r="U104">
        <v>1</v>
      </c>
      <c r="V104" t="s">
        <v>153</v>
      </c>
      <c r="W104">
        <v>27</v>
      </c>
      <c r="X104" t="s">
        <v>151</v>
      </c>
      <c r="Y104">
        <v>104027</v>
      </c>
      <c r="Z104" t="s">
        <v>1</v>
      </c>
      <c r="AA104" t="s">
        <v>315</v>
      </c>
      <c r="AB104" t="s">
        <v>4</v>
      </c>
      <c r="AC104">
        <v>0.99982269999999995</v>
      </c>
      <c r="AD104" t="s">
        <v>5</v>
      </c>
      <c r="AE104">
        <v>85.5440665</v>
      </c>
    </row>
    <row r="105" spans="1:31" x14ac:dyDescent="0.25">
      <c r="A105" t="s">
        <v>132</v>
      </c>
      <c r="B105" t="s">
        <v>189</v>
      </c>
      <c r="C105">
        <v>1200</v>
      </c>
      <c r="D105" t="s">
        <v>190</v>
      </c>
      <c r="E105">
        <v>1000000</v>
      </c>
      <c r="F105" t="s">
        <v>191</v>
      </c>
      <c r="G105">
        <v>12345</v>
      </c>
      <c r="H105" t="s">
        <v>216</v>
      </c>
      <c r="I105">
        <v>1</v>
      </c>
      <c r="J105" t="s">
        <v>192</v>
      </c>
      <c r="K105">
        <v>1E-4</v>
      </c>
      <c r="L105" t="s">
        <v>3</v>
      </c>
      <c r="M105">
        <v>0.91982779999999997</v>
      </c>
      <c r="N105" t="s">
        <v>2</v>
      </c>
      <c r="O105">
        <v>4.3525999999999999E-3</v>
      </c>
      <c r="P105" t="s">
        <v>17</v>
      </c>
      <c r="Q105">
        <v>47</v>
      </c>
      <c r="R105" t="s">
        <v>0</v>
      </c>
      <c r="S105">
        <v>1200.2</v>
      </c>
      <c r="T105" t="s">
        <v>152</v>
      </c>
      <c r="U105">
        <v>4</v>
      </c>
      <c r="V105" t="s">
        <v>153</v>
      </c>
      <c r="W105">
        <v>67</v>
      </c>
      <c r="X105" t="s">
        <v>151</v>
      </c>
      <c r="Y105">
        <v>142733</v>
      </c>
      <c r="Z105" t="s">
        <v>1</v>
      </c>
      <c r="AA105" t="e" cm="1">
        <f t="array" aca="1" ref="AA105" ca="1">-0.0825544763608+(-0.0088869779654*V1)+((((0.0929061963189*EXP((0.0806068176256*V1)))*EXP((0.014514691376*pow(V3,2))))*EXP((-0.0806068176256*V3)))*EXP(((4*pow(((-2+V2)+pow(V3,0.5)),-1))*SIN(((0.145445079663*v0)*pow(V4,-1))))))</f>
        <v>#VALUE!</v>
      </c>
      <c r="AB105" t="s">
        <v>4</v>
      </c>
      <c r="AC105">
        <v>0.91813259999999997</v>
      </c>
      <c r="AD105" t="s">
        <v>5</v>
      </c>
      <c r="AE105">
        <v>4.3661000000000004E-3</v>
      </c>
    </row>
    <row r="106" spans="1:31" x14ac:dyDescent="0.25">
      <c r="A106" t="s">
        <v>125</v>
      </c>
      <c r="B106" t="s">
        <v>189</v>
      </c>
      <c r="C106">
        <v>1200</v>
      </c>
      <c r="D106" t="s">
        <v>190</v>
      </c>
      <c r="E106">
        <v>1000000</v>
      </c>
      <c r="F106" t="s">
        <v>191</v>
      </c>
      <c r="G106">
        <v>12345</v>
      </c>
      <c r="H106" t="s">
        <v>216</v>
      </c>
      <c r="I106">
        <v>1</v>
      </c>
      <c r="J106" t="s">
        <v>192</v>
      </c>
      <c r="K106">
        <v>1E-4</v>
      </c>
      <c r="L106" t="s">
        <v>3</v>
      </c>
      <c r="M106">
        <v>0.99954379999999998</v>
      </c>
      <c r="N106" t="s">
        <v>2</v>
      </c>
      <c r="O106">
        <v>6.4332E-2</v>
      </c>
      <c r="P106" t="s">
        <v>17</v>
      </c>
      <c r="Q106">
        <v>79</v>
      </c>
      <c r="R106" t="s">
        <v>0</v>
      </c>
      <c r="S106">
        <v>1200.5</v>
      </c>
      <c r="T106" t="s">
        <v>152</v>
      </c>
      <c r="U106">
        <v>2</v>
      </c>
      <c r="V106" t="s">
        <v>153</v>
      </c>
      <c r="W106">
        <v>38</v>
      </c>
      <c r="X106" t="s">
        <v>151</v>
      </c>
      <c r="Y106">
        <v>113791</v>
      </c>
      <c r="Z106" t="s">
        <v>1</v>
      </c>
      <c r="AA106" t="s">
        <v>316</v>
      </c>
      <c r="AB106" t="s">
        <v>4</v>
      </c>
      <c r="AC106">
        <v>0.99956230000000001</v>
      </c>
      <c r="AD106" t="s">
        <v>5</v>
      </c>
      <c r="AE106">
        <v>6.0963999999999997E-2</v>
      </c>
    </row>
    <row r="107" spans="1:31" x14ac:dyDescent="0.25">
      <c r="A107" t="s">
        <v>111</v>
      </c>
      <c r="B107" t="s">
        <v>189</v>
      </c>
      <c r="C107">
        <v>1200</v>
      </c>
      <c r="D107" t="s">
        <v>190</v>
      </c>
      <c r="E107">
        <v>1000000</v>
      </c>
      <c r="F107" t="s">
        <v>191</v>
      </c>
      <c r="G107">
        <v>12345</v>
      </c>
      <c r="H107" t="s">
        <v>216</v>
      </c>
      <c r="I107">
        <v>1</v>
      </c>
      <c r="J107" t="s">
        <v>192</v>
      </c>
      <c r="K107">
        <v>1E-4</v>
      </c>
      <c r="L107" t="s">
        <v>3</v>
      </c>
      <c r="M107">
        <v>0.98605189999999998</v>
      </c>
      <c r="N107" t="s">
        <v>2</v>
      </c>
      <c r="O107">
        <v>3.0085104999999999</v>
      </c>
      <c r="P107" t="s">
        <v>17</v>
      </c>
      <c r="Q107">
        <v>129</v>
      </c>
      <c r="R107" t="s">
        <v>0</v>
      </c>
      <c r="S107">
        <v>1200.8</v>
      </c>
      <c r="T107" t="s">
        <v>152</v>
      </c>
      <c r="U107">
        <v>1</v>
      </c>
      <c r="V107" t="s">
        <v>153</v>
      </c>
      <c r="W107">
        <v>26</v>
      </c>
      <c r="X107" t="s">
        <v>151</v>
      </c>
      <c r="Y107">
        <v>85252</v>
      </c>
      <c r="Z107" t="s">
        <v>1</v>
      </c>
      <c r="AA107" t="s">
        <v>317</v>
      </c>
      <c r="AB107" t="s">
        <v>4</v>
      </c>
      <c r="AC107">
        <v>0.98609150000000001</v>
      </c>
      <c r="AD107" t="s">
        <v>5</v>
      </c>
      <c r="AE107">
        <v>3.0246572999999999</v>
      </c>
    </row>
    <row r="108" spans="1:31" x14ac:dyDescent="0.25">
      <c r="A108" t="s">
        <v>87</v>
      </c>
      <c r="B108" t="s">
        <v>189</v>
      </c>
      <c r="C108">
        <v>1200</v>
      </c>
      <c r="D108" t="s">
        <v>190</v>
      </c>
      <c r="E108">
        <v>1000000</v>
      </c>
      <c r="F108" t="s">
        <v>191</v>
      </c>
      <c r="G108">
        <v>12345</v>
      </c>
      <c r="H108" t="s">
        <v>216</v>
      </c>
      <c r="I108">
        <v>1</v>
      </c>
      <c r="J108" t="s">
        <v>192</v>
      </c>
      <c r="K108">
        <v>1E-4</v>
      </c>
      <c r="L108" t="s">
        <v>3</v>
      </c>
      <c r="M108">
        <v>0.99754299999999996</v>
      </c>
      <c r="N108" t="s">
        <v>2</v>
      </c>
      <c r="O108">
        <v>2.2304999999999998E-2</v>
      </c>
      <c r="P108" t="s">
        <v>17</v>
      </c>
      <c r="Q108">
        <v>60</v>
      </c>
      <c r="R108" t="s">
        <v>0</v>
      </c>
      <c r="S108">
        <v>1200.0999999999999</v>
      </c>
      <c r="T108" t="s">
        <v>152</v>
      </c>
      <c r="U108">
        <v>3</v>
      </c>
      <c r="V108" t="s">
        <v>153</v>
      </c>
      <c r="W108">
        <v>39</v>
      </c>
      <c r="X108" t="s">
        <v>151</v>
      </c>
      <c r="Y108">
        <v>102478</v>
      </c>
      <c r="Z108" t="s">
        <v>1</v>
      </c>
      <c r="AA108" t="s">
        <v>257</v>
      </c>
      <c r="AB108" t="s">
        <v>4</v>
      </c>
      <c r="AC108">
        <v>0.99748979999999998</v>
      </c>
      <c r="AD108" t="s">
        <v>5</v>
      </c>
      <c r="AE108">
        <v>2.2509700000000001E-2</v>
      </c>
    </row>
    <row r="109" spans="1:31" x14ac:dyDescent="0.25">
      <c r="A109" t="s">
        <v>98</v>
      </c>
      <c r="B109" t="s">
        <v>189</v>
      </c>
      <c r="C109">
        <v>1200</v>
      </c>
      <c r="D109" t="s">
        <v>190</v>
      </c>
      <c r="E109">
        <v>1000000</v>
      </c>
      <c r="F109" t="s">
        <v>191</v>
      </c>
      <c r="G109">
        <v>12345</v>
      </c>
      <c r="H109" t="s">
        <v>216</v>
      </c>
      <c r="I109">
        <v>1</v>
      </c>
      <c r="J109" t="s">
        <v>192</v>
      </c>
      <c r="K109">
        <v>1E-4</v>
      </c>
      <c r="L109" t="s">
        <v>3</v>
      </c>
      <c r="M109">
        <v>1</v>
      </c>
      <c r="N109" t="s">
        <v>2</v>
      </c>
      <c r="O109">
        <v>5.0589999999999999E-4</v>
      </c>
      <c r="P109" t="s">
        <v>17</v>
      </c>
      <c r="Q109">
        <v>30</v>
      </c>
      <c r="R109" t="s">
        <v>0</v>
      </c>
      <c r="S109">
        <v>1201.5</v>
      </c>
      <c r="T109" t="s">
        <v>152</v>
      </c>
      <c r="U109">
        <v>12</v>
      </c>
      <c r="V109" t="s">
        <v>153</v>
      </c>
      <c r="W109">
        <v>83</v>
      </c>
      <c r="X109" t="s">
        <v>151</v>
      </c>
      <c r="Y109">
        <v>140022</v>
      </c>
      <c r="Z109" t="s">
        <v>1</v>
      </c>
      <c r="AA109" t="e" cm="1">
        <f t="array" aca="1" ref="AA109" ca="1">-0.4995299955993+((((6.283080968368*V2)*V3)*pow(v0,-1))*pow(V1,-1))+((((0.012976250433*v0)*V1)*pow(V2,-1))*pow(V3,-1))</f>
        <v>#VALUE!</v>
      </c>
      <c r="AB109" t="s">
        <v>4</v>
      </c>
      <c r="AC109">
        <v>1</v>
      </c>
      <c r="AD109" t="s">
        <v>5</v>
      </c>
      <c r="AE109">
        <v>4.3370000000000003E-4</v>
      </c>
    </row>
    <row r="110" spans="1:31" x14ac:dyDescent="0.25">
      <c r="A110" t="s">
        <v>135</v>
      </c>
      <c r="B110" t="s">
        <v>189</v>
      </c>
      <c r="C110">
        <v>1200</v>
      </c>
      <c r="D110" t="s">
        <v>190</v>
      </c>
      <c r="E110">
        <v>1000000</v>
      </c>
      <c r="F110" t="s">
        <v>191</v>
      </c>
      <c r="G110">
        <v>12345</v>
      </c>
      <c r="H110" t="s">
        <v>216</v>
      </c>
      <c r="I110">
        <v>1</v>
      </c>
      <c r="J110" t="s">
        <v>192</v>
      </c>
      <c r="K110">
        <v>1E-4</v>
      </c>
      <c r="L110" t="s">
        <v>3</v>
      </c>
      <c r="M110">
        <v>1</v>
      </c>
      <c r="N110" t="s">
        <v>2</v>
      </c>
      <c r="O110">
        <v>0</v>
      </c>
      <c r="P110" t="s">
        <v>17</v>
      </c>
      <c r="Q110">
        <v>20</v>
      </c>
      <c r="R110" t="s">
        <v>0</v>
      </c>
      <c r="S110">
        <v>704.5</v>
      </c>
      <c r="T110" t="s">
        <v>152</v>
      </c>
      <c r="U110">
        <v>2</v>
      </c>
      <c r="V110" t="s">
        <v>153</v>
      </c>
      <c r="W110">
        <v>26</v>
      </c>
      <c r="X110" t="s">
        <v>151</v>
      </c>
      <c r="Y110">
        <v>78467</v>
      </c>
      <c r="Z110" t="s">
        <v>1</v>
      </c>
      <c r="AA110" t="s">
        <v>181</v>
      </c>
      <c r="AB110" t="s">
        <v>4</v>
      </c>
      <c r="AC110">
        <v>1</v>
      </c>
      <c r="AD110" t="s">
        <v>5</v>
      </c>
      <c r="AE110">
        <v>0</v>
      </c>
    </row>
    <row r="111" spans="1:31" x14ac:dyDescent="0.25">
      <c r="A111" t="s">
        <v>94</v>
      </c>
      <c r="B111" t="s">
        <v>189</v>
      </c>
      <c r="C111">
        <v>1200</v>
      </c>
      <c r="D111" t="s">
        <v>190</v>
      </c>
      <c r="E111">
        <v>1000000</v>
      </c>
      <c r="F111" t="s">
        <v>191</v>
      </c>
      <c r="G111">
        <v>12345</v>
      </c>
      <c r="H111" t="s">
        <v>216</v>
      </c>
      <c r="I111">
        <v>1</v>
      </c>
      <c r="J111" t="s">
        <v>192</v>
      </c>
      <c r="K111">
        <v>1E-4</v>
      </c>
      <c r="L111" t="s">
        <v>3</v>
      </c>
      <c r="M111">
        <v>0.99995460000000003</v>
      </c>
      <c r="N111" t="s">
        <v>2</v>
      </c>
      <c r="O111">
        <v>2.14799E-2</v>
      </c>
      <c r="P111" t="s">
        <v>17</v>
      </c>
      <c r="Q111">
        <v>51</v>
      </c>
      <c r="R111" t="s">
        <v>0</v>
      </c>
      <c r="S111">
        <v>1200.5999999999999</v>
      </c>
      <c r="T111" t="s">
        <v>152</v>
      </c>
      <c r="U111">
        <v>2</v>
      </c>
      <c r="V111" t="s">
        <v>153</v>
      </c>
      <c r="W111">
        <v>36</v>
      </c>
      <c r="X111" t="s">
        <v>151</v>
      </c>
      <c r="Y111">
        <v>98833</v>
      </c>
      <c r="Z111" t="s">
        <v>1</v>
      </c>
      <c r="AA111" t="e" cm="1">
        <f t="array" aca="1" ref="AA111" ca="1">-0.2300776892171+(-0.1222288400715*v0)+((0.545152363968*v0)*pow(V1,-0.5))+((14.4910256893614*v0)*pow((((V2+V3)+(0.8775825618904*SIN(pow((v0*pow(V1,-1)),-0.8))))+(V1*pow(v0,-0.968))),-1.1))+((0.8258892991807*pow(v0,2))*pow(V1,-0.9))</f>
        <v>#NAME?</v>
      </c>
      <c r="AB111" t="s">
        <v>4</v>
      </c>
      <c r="AC111">
        <v>0.99995529999999999</v>
      </c>
      <c r="AD111" t="s">
        <v>5</v>
      </c>
      <c r="AE111">
        <v>2.1309999999999999E-2</v>
      </c>
    </row>
    <row r="112" spans="1:31" x14ac:dyDescent="0.25">
      <c r="A112" t="s">
        <v>145</v>
      </c>
      <c r="B112" t="s">
        <v>189</v>
      </c>
      <c r="C112">
        <v>1200</v>
      </c>
      <c r="D112" t="s">
        <v>190</v>
      </c>
      <c r="E112">
        <v>1000000</v>
      </c>
      <c r="F112" t="s">
        <v>191</v>
      </c>
      <c r="G112">
        <v>12345</v>
      </c>
      <c r="H112" t="s">
        <v>216</v>
      </c>
      <c r="I112">
        <v>1</v>
      </c>
      <c r="J112" t="s">
        <v>192</v>
      </c>
      <c r="K112">
        <v>1E-4</v>
      </c>
      <c r="L112" t="s">
        <v>3</v>
      </c>
      <c r="M112">
        <v>1</v>
      </c>
      <c r="N112" t="s">
        <v>2</v>
      </c>
      <c r="O112">
        <v>0</v>
      </c>
      <c r="P112" t="s">
        <v>17</v>
      </c>
      <c r="Q112">
        <v>40</v>
      </c>
      <c r="R112" t="s">
        <v>0</v>
      </c>
      <c r="S112">
        <v>193.7</v>
      </c>
      <c r="T112" t="s">
        <v>152</v>
      </c>
      <c r="U112">
        <v>1</v>
      </c>
      <c r="V112" t="s">
        <v>153</v>
      </c>
      <c r="W112">
        <v>13</v>
      </c>
      <c r="X112" t="s">
        <v>151</v>
      </c>
      <c r="Y112">
        <v>23220</v>
      </c>
      <c r="Z112" t="s">
        <v>1</v>
      </c>
      <c r="AA112" t="s">
        <v>264</v>
      </c>
      <c r="AB112" t="s">
        <v>4</v>
      </c>
      <c r="AC112">
        <v>1</v>
      </c>
      <c r="AD112" t="s">
        <v>5</v>
      </c>
      <c r="AE112">
        <v>0</v>
      </c>
    </row>
    <row r="113" spans="1:31" x14ac:dyDescent="0.25">
      <c r="A113" t="s">
        <v>146</v>
      </c>
      <c r="B113" t="s">
        <v>189</v>
      </c>
      <c r="C113">
        <v>1200</v>
      </c>
      <c r="D113" t="s">
        <v>190</v>
      </c>
      <c r="E113">
        <v>1000000</v>
      </c>
      <c r="F113" t="s">
        <v>191</v>
      </c>
      <c r="G113">
        <v>12345</v>
      </c>
      <c r="H113" t="s">
        <v>216</v>
      </c>
      <c r="I113">
        <v>1</v>
      </c>
      <c r="J113" t="s">
        <v>192</v>
      </c>
      <c r="K113">
        <v>1E-4</v>
      </c>
      <c r="L113" t="s">
        <v>3</v>
      </c>
      <c r="M113">
        <v>0.9970985</v>
      </c>
      <c r="N113" t="s">
        <v>2</v>
      </c>
      <c r="O113">
        <v>2.4429699999999999E-2</v>
      </c>
      <c r="P113" t="s">
        <v>17</v>
      </c>
      <c r="Q113">
        <v>78</v>
      </c>
      <c r="R113" t="s">
        <v>0</v>
      </c>
      <c r="S113">
        <v>1201.9000000000001</v>
      </c>
      <c r="T113" t="s">
        <v>152</v>
      </c>
      <c r="U113">
        <v>2</v>
      </c>
      <c r="V113" t="s">
        <v>153</v>
      </c>
      <c r="W113">
        <v>30</v>
      </c>
      <c r="X113" t="s">
        <v>151</v>
      </c>
      <c r="Y113">
        <v>109940</v>
      </c>
      <c r="Z113" t="s">
        <v>1</v>
      </c>
      <c r="AA113" t="e" cm="1">
        <f t="array" aca="1" ref="AA113" ca="1">-8.5854955916643+(0.0791850245538*pow(V1,-1))+(10.5575948529963*COS(((0.0779152421656*V6)*pow(V2,-1))))+(0.064116861959*V5)+(-1.2552108195815*COS((((((0.6019632569655*v0)*V1)*pow(V3,-1))*pow(V4,-1))*pow(V5,-1.8))))+(((0.0191168418746*V3)*V4)*pow(v0,-1))+(((((((0.6694165855183*v0)*V1)*V6)*pow(V2,-1))*pow(V3,-1))*pow(V4,-1))*pow(V5,-2.2))</f>
        <v>#NAME?</v>
      </c>
      <c r="AB113" t="s">
        <v>4</v>
      </c>
      <c r="AC113">
        <v>0.99698390000000003</v>
      </c>
      <c r="AD113" t="s">
        <v>5</v>
      </c>
      <c r="AE113">
        <v>2.54868E-2</v>
      </c>
    </row>
    <row r="114" spans="1:31" x14ac:dyDescent="0.25">
      <c r="A114" t="s">
        <v>142</v>
      </c>
      <c r="B114" t="s">
        <v>189</v>
      </c>
      <c r="C114">
        <v>1200</v>
      </c>
      <c r="D114" t="s">
        <v>190</v>
      </c>
      <c r="E114">
        <v>1000000</v>
      </c>
      <c r="F114" t="s">
        <v>191</v>
      </c>
      <c r="G114">
        <v>12345</v>
      </c>
      <c r="H114" t="s">
        <v>216</v>
      </c>
      <c r="I114">
        <v>1</v>
      </c>
      <c r="J114" t="s">
        <v>192</v>
      </c>
      <c r="K114">
        <v>1E-4</v>
      </c>
      <c r="L114" t="s">
        <v>3</v>
      </c>
      <c r="M114">
        <v>0.99930399999999997</v>
      </c>
      <c r="N114" t="s">
        <v>2</v>
      </c>
      <c r="O114">
        <v>9.835E-3</v>
      </c>
      <c r="P114" t="s">
        <v>17</v>
      </c>
      <c r="Q114">
        <v>48</v>
      </c>
      <c r="R114" t="s">
        <v>0</v>
      </c>
      <c r="S114">
        <v>1201.2</v>
      </c>
      <c r="T114" t="s">
        <v>152</v>
      </c>
      <c r="U114">
        <v>7</v>
      </c>
      <c r="V114" t="s">
        <v>153</v>
      </c>
      <c r="W114">
        <v>44</v>
      </c>
      <c r="X114" t="s">
        <v>151</v>
      </c>
      <c r="Y114">
        <v>134642</v>
      </c>
      <c r="Z114" t="s">
        <v>1</v>
      </c>
      <c r="AA114" t="s">
        <v>266</v>
      </c>
      <c r="AB114" t="s">
        <v>4</v>
      </c>
      <c r="AC114">
        <v>0.9993725</v>
      </c>
      <c r="AD114" t="s">
        <v>5</v>
      </c>
      <c r="AE114">
        <v>9.5268000000000002E-3</v>
      </c>
    </row>
    <row r="115" spans="1:31" x14ac:dyDescent="0.25">
      <c r="A115" t="s">
        <v>121</v>
      </c>
      <c r="B115" t="s">
        <v>189</v>
      </c>
      <c r="C115">
        <v>1200</v>
      </c>
      <c r="D115" t="s">
        <v>190</v>
      </c>
      <c r="E115">
        <v>1000000</v>
      </c>
      <c r="F115" t="s">
        <v>191</v>
      </c>
      <c r="G115">
        <v>12345</v>
      </c>
      <c r="H115" t="s">
        <v>216</v>
      </c>
      <c r="I115">
        <v>1</v>
      </c>
      <c r="J115" t="s">
        <v>192</v>
      </c>
      <c r="K115">
        <v>1E-4</v>
      </c>
      <c r="L115" t="s">
        <v>3</v>
      </c>
      <c r="M115">
        <v>0.99688339999999998</v>
      </c>
      <c r="N115" t="s">
        <v>2</v>
      </c>
      <c r="O115">
        <v>0.28128639999999999</v>
      </c>
      <c r="P115" t="s">
        <v>17</v>
      </c>
      <c r="Q115">
        <v>94</v>
      </c>
      <c r="R115" t="s">
        <v>0</v>
      </c>
      <c r="S115">
        <v>1201</v>
      </c>
      <c r="T115" t="s">
        <v>152</v>
      </c>
      <c r="U115">
        <v>1</v>
      </c>
      <c r="V115" t="s">
        <v>153</v>
      </c>
      <c r="W115">
        <v>29</v>
      </c>
      <c r="X115" t="s">
        <v>151</v>
      </c>
      <c r="Y115">
        <v>99072</v>
      </c>
      <c r="Z115" t="s">
        <v>1</v>
      </c>
      <c r="AA115" t="s">
        <v>318</v>
      </c>
      <c r="AB115" t="s">
        <v>4</v>
      </c>
      <c r="AC115">
        <v>0.9971236</v>
      </c>
      <c r="AD115" t="s">
        <v>5</v>
      </c>
      <c r="AE115">
        <v>0.2701675</v>
      </c>
    </row>
    <row r="116" spans="1:31" x14ac:dyDescent="0.25">
      <c r="A116" t="s">
        <v>97</v>
      </c>
      <c r="B116" t="s">
        <v>189</v>
      </c>
      <c r="C116">
        <v>1200</v>
      </c>
      <c r="D116" t="s">
        <v>190</v>
      </c>
      <c r="E116">
        <v>1000000</v>
      </c>
      <c r="F116" t="s">
        <v>191</v>
      </c>
      <c r="G116">
        <v>12345</v>
      </c>
      <c r="H116" t="s">
        <v>216</v>
      </c>
      <c r="I116">
        <v>1</v>
      </c>
      <c r="J116" t="s">
        <v>192</v>
      </c>
      <c r="K116">
        <v>1E-4</v>
      </c>
      <c r="L116" t="s">
        <v>3</v>
      </c>
      <c r="M116">
        <v>0.99971840000000001</v>
      </c>
      <c r="N116" t="s">
        <v>2</v>
      </c>
      <c r="O116">
        <v>2.1190299999999999E-2</v>
      </c>
      <c r="P116" t="s">
        <v>17</v>
      </c>
      <c r="Q116">
        <v>34</v>
      </c>
      <c r="R116" t="s">
        <v>0</v>
      </c>
      <c r="S116">
        <v>1202.0999999999999</v>
      </c>
      <c r="T116" t="s">
        <v>152</v>
      </c>
      <c r="U116">
        <v>13</v>
      </c>
      <c r="V116" t="s">
        <v>153</v>
      </c>
      <c r="W116">
        <v>85</v>
      </c>
      <c r="X116" t="s">
        <v>151</v>
      </c>
      <c r="Y116">
        <v>138532</v>
      </c>
      <c r="Z116" t="s">
        <v>1</v>
      </c>
      <c r="AA116" t="s">
        <v>260</v>
      </c>
      <c r="AB116" t="s">
        <v>4</v>
      </c>
      <c r="AC116">
        <v>0.99974419999999997</v>
      </c>
      <c r="AD116" t="s">
        <v>5</v>
      </c>
      <c r="AE116">
        <v>2.0167600000000001E-2</v>
      </c>
    </row>
    <row r="117" spans="1:31" x14ac:dyDescent="0.25">
      <c r="A117" t="s">
        <v>107</v>
      </c>
      <c r="B117" t="s">
        <v>189</v>
      </c>
      <c r="C117">
        <v>1200</v>
      </c>
      <c r="D117" t="s">
        <v>190</v>
      </c>
      <c r="E117">
        <v>1000000</v>
      </c>
      <c r="F117" t="s">
        <v>191</v>
      </c>
      <c r="G117">
        <v>12345</v>
      </c>
      <c r="H117" t="s">
        <v>216</v>
      </c>
      <c r="I117">
        <v>1</v>
      </c>
      <c r="J117" t="s">
        <v>192</v>
      </c>
      <c r="K117">
        <v>1E-4</v>
      </c>
      <c r="L117" t="s">
        <v>3</v>
      </c>
      <c r="M117">
        <v>1</v>
      </c>
      <c r="N117" t="s">
        <v>2</v>
      </c>
      <c r="O117">
        <v>0</v>
      </c>
      <c r="P117" t="s">
        <v>17</v>
      </c>
      <c r="Q117">
        <v>24</v>
      </c>
      <c r="R117" t="s">
        <v>0</v>
      </c>
      <c r="S117">
        <v>204.5</v>
      </c>
      <c r="T117" t="s">
        <v>152</v>
      </c>
      <c r="U117">
        <v>1</v>
      </c>
      <c r="V117" t="s">
        <v>153</v>
      </c>
      <c r="W117">
        <v>14</v>
      </c>
      <c r="X117" t="s">
        <v>151</v>
      </c>
      <c r="Y117">
        <v>20856</v>
      </c>
      <c r="Z117" t="s">
        <v>1</v>
      </c>
      <c r="AA117" t="s">
        <v>204</v>
      </c>
      <c r="AB117" t="s">
        <v>4</v>
      </c>
      <c r="AC117">
        <v>1</v>
      </c>
      <c r="AD117" t="s">
        <v>5</v>
      </c>
      <c r="AE117">
        <v>0</v>
      </c>
    </row>
    <row r="118" spans="1:31" x14ac:dyDescent="0.25">
      <c r="A118" t="s">
        <v>108</v>
      </c>
      <c r="B118" t="s">
        <v>189</v>
      </c>
      <c r="C118">
        <v>1200</v>
      </c>
      <c r="D118" t="s">
        <v>190</v>
      </c>
      <c r="E118">
        <v>1000000</v>
      </c>
      <c r="F118" t="s">
        <v>191</v>
      </c>
      <c r="G118">
        <v>12345</v>
      </c>
      <c r="H118" t="s">
        <v>216</v>
      </c>
      <c r="I118">
        <v>1</v>
      </c>
      <c r="J118" t="s">
        <v>192</v>
      </c>
      <c r="K118">
        <v>1E-4</v>
      </c>
      <c r="L118" t="s">
        <v>3</v>
      </c>
      <c r="M118">
        <v>0.99560760000000004</v>
      </c>
      <c r="N118" t="s">
        <v>2</v>
      </c>
      <c r="O118">
        <v>5.0783200000000001E-2</v>
      </c>
      <c r="P118" t="s">
        <v>17</v>
      </c>
      <c r="Q118">
        <v>68</v>
      </c>
      <c r="R118" t="s">
        <v>0</v>
      </c>
      <c r="S118">
        <v>1201.0999999999999</v>
      </c>
      <c r="T118" t="s">
        <v>152</v>
      </c>
      <c r="U118">
        <v>2</v>
      </c>
      <c r="V118" t="s">
        <v>153</v>
      </c>
      <c r="W118">
        <v>33</v>
      </c>
      <c r="X118" t="s">
        <v>151</v>
      </c>
      <c r="Y118">
        <v>112786</v>
      </c>
      <c r="Z118" t="s">
        <v>1</v>
      </c>
      <c r="AA118" t="e" cm="1">
        <f t="array" aca="1" ref="AA118" ca="1">-0.0475442738055+(-4.2384571283246*pow(V2,-1))+((0.1476699282323*pow(V3,1))*pow((V1+V2),-1))+(((1.7947480675107*pow(V3,1))*pow(((V2*V3)+(V2*LOG(v0))),-1))*EXP((0.1260719598075*V1)))+(((2.6013009906249*pow(V2,-1))*EXP((-0.2200459057317*V1)))*EXP((((0.3879268841325*V1)*pow(V3,-1))*pow((-0.864+v0),0.5))))</f>
        <v>#NAME?</v>
      </c>
      <c r="AB118" t="s">
        <v>4</v>
      </c>
      <c r="AC118">
        <v>0.99462530000000005</v>
      </c>
      <c r="AD118" t="s">
        <v>5</v>
      </c>
      <c r="AE118">
        <v>5.7960400000000002E-2</v>
      </c>
    </row>
    <row r="119" spans="1:31" x14ac:dyDescent="0.25">
      <c r="A119" t="s">
        <v>104</v>
      </c>
      <c r="B119" t="s">
        <v>189</v>
      </c>
      <c r="C119">
        <v>1200</v>
      </c>
      <c r="D119" t="s">
        <v>190</v>
      </c>
      <c r="E119">
        <v>1000000</v>
      </c>
      <c r="F119" t="s">
        <v>191</v>
      </c>
      <c r="G119">
        <v>12345</v>
      </c>
      <c r="H119" t="s">
        <v>216</v>
      </c>
      <c r="I119">
        <v>1</v>
      </c>
      <c r="J119" t="s">
        <v>192</v>
      </c>
      <c r="K119">
        <v>1E-4</v>
      </c>
      <c r="L119" t="s">
        <v>3</v>
      </c>
      <c r="M119">
        <v>0.99814970000000003</v>
      </c>
      <c r="N119" t="s">
        <v>2</v>
      </c>
      <c r="O119">
        <v>6.1652899999999997E-2</v>
      </c>
      <c r="P119" t="s">
        <v>17</v>
      </c>
      <c r="Q119">
        <v>49</v>
      </c>
      <c r="R119" t="s">
        <v>0</v>
      </c>
      <c r="S119">
        <v>1203.3</v>
      </c>
      <c r="T119" t="s">
        <v>152</v>
      </c>
      <c r="U119">
        <v>2</v>
      </c>
      <c r="V119" t="s">
        <v>153</v>
      </c>
      <c r="W119">
        <v>28</v>
      </c>
      <c r="X119" t="s">
        <v>151</v>
      </c>
      <c r="Y119">
        <v>98640</v>
      </c>
      <c r="Z119" t="s">
        <v>1</v>
      </c>
      <c r="AA119" t="s">
        <v>261</v>
      </c>
      <c r="AB119" t="s">
        <v>4</v>
      </c>
      <c r="AC119" s="7">
        <v>0.99808640000000004</v>
      </c>
      <c r="AD119" t="s">
        <v>5</v>
      </c>
      <c r="AE119" s="7">
        <v>6.4272599999999999E-2</v>
      </c>
    </row>
    <row r="120" spans="1:31" x14ac:dyDescent="0.25">
      <c r="A120" t="s">
        <v>114</v>
      </c>
      <c r="B120" t="s">
        <v>189</v>
      </c>
      <c r="C120">
        <v>1200</v>
      </c>
      <c r="D120" t="s">
        <v>190</v>
      </c>
      <c r="E120">
        <v>1000000</v>
      </c>
      <c r="F120" t="s">
        <v>191</v>
      </c>
      <c r="G120">
        <v>12345</v>
      </c>
      <c r="H120" t="s">
        <v>216</v>
      </c>
      <c r="I120">
        <v>1</v>
      </c>
      <c r="J120" t="s">
        <v>192</v>
      </c>
      <c r="K120">
        <v>1E-4</v>
      </c>
      <c r="L120" t="s">
        <v>3</v>
      </c>
      <c r="M120">
        <v>1</v>
      </c>
      <c r="N120" t="s">
        <v>2</v>
      </c>
      <c r="O120">
        <v>0</v>
      </c>
      <c r="P120" t="s">
        <v>17</v>
      </c>
      <c r="Q120">
        <v>16</v>
      </c>
      <c r="R120" t="s">
        <v>0</v>
      </c>
      <c r="S120">
        <v>26.5</v>
      </c>
      <c r="T120" t="s">
        <v>152</v>
      </c>
      <c r="U120">
        <v>1</v>
      </c>
      <c r="V120" t="s">
        <v>153</v>
      </c>
      <c r="W120">
        <v>5</v>
      </c>
      <c r="X120" t="s">
        <v>151</v>
      </c>
      <c r="Y120">
        <v>4088</v>
      </c>
      <c r="Z120" t="s">
        <v>1</v>
      </c>
      <c r="AA120" t="s">
        <v>262</v>
      </c>
      <c r="AB120" t="s">
        <v>4</v>
      </c>
      <c r="AC120">
        <v>1</v>
      </c>
      <c r="AD120" t="s">
        <v>5</v>
      </c>
      <c r="AE120">
        <v>0</v>
      </c>
    </row>
    <row r="121" spans="1:31" x14ac:dyDescent="0.25">
      <c r="A121" t="s">
        <v>131</v>
      </c>
      <c r="B121" t="s">
        <v>189</v>
      </c>
      <c r="C121">
        <v>1200</v>
      </c>
      <c r="D121" t="s">
        <v>190</v>
      </c>
      <c r="E121">
        <v>1000000</v>
      </c>
      <c r="F121" t="s">
        <v>191</v>
      </c>
      <c r="G121">
        <v>12345</v>
      </c>
      <c r="H121" t="s">
        <v>216</v>
      </c>
      <c r="I121">
        <v>1</v>
      </c>
      <c r="J121" t="s">
        <v>192</v>
      </c>
      <c r="K121">
        <v>1E-4</v>
      </c>
      <c r="L121" t="s">
        <v>3</v>
      </c>
      <c r="M121">
        <v>-15.268095600000001</v>
      </c>
      <c r="N121" t="s">
        <v>2</v>
      </c>
      <c r="O121">
        <v>52.961243699999997</v>
      </c>
      <c r="P121" t="s">
        <v>17</v>
      </c>
      <c r="Q121">
        <v>121</v>
      </c>
      <c r="R121" t="s">
        <v>0</v>
      </c>
      <c r="S121">
        <v>1201.7</v>
      </c>
      <c r="T121" t="s">
        <v>152</v>
      </c>
      <c r="U121">
        <v>2</v>
      </c>
      <c r="V121" t="s">
        <v>153</v>
      </c>
      <c r="W121">
        <v>33</v>
      </c>
      <c r="X121" t="s">
        <v>151</v>
      </c>
      <c r="Y121">
        <v>106352</v>
      </c>
      <c r="Z121" t="s">
        <v>1</v>
      </c>
      <c r="AA121" t="e" cm="1">
        <f t="array" aca="1" ref="AA121" ca="1">-0.1715478296397+(1.5776438737247*LOG(V1))+((-0.0006129835505*V1)*pow(LOG(V2),-1))+(((0.0000318435109*pow(V3,4))*pow((v0+V1),4))*pow(((V1*pow((-0.5+V4),-1))+(pow((-0.5+V4),-1)*LOG(V2))),-2))+(((0.5488834564727*V1)*V2)*SIN((2.0590605168615*LOG(((V3*pow(V2,-1))+(pow(V1,2)*pow(V2,-1)))))))+(((-0.0000029186481*pow(V2,-1))*pow((-0.5+V3),4.4))*pow((v0+V4),5.28))+((((-1.4154125990956*v0)*V3)*pow(V2,-1))*SIN(((2.0590605168615*V1)+(-2.0590605168615*LOG(((V3*pow(V2,-1))+(pow(V1,2)*pow(V2,-1))))))))</f>
        <v>#VALUE!</v>
      </c>
      <c r="AB121" t="s">
        <v>4</v>
      </c>
      <c r="AC121">
        <v>-10.442480099999999</v>
      </c>
      <c r="AD121" t="s">
        <v>5</v>
      </c>
      <c r="AE121">
        <v>43.807465200000003</v>
      </c>
    </row>
    <row r="122" spans="1:31" x14ac:dyDescent="0.25">
      <c r="A122" t="s">
        <v>117</v>
      </c>
      <c r="B122" t="s">
        <v>189</v>
      </c>
      <c r="C122">
        <v>1200</v>
      </c>
      <c r="D122" t="s">
        <v>190</v>
      </c>
      <c r="E122">
        <v>1000000</v>
      </c>
      <c r="F122" t="s">
        <v>191</v>
      </c>
      <c r="G122">
        <v>12345</v>
      </c>
      <c r="H122" t="s">
        <v>216</v>
      </c>
      <c r="I122">
        <v>1</v>
      </c>
      <c r="J122" t="s">
        <v>192</v>
      </c>
      <c r="K122">
        <v>1E-4</v>
      </c>
      <c r="L122" t="s">
        <v>3</v>
      </c>
      <c r="M122">
        <v>0.99955799999999995</v>
      </c>
      <c r="N122" t="s">
        <v>2</v>
      </c>
      <c r="O122">
        <v>1.0482099999999999E-2</v>
      </c>
      <c r="P122" t="s">
        <v>17</v>
      </c>
      <c r="Q122">
        <v>43</v>
      </c>
      <c r="R122" t="s">
        <v>0</v>
      </c>
      <c r="S122">
        <v>1201.8</v>
      </c>
      <c r="T122" t="s">
        <v>152</v>
      </c>
      <c r="U122">
        <v>4</v>
      </c>
      <c r="V122" t="s">
        <v>153</v>
      </c>
      <c r="W122">
        <v>49</v>
      </c>
      <c r="X122" t="s">
        <v>151</v>
      </c>
      <c r="Y122">
        <v>115617</v>
      </c>
      <c r="Z122" t="s">
        <v>1</v>
      </c>
      <c r="AA122" t="e" cm="1">
        <f t="array" aca="1" ref="AA122" ca="1">-17.1750950313503+(1.4582602006031*pow(((V1*pow(v0,-1))+((-1*V2)*pow(v0,-1))),0.5))+(17.1296094505341*COS((((0.2828076362392*V3)*pow(V4,-1))*pow((1+v0),-1.2))))+(-0.0768381104794*pow(v0,-1))</f>
        <v>#NAME?</v>
      </c>
      <c r="AB122" t="s">
        <v>4</v>
      </c>
      <c r="AC122">
        <v>0.99958729999999996</v>
      </c>
      <c r="AD122" t="s">
        <v>5</v>
      </c>
      <c r="AE122">
        <v>1.0044300000000001E-2</v>
      </c>
    </row>
    <row r="123" spans="1:31" x14ac:dyDescent="0.25">
      <c r="A123" t="s">
        <v>127</v>
      </c>
      <c r="B123" t="s">
        <v>189</v>
      </c>
      <c r="C123">
        <v>1200</v>
      </c>
      <c r="D123" t="s">
        <v>190</v>
      </c>
      <c r="E123">
        <v>1000000</v>
      </c>
      <c r="F123" t="s">
        <v>191</v>
      </c>
      <c r="G123">
        <v>12345</v>
      </c>
      <c r="H123" t="s">
        <v>216</v>
      </c>
      <c r="I123">
        <v>1</v>
      </c>
      <c r="J123" t="s">
        <v>192</v>
      </c>
      <c r="K123">
        <v>1E-4</v>
      </c>
      <c r="L123" t="s">
        <v>3</v>
      </c>
      <c r="M123">
        <v>1</v>
      </c>
      <c r="N123" t="s">
        <v>2</v>
      </c>
      <c r="O123">
        <v>0</v>
      </c>
      <c r="P123" t="s">
        <v>17</v>
      </c>
      <c r="Q123">
        <v>24</v>
      </c>
      <c r="R123" t="s">
        <v>0</v>
      </c>
      <c r="S123">
        <v>115</v>
      </c>
      <c r="T123" t="s">
        <v>152</v>
      </c>
      <c r="U123">
        <v>1</v>
      </c>
      <c r="V123" t="s">
        <v>153</v>
      </c>
      <c r="W123">
        <v>10</v>
      </c>
      <c r="X123" t="s">
        <v>151</v>
      </c>
      <c r="Y123">
        <v>14698</v>
      </c>
      <c r="Z123" t="s">
        <v>1</v>
      </c>
      <c r="AA123" t="s">
        <v>187</v>
      </c>
      <c r="AB123" t="s">
        <v>4</v>
      </c>
      <c r="AC123">
        <v>1</v>
      </c>
      <c r="AD123" t="s">
        <v>5</v>
      </c>
      <c r="AE123">
        <v>0</v>
      </c>
    </row>
    <row r="124" spans="1:31" x14ac:dyDescent="0.25">
      <c r="A124" t="s">
        <v>118</v>
      </c>
      <c r="B124" t="s">
        <v>189</v>
      </c>
      <c r="C124">
        <v>1200</v>
      </c>
      <c r="D124" t="s">
        <v>190</v>
      </c>
      <c r="E124">
        <v>1000000</v>
      </c>
      <c r="F124" t="s">
        <v>191</v>
      </c>
      <c r="G124">
        <v>12345</v>
      </c>
      <c r="H124" t="s">
        <v>216</v>
      </c>
      <c r="I124">
        <v>1</v>
      </c>
      <c r="J124" t="s">
        <v>192</v>
      </c>
      <c r="K124">
        <v>1E-4</v>
      </c>
      <c r="L124" t="s">
        <v>3</v>
      </c>
      <c r="M124">
        <v>0.99991909999999995</v>
      </c>
      <c r="N124" t="s">
        <v>2</v>
      </c>
      <c r="O124">
        <v>1.10928E-2</v>
      </c>
      <c r="P124" t="s">
        <v>17</v>
      </c>
      <c r="Q124">
        <v>43</v>
      </c>
      <c r="R124" t="s">
        <v>0</v>
      </c>
      <c r="S124">
        <v>1201.7</v>
      </c>
      <c r="T124" t="s">
        <v>152</v>
      </c>
      <c r="U124">
        <v>8</v>
      </c>
      <c r="V124" t="s">
        <v>153</v>
      </c>
      <c r="W124">
        <v>72</v>
      </c>
      <c r="X124" t="s">
        <v>151</v>
      </c>
      <c r="Y124">
        <v>140052</v>
      </c>
      <c r="Z124" t="s">
        <v>1</v>
      </c>
      <c r="AA124" t="e" cm="1">
        <f t="array" aca="1" ref="AA124" ca="1">-6.9417952257466+(6.894945749521*COS((((((0.1712252284567*V2)*V3)*pow(v0,-1))*pow(V1,-1))*pow(V4,-1.2))))+(2.9178375098124*pow((v0*V1),0.5))+(((-0.0792489072039*V2)*pow(V3,2))*pow(V4,-2))</f>
        <v>#VALUE!</v>
      </c>
      <c r="AB124" t="s">
        <v>4</v>
      </c>
      <c r="AC124">
        <v>0.99992049999999999</v>
      </c>
      <c r="AD124" t="s">
        <v>5</v>
      </c>
      <c r="AE124">
        <v>1.1009700000000001E-2</v>
      </c>
    </row>
    <row r="125" spans="1:31" x14ac:dyDescent="0.25">
      <c r="A125" t="s">
        <v>124</v>
      </c>
      <c r="B125" t="s">
        <v>189</v>
      </c>
      <c r="C125">
        <v>1200</v>
      </c>
      <c r="D125" t="s">
        <v>190</v>
      </c>
      <c r="E125">
        <v>1000000</v>
      </c>
      <c r="F125" t="s">
        <v>191</v>
      </c>
      <c r="G125">
        <v>12345</v>
      </c>
      <c r="H125" t="s">
        <v>216</v>
      </c>
      <c r="I125">
        <v>1</v>
      </c>
      <c r="J125" t="s">
        <v>192</v>
      </c>
      <c r="K125">
        <v>1E-4</v>
      </c>
      <c r="L125" t="s">
        <v>3</v>
      </c>
      <c r="M125">
        <v>0.99982009999999999</v>
      </c>
      <c r="N125" t="s">
        <v>2</v>
      </c>
      <c r="O125">
        <v>0.19531519999999999</v>
      </c>
      <c r="P125" t="s">
        <v>17</v>
      </c>
      <c r="Q125">
        <v>100</v>
      </c>
      <c r="R125" t="s">
        <v>0</v>
      </c>
      <c r="S125">
        <v>1200.5</v>
      </c>
      <c r="T125" t="s">
        <v>152</v>
      </c>
      <c r="U125">
        <v>1</v>
      </c>
      <c r="V125" t="s">
        <v>153</v>
      </c>
      <c r="W125">
        <v>31</v>
      </c>
      <c r="X125" t="s">
        <v>151</v>
      </c>
      <c r="Y125">
        <v>104695</v>
      </c>
      <c r="Z125" t="s">
        <v>1</v>
      </c>
      <c r="AA125" t="s">
        <v>319</v>
      </c>
      <c r="AB125" t="s">
        <v>4</v>
      </c>
      <c r="AC125">
        <v>0.99981880000000001</v>
      </c>
      <c r="AD125" t="s">
        <v>5</v>
      </c>
      <c r="AE125">
        <v>0.19408710000000001</v>
      </c>
    </row>
    <row r="126" spans="1:31" x14ac:dyDescent="0.25">
      <c r="A126" t="s">
        <v>134</v>
      </c>
      <c r="B126" t="s">
        <v>189</v>
      </c>
      <c r="C126">
        <v>1200</v>
      </c>
      <c r="D126" t="s">
        <v>190</v>
      </c>
      <c r="E126">
        <v>1000000</v>
      </c>
      <c r="F126" t="s">
        <v>191</v>
      </c>
      <c r="G126">
        <v>12345</v>
      </c>
      <c r="H126" t="s">
        <v>216</v>
      </c>
      <c r="I126">
        <v>1</v>
      </c>
      <c r="J126" t="s">
        <v>192</v>
      </c>
      <c r="K126">
        <v>1E-4</v>
      </c>
      <c r="L126" t="s">
        <v>3</v>
      </c>
      <c r="M126">
        <v>1</v>
      </c>
      <c r="N126" t="s">
        <v>2</v>
      </c>
      <c r="O126">
        <v>0</v>
      </c>
      <c r="P126" t="s">
        <v>17</v>
      </c>
      <c r="Q126">
        <v>36</v>
      </c>
      <c r="R126" t="s">
        <v>0</v>
      </c>
      <c r="S126">
        <v>418.7</v>
      </c>
      <c r="T126" t="s">
        <v>152</v>
      </c>
      <c r="U126">
        <v>3</v>
      </c>
      <c r="V126" t="s">
        <v>153</v>
      </c>
      <c r="W126">
        <v>28</v>
      </c>
      <c r="X126" t="s">
        <v>151</v>
      </c>
      <c r="Y126">
        <v>56098</v>
      </c>
      <c r="Z126" t="s">
        <v>1</v>
      </c>
      <c r="AA126" t="s">
        <v>265</v>
      </c>
      <c r="AB126" t="s">
        <v>4</v>
      </c>
      <c r="AC126">
        <v>1</v>
      </c>
      <c r="AD126" t="s">
        <v>5</v>
      </c>
      <c r="AE126">
        <v>0</v>
      </c>
    </row>
    <row r="127" spans="1:31" x14ac:dyDescent="0.25">
      <c r="A127" t="s">
        <v>141</v>
      </c>
      <c r="B127" t="s">
        <v>189</v>
      </c>
      <c r="C127">
        <v>1200</v>
      </c>
      <c r="D127" t="s">
        <v>190</v>
      </c>
      <c r="E127">
        <v>1000000</v>
      </c>
      <c r="F127" t="s">
        <v>191</v>
      </c>
      <c r="G127">
        <v>12345</v>
      </c>
      <c r="H127" t="s">
        <v>216</v>
      </c>
      <c r="I127">
        <v>1</v>
      </c>
      <c r="J127" t="s">
        <v>192</v>
      </c>
      <c r="K127">
        <v>1E-4</v>
      </c>
      <c r="L127" t="s">
        <v>3</v>
      </c>
      <c r="M127">
        <v>0.99418229999999996</v>
      </c>
      <c r="N127" t="s">
        <v>2</v>
      </c>
      <c r="O127">
        <v>1.0925473000000001</v>
      </c>
      <c r="P127" t="s">
        <v>17</v>
      </c>
      <c r="Q127">
        <v>81</v>
      </c>
      <c r="R127" t="s">
        <v>0</v>
      </c>
      <c r="S127">
        <v>1201</v>
      </c>
      <c r="T127" t="s">
        <v>152</v>
      </c>
      <c r="U127">
        <v>1</v>
      </c>
      <c r="V127" t="s">
        <v>153</v>
      </c>
      <c r="W127">
        <v>26</v>
      </c>
      <c r="X127" t="s">
        <v>151</v>
      </c>
      <c r="Y127">
        <v>103260</v>
      </c>
      <c r="Z127" t="s">
        <v>1</v>
      </c>
      <c r="AA127" t="s">
        <v>320</v>
      </c>
      <c r="AB127" t="s">
        <v>4</v>
      </c>
      <c r="AC127">
        <v>0.99417909999999998</v>
      </c>
      <c r="AD127" t="s">
        <v>5</v>
      </c>
      <c r="AE127">
        <v>1.0997922</v>
      </c>
    </row>
    <row r="128" spans="1:31" x14ac:dyDescent="0.25">
      <c r="A128" t="s">
        <v>137</v>
      </c>
      <c r="B128" t="s">
        <v>189</v>
      </c>
      <c r="C128">
        <v>1200</v>
      </c>
      <c r="D128" t="s">
        <v>190</v>
      </c>
      <c r="E128">
        <v>1000000</v>
      </c>
      <c r="F128" t="s">
        <v>191</v>
      </c>
      <c r="G128">
        <v>12345</v>
      </c>
      <c r="H128" t="s">
        <v>216</v>
      </c>
      <c r="I128">
        <v>1</v>
      </c>
      <c r="J128" t="s">
        <v>192</v>
      </c>
      <c r="K128">
        <v>1E-4</v>
      </c>
      <c r="L128" t="s">
        <v>3</v>
      </c>
      <c r="M128">
        <v>0.99839129999999998</v>
      </c>
      <c r="N128" t="s">
        <v>2</v>
      </c>
      <c r="O128">
        <v>0.18851209999999999</v>
      </c>
      <c r="P128" t="s">
        <v>17</v>
      </c>
      <c r="Q128">
        <v>92</v>
      </c>
      <c r="R128" t="s">
        <v>0</v>
      </c>
      <c r="S128">
        <v>1203.7</v>
      </c>
      <c r="T128" t="s">
        <v>152</v>
      </c>
      <c r="U128">
        <v>1</v>
      </c>
      <c r="V128" t="s">
        <v>153</v>
      </c>
      <c r="W128">
        <v>27</v>
      </c>
      <c r="X128" t="s">
        <v>151</v>
      </c>
      <c r="Y128">
        <v>101429</v>
      </c>
      <c r="Z128" t="s">
        <v>1</v>
      </c>
      <c r="AA128" t="e" cm="1">
        <f t="array" aca="1" ref="AA128" ca="1">-3.748653567127+(8.1888028880965*COS((((((-0.0216008309437*V1)*V2)*V3)*V4)+(((((0.0216008309437*v0)*V2)*V3)*V4)*SIN(V5)))))+(2.0301649670571*pow(V4,2))+(-5.8469449994824*V4)+((-0.0616956096929*V4)*V5)+((-0.3437374570703*pow(((0.9166666666666*V5)+(-1*V4)),-10))*LOG((V2*pow(V4,2))))+((((((0.5789026404514*v0)*V1)*pow(V2,2))*pow(V3,2))*pow(((0.8333333333333*V5)+(-1*V4)),-2))*LOG(pow(V4,2)))</f>
        <v>#VALUE!</v>
      </c>
      <c r="AB128" t="s">
        <v>4</v>
      </c>
      <c r="AC128">
        <v>0.99822290000000002</v>
      </c>
      <c r="AD128" t="s">
        <v>5</v>
      </c>
      <c r="AE128">
        <v>0.19402079999999999</v>
      </c>
    </row>
    <row r="129" spans="1:31" x14ac:dyDescent="0.25">
      <c r="A129" t="s">
        <v>128</v>
      </c>
      <c r="B129" t="s">
        <v>189</v>
      </c>
      <c r="C129">
        <v>1200</v>
      </c>
      <c r="D129" t="s">
        <v>190</v>
      </c>
      <c r="E129">
        <v>1000000</v>
      </c>
      <c r="F129" t="s">
        <v>191</v>
      </c>
      <c r="G129">
        <v>12345</v>
      </c>
      <c r="H129" t="s">
        <v>216</v>
      </c>
      <c r="I129">
        <v>1</v>
      </c>
      <c r="J129" t="s">
        <v>192</v>
      </c>
      <c r="K129">
        <v>1E-4</v>
      </c>
      <c r="L129" t="s">
        <v>3</v>
      </c>
      <c r="M129">
        <v>0.99468860000000003</v>
      </c>
      <c r="N129" t="s">
        <v>2</v>
      </c>
      <c r="O129">
        <v>0.6630838</v>
      </c>
      <c r="P129" t="s">
        <v>17</v>
      </c>
      <c r="Q129">
        <v>110</v>
      </c>
      <c r="R129" t="s">
        <v>0</v>
      </c>
      <c r="S129">
        <v>1202.7</v>
      </c>
      <c r="T129" t="s">
        <v>152</v>
      </c>
      <c r="U129">
        <v>1</v>
      </c>
      <c r="V129" t="s">
        <v>153</v>
      </c>
      <c r="W129">
        <v>39</v>
      </c>
      <c r="X129" t="s">
        <v>151</v>
      </c>
      <c r="Y129">
        <v>105727</v>
      </c>
      <c r="Z129" t="s">
        <v>1</v>
      </c>
      <c r="AA129" t="e" cm="1">
        <f t="array" aca="1" ref="AA129" ca="1">-3408.49247947645+(4.0706045390976*pow(V2,-4))+(21.6361323614847*pow(V3,-1))+(6818.23580633856*pow((1+pow((V2*ASIN(pow(V3,-1))),0.005)),-1))+(-23.1683734446694*pow(V2,-1))+(((0.3845640022967*V1)*pow((v0*V4),1))*LOG((V2*ASIN(pow(V3,-1)))))+((((-0.0105376051402*V3)*pow(V1,1.6))*pow(V2,-5))*pow(V4,1.6))+((((-0.0105376051402*pow(v0,2))*pow(V1,1.6))*pow(V2,-5))*pow(V4,1.6))+((((((0.0000107940113*v0)*pow(V1,1.6))*pow(V2,5))*pow(V3,-1))*pow(V4,1.6))*COS(V3))</f>
        <v>#NAME?</v>
      </c>
      <c r="AB129" t="s">
        <v>4</v>
      </c>
      <c r="AC129">
        <v>0.99422920000000004</v>
      </c>
      <c r="AD129" t="s">
        <v>5</v>
      </c>
      <c r="AE129">
        <v>0.69415819999999995</v>
      </c>
    </row>
    <row r="130" spans="1:31" x14ac:dyDescent="0.25">
      <c r="A130" t="s">
        <v>138</v>
      </c>
      <c r="B130" t="s">
        <v>189</v>
      </c>
      <c r="C130">
        <v>1200</v>
      </c>
      <c r="D130" t="s">
        <v>190</v>
      </c>
      <c r="E130">
        <v>1000000</v>
      </c>
      <c r="F130" t="s">
        <v>191</v>
      </c>
      <c r="G130">
        <v>12345</v>
      </c>
      <c r="H130" t="s">
        <v>216</v>
      </c>
      <c r="I130">
        <v>1</v>
      </c>
      <c r="J130" t="s">
        <v>192</v>
      </c>
      <c r="K130">
        <v>1E-4</v>
      </c>
      <c r="L130" t="s">
        <v>3</v>
      </c>
      <c r="M130">
        <v>1</v>
      </c>
      <c r="N130" t="s">
        <v>2</v>
      </c>
      <c r="O130">
        <v>0</v>
      </c>
      <c r="P130" t="s">
        <v>17</v>
      </c>
      <c r="Q130">
        <v>18</v>
      </c>
      <c r="R130" t="s">
        <v>0</v>
      </c>
      <c r="S130">
        <v>36.700000000000003</v>
      </c>
      <c r="T130" t="s">
        <v>152</v>
      </c>
      <c r="U130">
        <v>1</v>
      </c>
      <c r="V130" t="s">
        <v>153</v>
      </c>
      <c r="W130">
        <v>6</v>
      </c>
      <c r="X130" t="s">
        <v>151</v>
      </c>
      <c r="Y130">
        <v>4924</v>
      </c>
      <c r="Z130" t="s">
        <v>1</v>
      </c>
      <c r="AA130" t="s">
        <v>188</v>
      </c>
      <c r="AB130" t="s">
        <v>4</v>
      </c>
      <c r="AC130">
        <v>1</v>
      </c>
      <c r="AD130" t="s">
        <v>5</v>
      </c>
      <c r="AE130">
        <v>0</v>
      </c>
    </row>
    <row r="131" spans="1:31" x14ac:dyDescent="0.25">
      <c r="A131" t="s">
        <v>144</v>
      </c>
      <c r="B131" t="s">
        <v>189</v>
      </c>
      <c r="C131">
        <v>1200</v>
      </c>
      <c r="D131" t="s">
        <v>190</v>
      </c>
      <c r="E131">
        <v>1000000</v>
      </c>
      <c r="F131" t="s">
        <v>191</v>
      </c>
      <c r="G131">
        <v>12345</v>
      </c>
      <c r="H131" t="s">
        <v>216</v>
      </c>
      <c r="I131">
        <v>1</v>
      </c>
      <c r="J131" t="s">
        <v>192</v>
      </c>
      <c r="K131">
        <v>1E-4</v>
      </c>
      <c r="L131" t="s">
        <v>3</v>
      </c>
      <c r="M131">
        <v>0.94627070000000002</v>
      </c>
      <c r="N131" t="s">
        <v>2</v>
      </c>
      <c r="O131">
        <v>0.15139749999999999</v>
      </c>
      <c r="P131" t="s">
        <v>17</v>
      </c>
      <c r="Q131">
        <v>55</v>
      </c>
      <c r="R131" t="s">
        <v>0</v>
      </c>
      <c r="S131">
        <v>1201.5999999999999</v>
      </c>
      <c r="T131" t="s">
        <v>152</v>
      </c>
      <c r="U131">
        <v>2</v>
      </c>
      <c r="V131" t="s">
        <v>153</v>
      </c>
      <c r="W131">
        <v>32</v>
      </c>
      <c r="X131" t="s">
        <v>151</v>
      </c>
      <c r="Y131">
        <v>109951</v>
      </c>
      <c r="Z131" t="s">
        <v>1</v>
      </c>
      <c r="AA131" t="s">
        <v>267</v>
      </c>
      <c r="AB131" t="s">
        <v>4</v>
      </c>
      <c r="AC131">
        <v>0.94466629999999996</v>
      </c>
      <c r="AD131" t="s">
        <v>5</v>
      </c>
      <c r="AE131">
        <v>0.1527017</v>
      </c>
    </row>
    <row r="132" spans="1:31" x14ac:dyDescent="0.25">
      <c r="A132" t="s">
        <v>147</v>
      </c>
      <c r="B132" t="s">
        <v>189</v>
      </c>
      <c r="C132">
        <v>1200</v>
      </c>
      <c r="D132" t="s">
        <v>190</v>
      </c>
      <c r="E132">
        <v>1000000</v>
      </c>
      <c r="F132" t="s">
        <v>191</v>
      </c>
      <c r="G132">
        <v>12345</v>
      </c>
      <c r="H132" t="s">
        <v>216</v>
      </c>
      <c r="I132">
        <v>1</v>
      </c>
      <c r="J132" t="s">
        <v>192</v>
      </c>
      <c r="K132">
        <v>1E-4</v>
      </c>
      <c r="L132" t="s">
        <v>3</v>
      </c>
      <c r="M132">
        <v>0.99983489999999997</v>
      </c>
      <c r="N132" t="s">
        <v>2</v>
      </c>
      <c r="O132">
        <v>0.1520746</v>
      </c>
      <c r="P132" t="s">
        <v>17</v>
      </c>
      <c r="Q132">
        <v>177</v>
      </c>
      <c r="R132" t="s">
        <v>0</v>
      </c>
      <c r="S132">
        <v>1203.8</v>
      </c>
      <c r="T132" t="s">
        <v>152</v>
      </c>
      <c r="U132">
        <v>1</v>
      </c>
      <c r="V132" t="s">
        <v>153</v>
      </c>
      <c r="W132">
        <v>25</v>
      </c>
      <c r="X132" t="s">
        <v>151</v>
      </c>
      <c r="Y132">
        <v>102935</v>
      </c>
      <c r="Z132" t="s">
        <v>1</v>
      </c>
      <c r="AA132" t="s">
        <v>321</v>
      </c>
      <c r="AB132" t="s">
        <v>4</v>
      </c>
      <c r="AC132">
        <v>0.99984249999999997</v>
      </c>
      <c r="AD132" t="s">
        <v>5</v>
      </c>
      <c r="AE132">
        <v>0.14851539999999999</v>
      </c>
    </row>
    <row r="133" spans="1:31" x14ac:dyDescent="0.25">
      <c r="A133" t="s">
        <v>148</v>
      </c>
      <c r="B133" t="s">
        <v>189</v>
      </c>
      <c r="C133">
        <v>1200</v>
      </c>
      <c r="D133" t="s">
        <v>190</v>
      </c>
      <c r="E133">
        <v>1000000</v>
      </c>
      <c r="F133" t="s">
        <v>191</v>
      </c>
      <c r="G133">
        <v>12345</v>
      </c>
      <c r="H133" t="s">
        <v>216</v>
      </c>
      <c r="I133">
        <v>1</v>
      </c>
      <c r="J133" t="s">
        <v>192</v>
      </c>
      <c r="K133">
        <v>1E-4</v>
      </c>
      <c r="L133" t="s">
        <v>3</v>
      </c>
      <c r="M133">
        <v>0.93281890000000001</v>
      </c>
      <c r="N133" t="s">
        <v>2</v>
      </c>
      <c r="O133">
        <v>4.0656508000000002</v>
      </c>
      <c r="P133" t="s">
        <v>17</v>
      </c>
      <c r="Q133">
        <v>131</v>
      </c>
      <c r="R133" t="s">
        <v>0</v>
      </c>
      <c r="S133">
        <v>1202.4000000000001</v>
      </c>
      <c r="T133" t="s">
        <v>152</v>
      </c>
      <c r="U133">
        <v>1</v>
      </c>
      <c r="V133" t="s">
        <v>153</v>
      </c>
      <c r="W133">
        <v>26</v>
      </c>
      <c r="X133" t="s">
        <v>151</v>
      </c>
      <c r="Y133">
        <v>114018</v>
      </c>
      <c r="Z133" t="s">
        <v>1</v>
      </c>
      <c r="AA133" t="s">
        <v>309</v>
      </c>
      <c r="AB133" t="s">
        <v>4</v>
      </c>
      <c r="AC133">
        <v>0.92974420000000002</v>
      </c>
      <c r="AD133" t="s">
        <v>5</v>
      </c>
      <c r="AE133">
        <v>3.3774863000000002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70CAF-E7CA-46E0-B820-1DD7551F2FCE}">
  <dimension ref="A1:AE133"/>
  <sheetViews>
    <sheetView workbookViewId="0">
      <selection activeCell="N16" sqref="N16"/>
    </sheetView>
  </sheetViews>
  <sheetFormatPr defaultRowHeight="15" x14ac:dyDescent="0.25"/>
  <sheetData>
    <row r="1" spans="1:31" x14ac:dyDescent="0.25">
      <c r="A1" t="s">
        <v>23</v>
      </c>
      <c r="B1" t="s">
        <v>189</v>
      </c>
      <c r="C1">
        <v>1200</v>
      </c>
      <c r="D1" t="s">
        <v>190</v>
      </c>
      <c r="E1">
        <v>1000000</v>
      </c>
      <c r="F1" t="s">
        <v>191</v>
      </c>
      <c r="G1">
        <v>12345</v>
      </c>
      <c r="H1" t="s">
        <v>216</v>
      </c>
      <c r="I1">
        <v>1</v>
      </c>
      <c r="J1" t="s">
        <v>192</v>
      </c>
      <c r="K1">
        <v>1.0000000000000001E-5</v>
      </c>
      <c r="L1" t="s">
        <v>3</v>
      </c>
      <c r="M1">
        <v>-2.9575033999999998</v>
      </c>
      <c r="N1" t="s">
        <v>2</v>
      </c>
      <c r="O1">
        <v>1.1492726</v>
      </c>
      <c r="P1" t="s">
        <v>17</v>
      </c>
      <c r="Q1">
        <v>190</v>
      </c>
      <c r="R1" t="s">
        <v>0</v>
      </c>
      <c r="S1">
        <v>1200.3</v>
      </c>
      <c r="T1" t="s">
        <v>152</v>
      </c>
      <c r="U1">
        <v>3</v>
      </c>
      <c r="V1" t="s">
        <v>153</v>
      </c>
      <c r="W1">
        <v>70</v>
      </c>
      <c r="X1" t="s">
        <v>151</v>
      </c>
      <c r="Y1">
        <v>209723</v>
      </c>
      <c r="Z1" t="s">
        <v>1</v>
      </c>
      <c r="AA1" t="s">
        <v>334</v>
      </c>
      <c r="AB1" t="s">
        <v>4</v>
      </c>
      <c r="AC1">
        <v>0.94232919999999998</v>
      </c>
      <c r="AD1" t="s">
        <v>5</v>
      </c>
      <c r="AE1">
        <v>0.15620500000000001</v>
      </c>
    </row>
    <row r="2" spans="1:31" x14ac:dyDescent="0.25">
      <c r="A2" t="s">
        <v>33</v>
      </c>
      <c r="B2" t="s">
        <v>189</v>
      </c>
      <c r="C2">
        <v>1200</v>
      </c>
      <c r="D2" t="s">
        <v>190</v>
      </c>
      <c r="E2">
        <v>1000000</v>
      </c>
      <c r="F2" t="s">
        <v>191</v>
      </c>
      <c r="G2">
        <v>12345</v>
      </c>
      <c r="H2" t="s">
        <v>216</v>
      </c>
      <c r="I2">
        <v>1</v>
      </c>
      <c r="J2" t="s">
        <v>192</v>
      </c>
      <c r="K2">
        <v>1.0000000000000001E-5</v>
      </c>
      <c r="L2" t="s">
        <v>3</v>
      </c>
      <c r="M2">
        <v>1</v>
      </c>
      <c r="N2" t="s">
        <v>2</v>
      </c>
      <c r="O2">
        <v>0</v>
      </c>
      <c r="P2" t="s">
        <v>17</v>
      </c>
      <c r="Q2">
        <v>6</v>
      </c>
      <c r="R2" t="s">
        <v>0</v>
      </c>
      <c r="S2">
        <v>2.7</v>
      </c>
      <c r="T2" t="s">
        <v>152</v>
      </c>
      <c r="U2">
        <v>1</v>
      </c>
      <c r="V2" t="s">
        <v>153</v>
      </c>
      <c r="W2">
        <v>2</v>
      </c>
      <c r="X2" t="s">
        <v>151</v>
      </c>
      <c r="Y2">
        <v>540</v>
      </c>
      <c r="Z2" t="s">
        <v>1</v>
      </c>
      <c r="AA2" t="s">
        <v>159</v>
      </c>
      <c r="AB2" t="s">
        <v>4</v>
      </c>
      <c r="AC2">
        <v>1</v>
      </c>
      <c r="AD2" t="s">
        <v>5</v>
      </c>
      <c r="AE2">
        <v>0</v>
      </c>
    </row>
    <row r="3" spans="1:31" x14ac:dyDescent="0.25">
      <c r="A3" t="s">
        <v>43</v>
      </c>
      <c r="B3" t="s">
        <v>189</v>
      </c>
      <c r="C3">
        <v>1200</v>
      </c>
      <c r="D3" t="s">
        <v>190</v>
      </c>
      <c r="E3">
        <v>1000000</v>
      </c>
      <c r="F3" t="s">
        <v>191</v>
      </c>
      <c r="G3">
        <v>12345</v>
      </c>
      <c r="H3" t="s">
        <v>216</v>
      </c>
      <c r="I3">
        <v>1</v>
      </c>
      <c r="J3" t="s">
        <v>192</v>
      </c>
      <c r="K3">
        <v>1.0000000000000001E-5</v>
      </c>
      <c r="L3" t="s">
        <v>3</v>
      </c>
      <c r="M3">
        <v>1</v>
      </c>
      <c r="N3" t="s">
        <v>2</v>
      </c>
      <c r="O3">
        <v>0</v>
      </c>
      <c r="P3" t="s">
        <v>17</v>
      </c>
      <c r="Q3">
        <v>8</v>
      </c>
      <c r="R3" t="s">
        <v>0</v>
      </c>
      <c r="S3">
        <v>5.5</v>
      </c>
      <c r="T3" t="s">
        <v>152</v>
      </c>
      <c r="U3">
        <v>1</v>
      </c>
      <c r="V3" t="s">
        <v>153</v>
      </c>
      <c r="W3">
        <v>3</v>
      </c>
      <c r="X3" t="s">
        <v>151</v>
      </c>
      <c r="Y3">
        <v>1038</v>
      </c>
      <c r="Z3" t="s">
        <v>1</v>
      </c>
      <c r="AA3" t="s">
        <v>172</v>
      </c>
      <c r="AB3" t="s">
        <v>4</v>
      </c>
      <c r="AC3">
        <v>1</v>
      </c>
      <c r="AD3" t="s">
        <v>5</v>
      </c>
      <c r="AE3">
        <v>0</v>
      </c>
    </row>
    <row r="4" spans="1:31" x14ac:dyDescent="0.25">
      <c r="A4" t="s">
        <v>53</v>
      </c>
      <c r="B4" t="s">
        <v>189</v>
      </c>
      <c r="C4">
        <v>1200</v>
      </c>
      <c r="D4" t="s">
        <v>190</v>
      </c>
      <c r="E4">
        <v>1000000</v>
      </c>
      <c r="F4" t="s">
        <v>191</v>
      </c>
      <c r="G4">
        <v>12345</v>
      </c>
      <c r="H4" t="s">
        <v>216</v>
      </c>
      <c r="I4">
        <v>1</v>
      </c>
      <c r="J4" t="s">
        <v>192</v>
      </c>
      <c r="K4">
        <v>1.0000000000000001E-5</v>
      </c>
      <c r="L4" t="s">
        <v>3</v>
      </c>
      <c r="M4">
        <v>1</v>
      </c>
      <c r="N4" t="s">
        <v>2</v>
      </c>
      <c r="O4">
        <v>0</v>
      </c>
      <c r="P4" t="s">
        <v>17</v>
      </c>
      <c r="Q4">
        <v>12</v>
      </c>
      <c r="R4" t="s">
        <v>0</v>
      </c>
      <c r="S4">
        <v>14.8</v>
      </c>
      <c r="T4" t="s">
        <v>152</v>
      </c>
      <c r="U4">
        <v>1</v>
      </c>
      <c r="V4" t="s">
        <v>153</v>
      </c>
      <c r="W4">
        <v>4</v>
      </c>
      <c r="X4" t="s">
        <v>151</v>
      </c>
      <c r="Y4">
        <v>2549</v>
      </c>
      <c r="Z4" t="s">
        <v>1</v>
      </c>
      <c r="AA4" t="s">
        <v>226</v>
      </c>
      <c r="AB4" t="s">
        <v>4</v>
      </c>
      <c r="AC4">
        <v>1</v>
      </c>
      <c r="AD4" t="s">
        <v>5</v>
      </c>
      <c r="AE4">
        <v>0</v>
      </c>
    </row>
    <row r="5" spans="1:31" x14ac:dyDescent="0.25">
      <c r="A5" t="s">
        <v>63</v>
      </c>
      <c r="B5" t="s">
        <v>189</v>
      </c>
      <c r="C5">
        <v>1200</v>
      </c>
      <c r="D5" t="s">
        <v>190</v>
      </c>
      <c r="E5">
        <v>1000000</v>
      </c>
      <c r="F5" t="s">
        <v>191</v>
      </c>
      <c r="G5">
        <v>12345</v>
      </c>
      <c r="H5" t="s">
        <v>216</v>
      </c>
      <c r="I5">
        <v>1</v>
      </c>
      <c r="J5" t="s">
        <v>192</v>
      </c>
      <c r="K5">
        <v>1.0000000000000001E-5</v>
      </c>
      <c r="L5" t="s">
        <v>3</v>
      </c>
      <c r="M5">
        <v>1</v>
      </c>
      <c r="N5" t="s">
        <v>2</v>
      </c>
      <c r="O5">
        <v>0</v>
      </c>
      <c r="P5" t="s">
        <v>17</v>
      </c>
      <c r="Q5">
        <v>8</v>
      </c>
      <c r="R5" t="s">
        <v>0</v>
      </c>
      <c r="S5">
        <v>6.6</v>
      </c>
      <c r="T5" t="s">
        <v>152</v>
      </c>
      <c r="U5">
        <v>1</v>
      </c>
      <c r="V5" t="s">
        <v>153</v>
      </c>
      <c r="W5">
        <v>3</v>
      </c>
      <c r="X5" t="s">
        <v>151</v>
      </c>
      <c r="Y5">
        <v>1182</v>
      </c>
      <c r="Z5" t="s">
        <v>1</v>
      </c>
      <c r="AA5" t="s">
        <v>206</v>
      </c>
      <c r="AB5" t="s">
        <v>4</v>
      </c>
      <c r="AC5">
        <v>1</v>
      </c>
      <c r="AD5" t="s">
        <v>5</v>
      </c>
      <c r="AE5">
        <v>0</v>
      </c>
    </row>
    <row r="6" spans="1:31" x14ac:dyDescent="0.25">
      <c r="A6" t="s">
        <v>73</v>
      </c>
      <c r="B6" t="s">
        <v>189</v>
      </c>
      <c r="C6">
        <v>1200</v>
      </c>
      <c r="D6" t="s">
        <v>190</v>
      </c>
      <c r="E6">
        <v>1000000</v>
      </c>
      <c r="F6" t="s">
        <v>191</v>
      </c>
      <c r="G6">
        <v>12345</v>
      </c>
      <c r="H6" t="s">
        <v>216</v>
      </c>
      <c r="I6">
        <v>1</v>
      </c>
      <c r="J6" t="s">
        <v>192</v>
      </c>
      <c r="K6">
        <v>1.0000000000000001E-5</v>
      </c>
      <c r="L6" t="s">
        <v>3</v>
      </c>
      <c r="M6">
        <v>1</v>
      </c>
      <c r="N6" t="s">
        <v>2</v>
      </c>
      <c r="O6">
        <v>0</v>
      </c>
      <c r="P6" t="s">
        <v>17</v>
      </c>
      <c r="Q6">
        <v>8</v>
      </c>
      <c r="R6" t="s">
        <v>0</v>
      </c>
      <c r="S6">
        <v>6.5</v>
      </c>
      <c r="T6" t="s">
        <v>152</v>
      </c>
      <c r="U6">
        <v>1</v>
      </c>
      <c r="V6" t="s">
        <v>153</v>
      </c>
      <c r="W6">
        <v>3</v>
      </c>
      <c r="X6" t="s">
        <v>151</v>
      </c>
      <c r="Y6">
        <v>1184</v>
      </c>
      <c r="Z6" t="s">
        <v>1</v>
      </c>
      <c r="AA6" t="s">
        <v>207</v>
      </c>
      <c r="AB6" t="s">
        <v>4</v>
      </c>
      <c r="AC6">
        <v>1</v>
      </c>
      <c r="AD6" t="s">
        <v>5</v>
      </c>
      <c r="AE6">
        <v>0</v>
      </c>
    </row>
    <row r="7" spans="1:31" x14ac:dyDescent="0.25">
      <c r="A7" t="s">
        <v>83</v>
      </c>
      <c r="B7" t="s">
        <v>189</v>
      </c>
      <c r="C7">
        <v>1200</v>
      </c>
      <c r="D7" t="s">
        <v>190</v>
      </c>
      <c r="E7">
        <v>1000000</v>
      </c>
      <c r="F7" t="s">
        <v>191</v>
      </c>
      <c r="G7">
        <v>12345</v>
      </c>
      <c r="H7" t="s">
        <v>216</v>
      </c>
      <c r="I7">
        <v>1</v>
      </c>
      <c r="J7" t="s">
        <v>192</v>
      </c>
      <c r="K7">
        <v>1.0000000000000001E-5</v>
      </c>
      <c r="L7" t="s">
        <v>3</v>
      </c>
      <c r="M7">
        <v>1</v>
      </c>
      <c r="N7" t="s">
        <v>2</v>
      </c>
      <c r="O7">
        <v>0</v>
      </c>
      <c r="P7" t="s">
        <v>17</v>
      </c>
      <c r="Q7">
        <v>12</v>
      </c>
      <c r="R7" t="s">
        <v>0</v>
      </c>
      <c r="S7">
        <v>15.4</v>
      </c>
      <c r="T7" t="s">
        <v>152</v>
      </c>
      <c r="U7">
        <v>1</v>
      </c>
      <c r="V7" t="s">
        <v>153</v>
      </c>
      <c r="W7">
        <v>4</v>
      </c>
      <c r="X7" t="s">
        <v>151</v>
      </c>
      <c r="Y7">
        <v>2553</v>
      </c>
      <c r="Z7" t="s">
        <v>1</v>
      </c>
      <c r="AA7" t="s">
        <v>163</v>
      </c>
      <c r="AB7" t="s">
        <v>4</v>
      </c>
      <c r="AC7">
        <v>1</v>
      </c>
      <c r="AD7" t="s">
        <v>5</v>
      </c>
      <c r="AE7">
        <v>0</v>
      </c>
    </row>
    <row r="8" spans="1:31" x14ac:dyDescent="0.25">
      <c r="A8" t="s">
        <v>93</v>
      </c>
      <c r="B8" t="s">
        <v>189</v>
      </c>
      <c r="C8">
        <v>1200</v>
      </c>
      <c r="D8" t="s">
        <v>190</v>
      </c>
      <c r="E8">
        <v>1000000</v>
      </c>
      <c r="F8" t="s">
        <v>191</v>
      </c>
      <c r="G8">
        <v>12345</v>
      </c>
      <c r="H8" t="s">
        <v>216</v>
      </c>
      <c r="I8">
        <v>1</v>
      </c>
      <c r="J8" t="s">
        <v>192</v>
      </c>
      <c r="K8">
        <v>1.0000000000000001E-5</v>
      </c>
      <c r="L8" t="s">
        <v>3</v>
      </c>
      <c r="M8">
        <v>0.99999700000000002</v>
      </c>
      <c r="N8" t="s">
        <v>2</v>
      </c>
      <c r="O8">
        <v>2.7702E-3</v>
      </c>
      <c r="P8" t="s">
        <v>17</v>
      </c>
      <c r="Q8">
        <v>70</v>
      </c>
      <c r="R8" t="s">
        <v>0</v>
      </c>
      <c r="S8">
        <v>1202.2</v>
      </c>
      <c r="T8" t="s">
        <v>152</v>
      </c>
      <c r="U8">
        <v>2</v>
      </c>
      <c r="V8" t="s">
        <v>153</v>
      </c>
      <c r="W8">
        <v>31</v>
      </c>
      <c r="X8" t="s">
        <v>151</v>
      </c>
      <c r="Y8">
        <v>95882</v>
      </c>
      <c r="Z8" t="s">
        <v>1</v>
      </c>
      <c r="AA8" t="s">
        <v>329</v>
      </c>
      <c r="AB8" t="s">
        <v>4</v>
      </c>
      <c r="AC8">
        <v>0.99999749999999998</v>
      </c>
      <c r="AD8" t="s">
        <v>5</v>
      </c>
      <c r="AE8">
        <v>2.5417999999999999E-3</v>
      </c>
    </row>
    <row r="9" spans="1:31" x14ac:dyDescent="0.25">
      <c r="A9" t="s">
        <v>19</v>
      </c>
      <c r="B9" t="s">
        <v>189</v>
      </c>
      <c r="C9">
        <v>1200</v>
      </c>
      <c r="D9" t="s">
        <v>190</v>
      </c>
      <c r="E9">
        <v>1000000</v>
      </c>
      <c r="F9" t="s">
        <v>191</v>
      </c>
      <c r="G9">
        <v>12345</v>
      </c>
      <c r="H9" t="s">
        <v>216</v>
      </c>
      <c r="I9">
        <v>1</v>
      </c>
      <c r="J9" t="s">
        <v>192</v>
      </c>
      <c r="K9">
        <v>1.0000000000000001E-5</v>
      </c>
      <c r="L9" t="s">
        <v>3</v>
      </c>
      <c r="M9">
        <v>1</v>
      </c>
      <c r="N9" t="s">
        <v>2</v>
      </c>
      <c r="O9">
        <v>0</v>
      </c>
      <c r="P9" t="s">
        <v>17</v>
      </c>
      <c r="Q9">
        <v>21</v>
      </c>
      <c r="R9" t="s">
        <v>0</v>
      </c>
      <c r="S9">
        <v>58.7</v>
      </c>
      <c r="T9" t="s">
        <v>152</v>
      </c>
      <c r="U9">
        <v>5</v>
      </c>
      <c r="V9" t="s">
        <v>153</v>
      </c>
      <c r="W9">
        <v>32</v>
      </c>
      <c r="X9" t="s">
        <v>151</v>
      </c>
      <c r="Y9">
        <v>27447</v>
      </c>
      <c r="Z9" t="s">
        <v>1</v>
      </c>
      <c r="AA9" t="s">
        <v>218</v>
      </c>
      <c r="AB9" t="s">
        <v>4</v>
      </c>
      <c r="AC9">
        <v>1</v>
      </c>
      <c r="AD9" t="s">
        <v>5</v>
      </c>
      <c r="AE9">
        <v>0</v>
      </c>
    </row>
    <row r="10" spans="1:31" x14ac:dyDescent="0.25">
      <c r="A10" t="s">
        <v>29</v>
      </c>
      <c r="B10" t="s">
        <v>189</v>
      </c>
      <c r="C10">
        <v>1200</v>
      </c>
      <c r="D10" t="s">
        <v>190</v>
      </c>
      <c r="E10">
        <v>1000000</v>
      </c>
      <c r="F10" t="s">
        <v>191</v>
      </c>
      <c r="G10">
        <v>12345</v>
      </c>
      <c r="H10" t="s">
        <v>216</v>
      </c>
      <c r="I10">
        <v>1</v>
      </c>
      <c r="J10" t="s">
        <v>192</v>
      </c>
      <c r="K10">
        <v>1.0000000000000001E-5</v>
      </c>
      <c r="L10" t="s">
        <v>3</v>
      </c>
      <c r="M10">
        <v>1</v>
      </c>
      <c r="N10" t="s">
        <v>2</v>
      </c>
      <c r="O10">
        <v>0</v>
      </c>
      <c r="P10" t="s">
        <v>17</v>
      </c>
      <c r="Q10">
        <v>16</v>
      </c>
      <c r="R10" t="s">
        <v>0</v>
      </c>
      <c r="S10">
        <v>72.400000000000006</v>
      </c>
      <c r="T10" t="s">
        <v>152</v>
      </c>
      <c r="U10">
        <v>1</v>
      </c>
      <c r="V10" t="s">
        <v>153</v>
      </c>
      <c r="W10">
        <v>20</v>
      </c>
      <c r="X10" t="s">
        <v>151</v>
      </c>
      <c r="Y10">
        <v>23764</v>
      </c>
      <c r="Z10" t="s">
        <v>1</v>
      </c>
      <c r="AA10" t="s">
        <v>335</v>
      </c>
      <c r="AB10" t="s">
        <v>4</v>
      </c>
      <c r="AC10">
        <v>1</v>
      </c>
      <c r="AD10" t="s">
        <v>5</v>
      </c>
      <c r="AE10">
        <v>0</v>
      </c>
    </row>
    <row r="11" spans="1:31" x14ac:dyDescent="0.25">
      <c r="A11" t="s">
        <v>39</v>
      </c>
      <c r="B11" t="s">
        <v>189</v>
      </c>
      <c r="C11">
        <v>1200</v>
      </c>
      <c r="D11" t="s">
        <v>190</v>
      </c>
      <c r="E11">
        <v>1000000</v>
      </c>
      <c r="F11" t="s">
        <v>191</v>
      </c>
      <c r="G11">
        <v>12345</v>
      </c>
      <c r="H11" t="s">
        <v>216</v>
      </c>
      <c r="I11">
        <v>1</v>
      </c>
      <c r="J11" t="s">
        <v>192</v>
      </c>
      <c r="K11">
        <v>1.0000000000000001E-5</v>
      </c>
      <c r="L11" t="s">
        <v>3</v>
      </c>
      <c r="M11">
        <v>1</v>
      </c>
      <c r="N11" t="s">
        <v>2</v>
      </c>
      <c r="O11">
        <v>0</v>
      </c>
      <c r="P11" t="s">
        <v>17</v>
      </c>
      <c r="Q11">
        <v>6</v>
      </c>
      <c r="R11" t="s">
        <v>0</v>
      </c>
      <c r="S11">
        <v>2.9</v>
      </c>
      <c r="T11" t="s">
        <v>152</v>
      </c>
      <c r="U11">
        <v>1</v>
      </c>
      <c r="V11" t="s">
        <v>153</v>
      </c>
      <c r="W11">
        <v>2</v>
      </c>
      <c r="X11" t="s">
        <v>151</v>
      </c>
      <c r="Y11">
        <v>536</v>
      </c>
      <c r="Z11" t="s">
        <v>1</v>
      </c>
      <c r="AA11" t="s">
        <v>158</v>
      </c>
      <c r="AB11" t="s">
        <v>4</v>
      </c>
      <c r="AC11">
        <v>1</v>
      </c>
      <c r="AD11" t="s">
        <v>5</v>
      </c>
      <c r="AE11">
        <v>0</v>
      </c>
    </row>
    <row r="12" spans="1:31" x14ac:dyDescent="0.25">
      <c r="A12" t="s">
        <v>103</v>
      </c>
      <c r="B12" t="s">
        <v>189</v>
      </c>
      <c r="C12">
        <v>1200</v>
      </c>
      <c r="D12" t="s">
        <v>190</v>
      </c>
      <c r="E12">
        <v>1000000</v>
      </c>
      <c r="F12" t="s">
        <v>191</v>
      </c>
      <c r="G12">
        <v>12345</v>
      </c>
      <c r="H12" t="s">
        <v>216</v>
      </c>
      <c r="I12">
        <v>1</v>
      </c>
      <c r="J12" t="s">
        <v>192</v>
      </c>
      <c r="K12">
        <v>1.0000000000000001E-5</v>
      </c>
      <c r="L12" t="s">
        <v>3</v>
      </c>
      <c r="M12">
        <v>0.99997749999999996</v>
      </c>
      <c r="N12" t="s">
        <v>2</v>
      </c>
      <c r="O12">
        <v>3.4514900000000001E-2</v>
      </c>
      <c r="P12" t="s">
        <v>17</v>
      </c>
      <c r="Q12">
        <v>115</v>
      </c>
      <c r="R12" t="s">
        <v>0</v>
      </c>
      <c r="S12">
        <v>1202.5</v>
      </c>
      <c r="T12" t="s">
        <v>152</v>
      </c>
      <c r="U12">
        <v>1</v>
      </c>
      <c r="V12" t="s">
        <v>153</v>
      </c>
      <c r="W12">
        <v>28</v>
      </c>
      <c r="X12" t="s">
        <v>151</v>
      </c>
      <c r="Y12">
        <v>78339</v>
      </c>
      <c r="Z12" t="s">
        <v>1</v>
      </c>
      <c r="AA12" t="s">
        <v>330</v>
      </c>
      <c r="AB12" t="s">
        <v>4</v>
      </c>
      <c r="AC12">
        <v>0.99997729999999996</v>
      </c>
      <c r="AD12" t="s">
        <v>5</v>
      </c>
      <c r="AE12">
        <v>3.4564600000000001E-2</v>
      </c>
    </row>
    <row r="13" spans="1:31" x14ac:dyDescent="0.25">
      <c r="A13" t="s">
        <v>113</v>
      </c>
      <c r="B13" t="s">
        <v>189</v>
      </c>
      <c r="C13">
        <v>1200</v>
      </c>
      <c r="D13" t="s">
        <v>190</v>
      </c>
      <c r="E13">
        <v>1000000</v>
      </c>
      <c r="F13" t="s">
        <v>191</v>
      </c>
      <c r="G13">
        <v>12345</v>
      </c>
      <c r="H13" t="s">
        <v>216</v>
      </c>
      <c r="I13">
        <v>1</v>
      </c>
      <c r="J13" t="s">
        <v>192</v>
      </c>
      <c r="K13">
        <v>1.0000000000000001E-5</v>
      </c>
      <c r="L13" t="s">
        <v>3</v>
      </c>
      <c r="M13">
        <v>1</v>
      </c>
      <c r="N13" t="s">
        <v>2</v>
      </c>
      <c r="O13">
        <v>0</v>
      </c>
      <c r="P13" t="s">
        <v>17</v>
      </c>
      <c r="Q13">
        <v>16</v>
      </c>
      <c r="R13" t="s">
        <v>0</v>
      </c>
      <c r="S13">
        <v>33.200000000000003</v>
      </c>
      <c r="T13" t="s">
        <v>152</v>
      </c>
      <c r="U13">
        <v>1</v>
      </c>
      <c r="V13" t="s">
        <v>153</v>
      </c>
      <c r="W13">
        <v>6</v>
      </c>
      <c r="X13" t="s">
        <v>151</v>
      </c>
      <c r="Y13">
        <v>4796</v>
      </c>
      <c r="Z13" t="s">
        <v>1</v>
      </c>
      <c r="AA13" t="s">
        <v>168</v>
      </c>
      <c r="AB13" t="s">
        <v>4</v>
      </c>
      <c r="AC13">
        <v>1</v>
      </c>
      <c r="AD13" t="s">
        <v>5</v>
      </c>
      <c r="AE13">
        <v>0</v>
      </c>
    </row>
    <row r="14" spans="1:31" x14ac:dyDescent="0.25">
      <c r="A14" t="s">
        <v>49</v>
      </c>
      <c r="B14" t="s">
        <v>189</v>
      </c>
      <c r="C14">
        <v>1200</v>
      </c>
      <c r="D14" t="s">
        <v>190</v>
      </c>
      <c r="E14">
        <v>1000000</v>
      </c>
      <c r="F14" t="s">
        <v>191</v>
      </c>
      <c r="G14">
        <v>12345</v>
      </c>
      <c r="H14" t="s">
        <v>216</v>
      </c>
      <c r="I14">
        <v>1</v>
      </c>
      <c r="J14" t="s">
        <v>192</v>
      </c>
      <c r="K14">
        <v>1.0000000000000001E-5</v>
      </c>
      <c r="L14" t="s">
        <v>3</v>
      </c>
      <c r="M14">
        <v>0.99999990000000005</v>
      </c>
      <c r="N14" t="s">
        <v>2</v>
      </c>
      <c r="O14">
        <v>2.253E-4</v>
      </c>
      <c r="P14" t="s">
        <v>17</v>
      </c>
      <c r="Q14">
        <v>54</v>
      </c>
      <c r="R14" t="s">
        <v>0</v>
      </c>
      <c r="S14">
        <v>1200.2</v>
      </c>
      <c r="T14" t="s">
        <v>152</v>
      </c>
      <c r="U14">
        <v>8</v>
      </c>
      <c r="V14" t="s">
        <v>153</v>
      </c>
      <c r="W14">
        <v>81</v>
      </c>
      <c r="X14" t="s">
        <v>151</v>
      </c>
      <c r="Y14">
        <v>138341</v>
      </c>
      <c r="Z14" t="s">
        <v>1</v>
      </c>
      <c r="AA14" t="s">
        <v>336</v>
      </c>
      <c r="AB14" t="s">
        <v>4</v>
      </c>
      <c r="AC14">
        <v>0.99999990000000005</v>
      </c>
      <c r="AD14" t="s">
        <v>5</v>
      </c>
      <c r="AE14">
        <v>2.4659999999999998E-4</v>
      </c>
    </row>
    <row r="15" spans="1:31" x14ac:dyDescent="0.25">
      <c r="A15" t="s">
        <v>59</v>
      </c>
      <c r="B15" t="s">
        <v>189</v>
      </c>
      <c r="C15">
        <v>1200</v>
      </c>
      <c r="D15" t="s">
        <v>190</v>
      </c>
      <c r="E15">
        <v>1000000</v>
      </c>
      <c r="F15" t="s">
        <v>191</v>
      </c>
      <c r="G15">
        <v>12345</v>
      </c>
      <c r="H15" t="s">
        <v>216</v>
      </c>
      <c r="I15">
        <v>1</v>
      </c>
      <c r="J15" t="s">
        <v>192</v>
      </c>
      <c r="K15">
        <v>1.0000000000000001E-5</v>
      </c>
      <c r="L15" t="s">
        <v>3</v>
      </c>
      <c r="M15">
        <v>1</v>
      </c>
      <c r="N15" t="s">
        <v>2</v>
      </c>
      <c r="O15">
        <v>0</v>
      </c>
      <c r="P15" t="s">
        <v>17</v>
      </c>
      <c r="Q15">
        <v>12</v>
      </c>
      <c r="R15" t="s">
        <v>0</v>
      </c>
      <c r="S15">
        <v>10</v>
      </c>
      <c r="T15" t="s">
        <v>152</v>
      </c>
      <c r="U15">
        <v>1</v>
      </c>
      <c r="V15" t="s">
        <v>153</v>
      </c>
      <c r="W15">
        <v>3</v>
      </c>
      <c r="X15" t="s">
        <v>151</v>
      </c>
      <c r="Y15">
        <v>1730</v>
      </c>
      <c r="Z15" t="s">
        <v>1</v>
      </c>
      <c r="AA15" t="s">
        <v>160</v>
      </c>
      <c r="AB15" t="s">
        <v>4</v>
      </c>
      <c r="AC15">
        <v>1</v>
      </c>
      <c r="AD15" t="s">
        <v>5</v>
      </c>
      <c r="AE15">
        <v>0</v>
      </c>
    </row>
    <row r="16" spans="1:31" x14ac:dyDescent="0.25">
      <c r="A16" t="s">
        <v>69</v>
      </c>
      <c r="B16" t="s">
        <v>189</v>
      </c>
      <c r="C16">
        <v>1200</v>
      </c>
      <c r="D16" t="s">
        <v>190</v>
      </c>
      <c r="E16">
        <v>1000000</v>
      </c>
      <c r="F16" t="s">
        <v>191</v>
      </c>
      <c r="G16">
        <v>12345</v>
      </c>
      <c r="H16" t="s">
        <v>216</v>
      </c>
      <c r="I16">
        <v>1</v>
      </c>
      <c r="J16" t="s">
        <v>192</v>
      </c>
      <c r="K16">
        <v>1.0000000000000001E-5</v>
      </c>
      <c r="L16" t="s">
        <v>3</v>
      </c>
      <c r="M16">
        <v>1</v>
      </c>
      <c r="N16" t="s">
        <v>2</v>
      </c>
      <c r="O16">
        <v>0</v>
      </c>
      <c r="P16" t="s">
        <v>17</v>
      </c>
      <c r="Q16">
        <v>9</v>
      </c>
      <c r="R16" t="s">
        <v>0</v>
      </c>
      <c r="S16">
        <v>8.3000000000000007</v>
      </c>
      <c r="T16" t="s">
        <v>152</v>
      </c>
      <c r="U16">
        <v>1</v>
      </c>
      <c r="V16" t="s">
        <v>153</v>
      </c>
      <c r="W16">
        <v>4</v>
      </c>
      <c r="X16" t="s">
        <v>151</v>
      </c>
      <c r="Y16">
        <v>1540</v>
      </c>
      <c r="Z16" t="s">
        <v>1</v>
      </c>
      <c r="AA16" t="s">
        <v>178</v>
      </c>
      <c r="AB16" t="s">
        <v>4</v>
      </c>
      <c r="AC16">
        <v>1</v>
      </c>
      <c r="AD16" t="s">
        <v>5</v>
      </c>
      <c r="AE16">
        <v>0</v>
      </c>
    </row>
    <row r="17" spans="1:31" x14ac:dyDescent="0.25">
      <c r="A17" t="s">
        <v>123</v>
      </c>
      <c r="B17" t="s">
        <v>189</v>
      </c>
      <c r="C17">
        <v>1200</v>
      </c>
      <c r="D17" t="s">
        <v>190</v>
      </c>
      <c r="E17">
        <v>1000000</v>
      </c>
      <c r="F17" t="s">
        <v>191</v>
      </c>
      <c r="G17">
        <v>12345</v>
      </c>
      <c r="H17" t="s">
        <v>216</v>
      </c>
      <c r="I17">
        <v>1</v>
      </c>
      <c r="J17" t="s">
        <v>192</v>
      </c>
      <c r="K17">
        <v>1.0000000000000001E-5</v>
      </c>
      <c r="L17" t="s">
        <v>3</v>
      </c>
      <c r="M17">
        <v>1</v>
      </c>
      <c r="N17" t="s">
        <v>2</v>
      </c>
      <c r="O17">
        <v>0</v>
      </c>
      <c r="P17" t="s">
        <v>17</v>
      </c>
      <c r="Q17">
        <v>26</v>
      </c>
      <c r="R17" t="s">
        <v>0</v>
      </c>
      <c r="S17">
        <v>338.3</v>
      </c>
      <c r="T17" t="s">
        <v>152</v>
      </c>
      <c r="U17">
        <v>1</v>
      </c>
      <c r="V17" t="s">
        <v>153</v>
      </c>
      <c r="W17">
        <v>11</v>
      </c>
      <c r="X17" t="s">
        <v>151</v>
      </c>
      <c r="Y17">
        <v>31541</v>
      </c>
      <c r="Z17" t="s">
        <v>1</v>
      </c>
      <c r="AA17" t="s">
        <v>179</v>
      </c>
      <c r="AB17" t="s">
        <v>4</v>
      </c>
      <c r="AC17">
        <v>1</v>
      </c>
      <c r="AD17" t="s">
        <v>5</v>
      </c>
      <c r="AE17">
        <v>0</v>
      </c>
    </row>
    <row r="18" spans="1:31" x14ac:dyDescent="0.25">
      <c r="A18" t="s">
        <v>79</v>
      </c>
      <c r="B18" t="s">
        <v>189</v>
      </c>
      <c r="C18">
        <v>1200</v>
      </c>
      <c r="D18" t="s">
        <v>190</v>
      </c>
      <c r="E18">
        <v>1000000</v>
      </c>
      <c r="F18" t="s">
        <v>191</v>
      </c>
      <c r="G18">
        <v>12345</v>
      </c>
      <c r="H18" t="s">
        <v>216</v>
      </c>
      <c r="I18">
        <v>1</v>
      </c>
      <c r="J18" t="s">
        <v>192</v>
      </c>
      <c r="K18">
        <v>1.0000000000000001E-5</v>
      </c>
      <c r="L18" t="s">
        <v>3</v>
      </c>
      <c r="M18">
        <v>1</v>
      </c>
      <c r="N18" t="s">
        <v>2</v>
      </c>
      <c r="O18">
        <v>0</v>
      </c>
      <c r="P18" t="s">
        <v>17</v>
      </c>
      <c r="Q18">
        <v>10</v>
      </c>
      <c r="R18" t="s">
        <v>0</v>
      </c>
      <c r="S18">
        <v>39</v>
      </c>
      <c r="T18" t="s">
        <v>152</v>
      </c>
      <c r="U18">
        <v>1</v>
      </c>
      <c r="V18" t="s">
        <v>153</v>
      </c>
      <c r="W18">
        <v>7</v>
      </c>
      <c r="X18" t="s">
        <v>151</v>
      </c>
      <c r="Y18">
        <v>5268</v>
      </c>
      <c r="Z18" t="s">
        <v>1</v>
      </c>
      <c r="AA18" t="s">
        <v>229</v>
      </c>
      <c r="AB18" t="s">
        <v>4</v>
      </c>
      <c r="AC18">
        <v>1</v>
      </c>
      <c r="AD18" t="s">
        <v>5</v>
      </c>
      <c r="AE18">
        <v>0</v>
      </c>
    </row>
    <row r="19" spans="1:31" x14ac:dyDescent="0.25">
      <c r="A19" t="s">
        <v>133</v>
      </c>
      <c r="B19" t="s">
        <v>189</v>
      </c>
      <c r="C19">
        <v>1200</v>
      </c>
      <c r="D19" t="s">
        <v>190</v>
      </c>
      <c r="E19">
        <v>1000000</v>
      </c>
      <c r="F19" t="s">
        <v>191</v>
      </c>
      <c r="G19">
        <v>12345</v>
      </c>
      <c r="H19" t="s">
        <v>216</v>
      </c>
      <c r="I19">
        <v>1</v>
      </c>
      <c r="J19" t="s">
        <v>192</v>
      </c>
      <c r="K19">
        <v>1.0000000000000001E-5</v>
      </c>
      <c r="L19" t="s">
        <v>3</v>
      </c>
      <c r="M19">
        <v>1</v>
      </c>
      <c r="N19" t="s">
        <v>2</v>
      </c>
      <c r="O19">
        <v>0</v>
      </c>
      <c r="P19" t="s">
        <v>17</v>
      </c>
      <c r="Q19">
        <v>14</v>
      </c>
      <c r="R19" t="s">
        <v>0</v>
      </c>
      <c r="S19">
        <v>26.9</v>
      </c>
      <c r="T19" t="s">
        <v>152</v>
      </c>
      <c r="U19">
        <v>1</v>
      </c>
      <c r="V19" t="s">
        <v>153</v>
      </c>
      <c r="W19">
        <v>5</v>
      </c>
      <c r="X19" t="s">
        <v>151</v>
      </c>
      <c r="Y19">
        <v>4034</v>
      </c>
      <c r="Z19" t="s">
        <v>1</v>
      </c>
      <c r="AA19" t="s">
        <v>214</v>
      </c>
      <c r="AB19" t="s">
        <v>4</v>
      </c>
      <c r="AC19">
        <v>1</v>
      </c>
      <c r="AD19" t="s">
        <v>5</v>
      </c>
      <c r="AE19">
        <v>0</v>
      </c>
    </row>
    <row r="20" spans="1:31" x14ac:dyDescent="0.25">
      <c r="A20" t="s">
        <v>89</v>
      </c>
      <c r="B20" t="s">
        <v>189</v>
      </c>
      <c r="C20">
        <v>1200</v>
      </c>
      <c r="D20" t="s">
        <v>190</v>
      </c>
      <c r="E20">
        <v>1000000</v>
      </c>
      <c r="F20" t="s">
        <v>191</v>
      </c>
      <c r="G20">
        <v>12345</v>
      </c>
      <c r="H20" t="s">
        <v>216</v>
      </c>
      <c r="I20">
        <v>1</v>
      </c>
      <c r="J20" t="s">
        <v>192</v>
      </c>
      <c r="K20">
        <v>1.0000000000000001E-5</v>
      </c>
      <c r="L20" t="s">
        <v>3</v>
      </c>
      <c r="M20">
        <v>0.93890499999999999</v>
      </c>
      <c r="N20" t="s">
        <v>2</v>
      </c>
      <c r="O20">
        <v>0.2455243</v>
      </c>
      <c r="P20" t="s">
        <v>17</v>
      </c>
      <c r="Q20">
        <v>111</v>
      </c>
      <c r="R20" t="s">
        <v>0</v>
      </c>
      <c r="S20">
        <v>1200.5999999999999</v>
      </c>
      <c r="T20" t="s">
        <v>152</v>
      </c>
      <c r="U20">
        <v>1</v>
      </c>
      <c r="V20" t="s">
        <v>153</v>
      </c>
      <c r="W20">
        <v>29</v>
      </c>
      <c r="X20" t="s">
        <v>151</v>
      </c>
      <c r="Y20">
        <v>95505</v>
      </c>
      <c r="Z20" t="s">
        <v>1</v>
      </c>
      <c r="AA20" t="e" cm="1">
        <f t="array" aca="1" ref="AA20" ca="1">-2.3811332188099+(2.3594463822795*pow(v0,-1))+((0.1353202554286*pow(V2,-0.8))*pow(V3,2))+((5.2130305758474*pow((pow(V1,-1)+(0.7272727272727*V1)),-2))*pow(LOG((0.5+v0)),2))+((0.3987299543604*V1)*pow((v0+(0.5*pow((-1+v0),-1))),-1))+((0.235120109374*pow(V1,2))*pow((v0+(0.5*pow(v0,-1))),-1))+(((0.1686116417081*pow(V2,2))*pow(V3,-1))*COS((-0.5+((2.8299589756416*V3)*pow(V2,-1)))))+(((-0.0086107916809*pow(V2,3.1415926535898))*pow(V3,-1))*COS((-0.5+((5.9715516292314*V3)*pow(V2,-1)))))</f>
        <v>#NAME?</v>
      </c>
      <c r="AB20" t="s">
        <v>4</v>
      </c>
      <c r="AC20">
        <v>0.93950259999999997</v>
      </c>
      <c r="AD20" t="s">
        <v>5</v>
      </c>
      <c r="AE20">
        <v>0.2456295</v>
      </c>
    </row>
    <row r="21" spans="1:31" x14ac:dyDescent="0.25">
      <c r="A21" t="s">
        <v>143</v>
      </c>
      <c r="B21" t="s">
        <v>189</v>
      </c>
      <c r="C21">
        <v>1200</v>
      </c>
      <c r="D21" t="s">
        <v>190</v>
      </c>
      <c r="E21">
        <v>1000000</v>
      </c>
      <c r="F21" t="s">
        <v>191</v>
      </c>
      <c r="G21">
        <v>12345</v>
      </c>
      <c r="H21" t="s">
        <v>216</v>
      </c>
      <c r="I21">
        <v>1</v>
      </c>
      <c r="J21" t="s">
        <v>192</v>
      </c>
      <c r="K21">
        <v>1.0000000000000001E-5</v>
      </c>
      <c r="L21" t="s">
        <v>3</v>
      </c>
      <c r="M21">
        <v>0.70051180000000002</v>
      </c>
      <c r="N21" t="s">
        <v>2</v>
      </c>
      <c r="O21">
        <v>1.105661</v>
      </c>
      <c r="P21" t="s">
        <v>17</v>
      </c>
      <c r="Q21">
        <v>120</v>
      </c>
      <c r="R21" t="s">
        <v>0</v>
      </c>
      <c r="S21">
        <v>1202.8</v>
      </c>
      <c r="T21" t="s">
        <v>152</v>
      </c>
      <c r="U21">
        <v>1</v>
      </c>
      <c r="V21" t="s">
        <v>153</v>
      </c>
      <c r="W21">
        <v>30</v>
      </c>
      <c r="X21" t="s">
        <v>151</v>
      </c>
      <c r="Y21">
        <v>105046</v>
      </c>
      <c r="Z21" t="s">
        <v>1</v>
      </c>
      <c r="AA21" t="s">
        <v>310</v>
      </c>
      <c r="AB21" t="s">
        <v>4</v>
      </c>
      <c r="AC21">
        <v>0.69816909999999999</v>
      </c>
      <c r="AD21" t="s">
        <v>5</v>
      </c>
      <c r="AE21">
        <v>1.1139337</v>
      </c>
    </row>
    <row r="22" spans="1:31" x14ac:dyDescent="0.25">
      <c r="A22" t="s">
        <v>99</v>
      </c>
      <c r="B22" t="s">
        <v>189</v>
      </c>
      <c r="C22">
        <v>1200</v>
      </c>
      <c r="D22" t="s">
        <v>190</v>
      </c>
      <c r="E22">
        <v>1000000</v>
      </c>
      <c r="F22" t="s">
        <v>191</v>
      </c>
      <c r="G22">
        <v>12345</v>
      </c>
      <c r="H22" t="s">
        <v>216</v>
      </c>
      <c r="I22">
        <v>1</v>
      </c>
      <c r="J22" t="s">
        <v>192</v>
      </c>
      <c r="K22">
        <v>1.0000000000000001E-5</v>
      </c>
      <c r="L22" t="s">
        <v>3</v>
      </c>
      <c r="M22">
        <v>1</v>
      </c>
      <c r="N22" t="s">
        <v>2</v>
      </c>
      <c r="O22">
        <v>0</v>
      </c>
      <c r="P22" t="s">
        <v>17</v>
      </c>
      <c r="Q22">
        <v>12</v>
      </c>
      <c r="R22" t="s">
        <v>0</v>
      </c>
      <c r="S22">
        <v>17.100000000000001</v>
      </c>
      <c r="T22" t="s">
        <v>152</v>
      </c>
      <c r="U22">
        <v>1</v>
      </c>
      <c r="V22" t="s">
        <v>153</v>
      </c>
      <c r="W22">
        <v>4</v>
      </c>
      <c r="X22" t="s">
        <v>151</v>
      </c>
      <c r="Y22">
        <v>2574</v>
      </c>
      <c r="Z22" t="s">
        <v>1</v>
      </c>
      <c r="AA22" t="s">
        <v>203</v>
      </c>
      <c r="AB22" t="s">
        <v>4</v>
      </c>
      <c r="AC22">
        <v>1</v>
      </c>
      <c r="AD22" t="s">
        <v>5</v>
      </c>
      <c r="AE22">
        <v>0</v>
      </c>
    </row>
    <row r="23" spans="1:31" x14ac:dyDescent="0.25">
      <c r="A23" t="s">
        <v>109</v>
      </c>
      <c r="B23" t="s">
        <v>189</v>
      </c>
      <c r="C23">
        <v>1200</v>
      </c>
      <c r="D23" t="s">
        <v>190</v>
      </c>
      <c r="E23">
        <v>1000000</v>
      </c>
      <c r="F23" t="s">
        <v>191</v>
      </c>
      <c r="G23">
        <v>12345</v>
      </c>
      <c r="H23" t="s">
        <v>216</v>
      </c>
      <c r="I23">
        <v>1</v>
      </c>
      <c r="J23" t="s">
        <v>192</v>
      </c>
      <c r="K23">
        <v>1.0000000000000001E-5</v>
      </c>
      <c r="L23" t="s">
        <v>3</v>
      </c>
      <c r="M23">
        <v>1</v>
      </c>
      <c r="N23" t="s">
        <v>2</v>
      </c>
      <c r="O23">
        <v>0</v>
      </c>
      <c r="P23" t="s">
        <v>17</v>
      </c>
      <c r="Q23">
        <v>12</v>
      </c>
      <c r="R23" t="s">
        <v>0</v>
      </c>
      <c r="S23">
        <v>14.9</v>
      </c>
      <c r="T23" t="s">
        <v>152</v>
      </c>
      <c r="U23">
        <v>1</v>
      </c>
      <c r="V23" t="s">
        <v>153</v>
      </c>
      <c r="W23">
        <v>4</v>
      </c>
      <c r="X23" t="s">
        <v>151</v>
      </c>
      <c r="Y23">
        <v>2566</v>
      </c>
      <c r="Z23" t="s">
        <v>1</v>
      </c>
      <c r="AA23" t="s">
        <v>209</v>
      </c>
      <c r="AB23" t="s">
        <v>4</v>
      </c>
      <c r="AC23">
        <v>1</v>
      </c>
      <c r="AD23" t="s">
        <v>5</v>
      </c>
      <c r="AE23">
        <v>0</v>
      </c>
    </row>
    <row r="24" spans="1:31" x14ac:dyDescent="0.25">
      <c r="A24" t="s">
        <v>119</v>
      </c>
      <c r="B24" t="s">
        <v>189</v>
      </c>
      <c r="C24">
        <v>1200</v>
      </c>
      <c r="D24" t="s">
        <v>190</v>
      </c>
      <c r="E24">
        <v>1000000</v>
      </c>
      <c r="F24" t="s">
        <v>191</v>
      </c>
      <c r="G24">
        <v>12345</v>
      </c>
      <c r="H24" t="s">
        <v>216</v>
      </c>
      <c r="I24">
        <v>1</v>
      </c>
      <c r="J24" t="s">
        <v>192</v>
      </c>
      <c r="K24">
        <v>1.0000000000000001E-5</v>
      </c>
      <c r="L24" t="s">
        <v>3</v>
      </c>
      <c r="M24">
        <v>-105.9249575</v>
      </c>
      <c r="N24" t="s">
        <v>2</v>
      </c>
      <c r="O24">
        <v>70.915904999999995</v>
      </c>
      <c r="P24" t="s">
        <v>17</v>
      </c>
      <c r="Q24">
        <v>131</v>
      </c>
      <c r="R24" t="s">
        <v>0</v>
      </c>
      <c r="S24">
        <v>1202.8</v>
      </c>
      <c r="T24" t="s">
        <v>152</v>
      </c>
      <c r="U24">
        <v>1</v>
      </c>
      <c r="V24" t="s">
        <v>153</v>
      </c>
      <c r="W24">
        <v>31</v>
      </c>
      <c r="X24" t="s">
        <v>151</v>
      </c>
      <c r="Y24">
        <v>102714</v>
      </c>
      <c r="Z24" t="s">
        <v>1</v>
      </c>
      <c r="AA24" t="e" cm="1">
        <f t="array" aca="1" ref="AA24" ca="1">-3.7950546428137+(1.9712883793199*COS((((1.0890312202271*V1)*V2)*pow(V3,-1))))+(-0.0991061236945*V2)+(-0.9057081819644*pow(V1,-1))+((0.3735319215717*v0)*pow(V1,-1))+((7.9188899405215*V2)*pow((V2+(V3*pow(V1,-1))),-1))+(((-0.0000006605151*pow(V2,20))*pow(V4,-38))*pow((-1+V3),-1.8))+(((-0.0098848766204*pow(V2,10))*pow(V4,-20))*pow((-1+V3),-0.9))+(((-0.0101307186203*V1)*pow(V4,-19))*pow((-1+V3),-0.9))+((((0.0086861998105*V1)*pow(V2,10))*pow(V4,-20))*pow((-1+V3),-0.9))+(((((1.3152018626356*v0)*pow(V1,2.2))*pow(V2,2.2))*pow(V3,-2.2))*pow(V4,-2))</f>
        <v>#VALUE!</v>
      </c>
      <c r="AB24" t="s">
        <v>4</v>
      </c>
      <c r="AC24">
        <v>-5091.9155485000001</v>
      </c>
      <c r="AD24" t="s">
        <v>5</v>
      </c>
      <c r="AE24">
        <v>499.38433500000002</v>
      </c>
    </row>
    <row r="25" spans="1:31" x14ac:dyDescent="0.25">
      <c r="A25" t="s">
        <v>129</v>
      </c>
      <c r="B25" t="s">
        <v>189</v>
      </c>
      <c r="C25">
        <v>1200</v>
      </c>
      <c r="D25" t="s">
        <v>190</v>
      </c>
      <c r="E25">
        <v>1000000</v>
      </c>
      <c r="F25" t="s">
        <v>191</v>
      </c>
      <c r="G25">
        <v>12345</v>
      </c>
      <c r="H25" t="s">
        <v>216</v>
      </c>
      <c r="I25">
        <v>1</v>
      </c>
      <c r="J25" t="s">
        <v>192</v>
      </c>
      <c r="K25">
        <v>1.0000000000000001E-5</v>
      </c>
      <c r="L25" t="s">
        <v>3</v>
      </c>
      <c r="M25">
        <v>1</v>
      </c>
      <c r="N25" t="s">
        <v>2</v>
      </c>
      <c r="O25">
        <v>0</v>
      </c>
      <c r="P25" t="s">
        <v>17</v>
      </c>
      <c r="Q25">
        <v>15</v>
      </c>
      <c r="R25" t="s">
        <v>0</v>
      </c>
      <c r="S25">
        <v>28.9</v>
      </c>
      <c r="T25" t="s">
        <v>152</v>
      </c>
      <c r="U25">
        <v>1</v>
      </c>
      <c r="V25" t="s">
        <v>153</v>
      </c>
      <c r="W25">
        <v>8</v>
      </c>
      <c r="X25" t="s">
        <v>151</v>
      </c>
      <c r="Y25">
        <v>5459</v>
      </c>
      <c r="Z25" t="s">
        <v>1</v>
      </c>
      <c r="AA25" t="s">
        <v>251</v>
      </c>
      <c r="AB25" t="s">
        <v>4</v>
      </c>
      <c r="AC25">
        <v>1</v>
      </c>
      <c r="AD25" t="s">
        <v>5</v>
      </c>
      <c r="AE25">
        <v>0</v>
      </c>
    </row>
    <row r="26" spans="1:31" x14ac:dyDescent="0.25">
      <c r="A26" t="s">
        <v>139</v>
      </c>
      <c r="B26" t="s">
        <v>189</v>
      </c>
      <c r="C26">
        <v>1200</v>
      </c>
      <c r="D26" t="s">
        <v>190</v>
      </c>
      <c r="E26">
        <v>1000000</v>
      </c>
      <c r="F26" t="s">
        <v>191</v>
      </c>
      <c r="G26">
        <v>12345</v>
      </c>
      <c r="H26" t="s">
        <v>216</v>
      </c>
      <c r="I26">
        <v>1</v>
      </c>
      <c r="J26" t="s">
        <v>192</v>
      </c>
      <c r="K26">
        <v>1.0000000000000001E-5</v>
      </c>
      <c r="L26" t="s">
        <v>3</v>
      </c>
      <c r="M26">
        <v>1</v>
      </c>
      <c r="N26" t="s">
        <v>2</v>
      </c>
      <c r="O26">
        <v>0</v>
      </c>
      <c r="P26" t="s">
        <v>17</v>
      </c>
      <c r="Q26">
        <v>50</v>
      </c>
      <c r="R26" t="s">
        <v>0</v>
      </c>
      <c r="S26">
        <v>286.10000000000002</v>
      </c>
      <c r="T26" t="s">
        <v>152</v>
      </c>
      <c r="U26">
        <v>1</v>
      </c>
      <c r="V26" t="s">
        <v>153</v>
      </c>
      <c r="W26">
        <v>11</v>
      </c>
      <c r="X26" t="s">
        <v>151</v>
      </c>
      <c r="Y26">
        <v>31415</v>
      </c>
      <c r="Z26" t="s">
        <v>1</v>
      </c>
      <c r="AA26" t="s">
        <v>253</v>
      </c>
      <c r="AB26" t="s">
        <v>4</v>
      </c>
      <c r="AC26">
        <v>1</v>
      </c>
      <c r="AD26" t="s">
        <v>5</v>
      </c>
      <c r="AE26">
        <v>0</v>
      </c>
    </row>
    <row r="27" spans="1:31" x14ac:dyDescent="0.25">
      <c r="A27" t="s">
        <v>149</v>
      </c>
      <c r="B27" t="s">
        <v>189</v>
      </c>
      <c r="C27">
        <v>1200</v>
      </c>
      <c r="D27" t="s">
        <v>190</v>
      </c>
      <c r="E27">
        <v>1000000</v>
      </c>
      <c r="F27" t="s">
        <v>191</v>
      </c>
      <c r="G27">
        <v>12345</v>
      </c>
      <c r="H27" t="s">
        <v>216</v>
      </c>
      <c r="I27">
        <v>1</v>
      </c>
      <c r="J27" t="s">
        <v>192</v>
      </c>
      <c r="K27">
        <v>1.0000000000000001E-5</v>
      </c>
      <c r="L27" t="s">
        <v>3</v>
      </c>
      <c r="M27">
        <v>1</v>
      </c>
      <c r="N27" t="s">
        <v>2</v>
      </c>
      <c r="O27">
        <v>0</v>
      </c>
      <c r="P27" t="s">
        <v>17</v>
      </c>
      <c r="Q27">
        <v>38</v>
      </c>
      <c r="R27" t="s">
        <v>0</v>
      </c>
      <c r="S27">
        <v>288.89999999999998</v>
      </c>
      <c r="T27" t="s">
        <v>152</v>
      </c>
      <c r="U27">
        <v>1</v>
      </c>
      <c r="V27" t="s">
        <v>153</v>
      </c>
      <c r="W27">
        <v>12</v>
      </c>
      <c r="X27" t="s">
        <v>151</v>
      </c>
      <c r="Y27">
        <v>32871</v>
      </c>
      <c r="Z27" t="s">
        <v>1</v>
      </c>
      <c r="AA27" t="s">
        <v>180</v>
      </c>
      <c r="AB27" t="s">
        <v>4</v>
      </c>
      <c r="AC27">
        <v>1</v>
      </c>
      <c r="AD27" t="s">
        <v>5</v>
      </c>
      <c r="AE27">
        <v>0</v>
      </c>
    </row>
    <row r="28" spans="1:31" x14ac:dyDescent="0.25">
      <c r="A28" t="s">
        <v>20</v>
      </c>
      <c r="B28" t="s">
        <v>189</v>
      </c>
      <c r="C28">
        <v>1200</v>
      </c>
      <c r="D28" t="s">
        <v>190</v>
      </c>
      <c r="E28">
        <v>1000000</v>
      </c>
      <c r="F28" t="s">
        <v>191</v>
      </c>
      <c r="G28">
        <v>12345</v>
      </c>
      <c r="H28" t="s">
        <v>216</v>
      </c>
      <c r="I28">
        <v>1</v>
      </c>
      <c r="J28" t="s">
        <v>192</v>
      </c>
      <c r="K28">
        <v>1.0000000000000001E-5</v>
      </c>
      <c r="L28" t="s">
        <v>3</v>
      </c>
      <c r="M28">
        <v>-12.925242300000001</v>
      </c>
      <c r="N28" t="s">
        <v>2</v>
      </c>
      <c r="O28">
        <v>0.89422449999999998</v>
      </c>
      <c r="P28" t="s">
        <v>17</v>
      </c>
      <c r="Q28">
        <v>104</v>
      </c>
      <c r="R28" t="s">
        <v>0</v>
      </c>
      <c r="S28">
        <v>1200.9000000000001</v>
      </c>
      <c r="T28" t="s">
        <v>152</v>
      </c>
      <c r="U28">
        <v>2</v>
      </c>
      <c r="V28" t="s">
        <v>153</v>
      </c>
      <c r="W28">
        <v>76</v>
      </c>
      <c r="X28" t="s">
        <v>151</v>
      </c>
      <c r="Y28">
        <v>254733</v>
      </c>
      <c r="Z28" t="s">
        <v>1</v>
      </c>
      <c r="AA28" t="s">
        <v>333</v>
      </c>
      <c r="AB28" t="s">
        <v>4</v>
      </c>
      <c r="AC28">
        <v>0.89536910000000003</v>
      </c>
      <c r="AD28" t="s">
        <v>5</v>
      </c>
      <c r="AE28">
        <v>7.5932600000000003E-2</v>
      </c>
    </row>
    <row r="29" spans="1:31" x14ac:dyDescent="0.25">
      <c r="A29" t="s">
        <v>30</v>
      </c>
      <c r="B29" t="s">
        <v>189</v>
      </c>
      <c r="C29">
        <v>1200</v>
      </c>
      <c r="D29" t="s">
        <v>190</v>
      </c>
      <c r="E29">
        <v>1000000</v>
      </c>
      <c r="F29" t="s">
        <v>191</v>
      </c>
      <c r="G29">
        <v>12345</v>
      </c>
      <c r="H29" t="s">
        <v>216</v>
      </c>
      <c r="I29">
        <v>1</v>
      </c>
      <c r="J29" t="s">
        <v>192</v>
      </c>
      <c r="K29">
        <v>1.0000000000000001E-5</v>
      </c>
      <c r="L29" t="s">
        <v>3</v>
      </c>
      <c r="M29">
        <v>1</v>
      </c>
      <c r="N29" t="s">
        <v>2</v>
      </c>
      <c r="O29">
        <v>2.9999999999999999E-7</v>
      </c>
      <c r="P29" t="s">
        <v>17</v>
      </c>
      <c r="Q29">
        <v>15</v>
      </c>
      <c r="R29" t="s">
        <v>0</v>
      </c>
      <c r="S29">
        <v>147.80000000000001</v>
      </c>
      <c r="T29" t="s">
        <v>152</v>
      </c>
      <c r="U29">
        <v>12</v>
      </c>
      <c r="V29" t="s">
        <v>153</v>
      </c>
      <c r="W29">
        <v>46</v>
      </c>
      <c r="X29" t="s">
        <v>151</v>
      </c>
      <c r="Y29">
        <v>40210</v>
      </c>
      <c r="Z29" t="s">
        <v>1</v>
      </c>
      <c r="AA29" t="s">
        <v>337</v>
      </c>
      <c r="AB29" t="s">
        <v>4</v>
      </c>
      <c r="AC29">
        <v>1</v>
      </c>
      <c r="AD29" t="s">
        <v>5</v>
      </c>
      <c r="AE29" s="7">
        <v>2.9999999999999999E-7</v>
      </c>
    </row>
    <row r="30" spans="1:31" x14ac:dyDescent="0.25">
      <c r="A30" t="s">
        <v>40</v>
      </c>
      <c r="B30" t="s">
        <v>189</v>
      </c>
      <c r="C30">
        <v>1200</v>
      </c>
      <c r="D30" t="s">
        <v>190</v>
      </c>
      <c r="E30">
        <v>1000000</v>
      </c>
      <c r="F30" t="s">
        <v>191</v>
      </c>
      <c r="G30">
        <v>12345</v>
      </c>
      <c r="H30" t="s">
        <v>216</v>
      </c>
      <c r="I30">
        <v>1</v>
      </c>
      <c r="J30" t="s">
        <v>192</v>
      </c>
      <c r="K30">
        <v>1.0000000000000001E-5</v>
      </c>
      <c r="L30" t="s">
        <v>3</v>
      </c>
      <c r="M30">
        <v>1</v>
      </c>
      <c r="N30" t="s">
        <v>2</v>
      </c>
      <c r="O30">
        <v>0</v>
      </c>
      <c r="P30" t="s">
        <v>17</v>
      </c>
      <c r="Q30">
        <v>10</v>
      </c>
      <c r="R30" t="s">
        <v>0</v>
      </c>
      <c r="S30">
        <v>7.2</v>
      </c>
      <c r="T30" t="s">
        <v>152</v>
      </c>
      <c r="U30">
        <v>1</v>
      </c>
      <c r="V30" t="s">
        <v>153</v>
      </c>
      <c r="W30">
        <v>3</v>
      </c>
      <c r="X30" t="s">
        <v>151</v>
      </c>
      <c r="Y30">
        <v>1479</v>
      </c>
      <c r="Z30" t="s">
        <v>1</v>
      </c>
      <c r="AA30" t="s">
        <v>200</v>
      </c>
      <c r="AB30" t="s">
        <v>4</v>
      </c>
      <c r="AC30">
        <v>1</v>
      </c>
      <c r="AD30" t="s">
        <v>5</v>
      </c>
      <c r="AE30">
        <v>0</v>
      </c>
    </row>
    <row r="31" spans="1:31" x14ac:dyDescent="0.25">
      <c r="A31" t="s">
        <v>50</v>
      </c>
      <c r="B31" t="s">
        <v>189</v>
      </c>
      <c r="C31">
        <v>1200</v>
      </c>
      <c r="D31" t="s">
        <v>190</v>
      </c>
      <c r="E31">
        <v>1000000</v>
      </c>
      <c r="F31" t="s">
        <v>191</v>
      </c>
      <c r="G31">
        <v>12345</v>
      </c>
      <c r="H31" t="s">
        <v>216</v>
      </c>
      <c r="I31">
        <v>1</v>
      </c>
      <c r="J31" t="s">
        <v>192</v>
      </c>
      <c r="K31">
        <v>1.0000000000000001E-5</v>
      </c>
      <c r="L31" t="s">
        <v>3</v>
      </c>
      <c r="M31">
        <v>0.99861069999999996</v>
      </c>
      <c r="N31" t="s">
        <v>2</v>
      </c>
      <c r="O31">
        <v>4.2511300000000002E-2</v>
      </c>
      <c r="P31" t="s">
        <v>17</v>
      </c>
      <c r="Q31">
        <v>87</v>
      </c>
      <c r="R31" t="s">
        <v>0</v>
      </c>
      <c r="S31">
        <v>1201.4000000000001</v>
      </c>
      <c r="T31" t="s">
        <v>152</v>
      </c>
      <c r="U31">
        <v>1</v>
      </c>
      <c r="V31" t="s">
        <v>153</v>
      </c>
      <c r="W31">
        <v>36</v>
      </c>
      <c r="X31" t="s">
        <v>151</v>
      </c>
      <c r="Y31">
        <v>108748</v>
      </c>
      <c r="Z31" t="s">
        <v>1</v>
      </c>
      <c r="AA31" t="e" cm="1">
        <f t="array" aca="1" ref="AA31" ca="1">-3.6587012337332+(4.4075888081023*pow((((((pow(V2,0.5)+(0.2335258863467*v0))+(-0.1333333333334*pow(v0,2)))+(-0.0833333333333*pow(V2,-1)))+((0.2568784749814*v0)*V1))+((0.3*v0)*V2)),0.5))+(1.2086866624496*LOG(pow(V2,-1)))+(0.496968553202*V2)+(-0.0873914249069*COS((0.7259945126851*LOG(v0))))+(-0.3347926527471*V1)+((-0.7316889303164*V2)*pow((1+(0.5*V1)),0.5))+(((0.0048339406014*pow(v0,-2))*pow(V1,2))*pow(V2,2))</f>
        <v>#NAME?</v>
      </c>
      <c r="AB31" t="s">
        <v>4</v>
      </c>
      <c r="AC31">
        <v>0.99857430000000003</v>
      </c>
      <c r="AD31" t="s">
        <v>5</v>
      </c>
      <c r="AE31">
        <v>4.2841900000000002E-2</v>
      </c>
    </row>
    <row r="32" spans="1:31" x14ac:dyDescent="0.25">
      <c r="A32" t="s">
        <v>26</v>
      </c>
      <c r="B32" t="s">
        <v>189</v>
      </c>
      <c r="C32">
        <v>1200</v>
      </c>
      <c r="D32" t="s">
        <v>190</v>
      </c>
      <c r="E32">
        <v>1000000</v>
      </c>
      <c r="F32" t="s">
        <v>191</v>
      </c>
      <c r="G32">
        <v>12345</v>
      </c>
      <c r="H32" t="s">
        <v>216</v>
      </c>
      <c r="I32">
        <v>1</v>
      </c>
      <c r="J32" t="s">
        <v>192</v>
      </c>
      <c r="K32">
        <v>1.0000000000000001E-5</v>
      </c>
      <c r="L32" t="s">
        <v>3</v>
      </c>
      <c r="M32">
        <v>1</v>
      </c>
      <c r="N32" t="s">
        <v>2</v>
      </c>
      <c r="O32">
        <v>3.6699999999999998E-5</v>
      </c>
      <c r="P32" t="s">
        <v>17</v>
      </c>
      <c r="Q32">
        <v>35</v>
      </c>
      <c r="R32" t="s">
        <v>0</v>
      </c>
      <c r="S32">
        <v>1200.4000000000001</v>
      </c>
      <c r="T32" t="s">
        <v>152</v>
      </c>
      <c r="U32">
        <v>23</v>
      </c>
      <c r="V32" t="s">
        <v>153</v>
      </c>
      <c r="W32">
        <v>151</v>
      </c>
      <c r="X32" t="s">
        <v>151</v>
      </c>
      <c r="Y32">
        <v>276514</v>
      </c>
      <c r="Z32" t="s">
        <v>1</v>
      </c>
      <c r="AA32" t="s">
        <v>338</v>
      </c>
      <c r="AB32" t="s">
        <v>4</v>
      </c>
      <c r="AC32">
        <v>1</v>
      </c>
      <c r="AD32" t="s">
        <v>5</v>
      </c>
      <c r="AE32">
        <v>2.8919999999999998E-4</v>
      </c>
    </row>
    <row r="33" spans="1:31" x14ac:dyDescent="0.25">
      <c r="A33" t="s">
        <v>36</v>
      </c>
      <c r="B33" t="s">
        <v>189</v>
      </c>
      <c r="C33">
        <v>1200</v>
      </c>
      <c r="D33" t="s">
        <v>190</v>
      </c>
      <c r="E33">
        <v>1000000</v>
      </c>
      <c r="F33" t="s">
        <v>191</v>
      </c>
      <c r="G33">
        <v>12345</v>
      </c>
      <c r="H33" t="s">
        <v>216</v>
      </c>
      <c r="I33">
        <v>1</v>
      </c>
      <c r="J33" t="s">
        <v>192</v>
      </c>
      <c r="K33">
        <v>1.0000000000000001E-5</v>
      </c>
      <c r="L33" t="s">
        <v>3</v>
      </c>
      <c r="M33">
        <v>1</v>
      </c>
      <c r="N33" t="s">
        <v>2</v>
      </c>
      <c r="O33">
        <v>0</v>
      </c>
      <c r="P33" t="s">
        <v>17</v>
      </c>
      <c r="Q33">
        <v>6</v>
      </c>
      <c r="R33" t="s">
        <v>0</v>
      </c>
      <c r="S33">
        <v>2.9</v>
      </c>
      <c r="T33" t="s">
        <v>152</v>
      </c>
      <c r="U33">
        <v>1</v>
      </c>
      <c r="V33" t="s">
        <v>153</v>
      </c>
      <c r="W33">
        <v>2</v>
      </c>
      <c r="X33" t="s">
        <v>151</v>
      </c>
      <c r="Y33">
        <v>540</v>
      </c>
      <c r="Z33" t="s">
        <v>1</v>
      </c>
      <c r="AA33" t="s">
        <v>157</v>
      </c>
      <c r="AB33" t="s">
        <v>4</v>
      </c>
      <c r="AC33">
        <v>1</v>
      </c>
      <c r="AD33" t="s">
        <v>5</v>
      </c>
      <c r="AE33">
        <v>0</v>
      </c>
    </row>
    <row r="34" spans="1:31" x14ac:dyDescent="0.25">
      <c r="A34" t="s">
        <v>46</v>
      </c>
      <c r="B34" t="s">
        <v>189</v>
      </c>
      <c r="C34">
        <v>1200</v>
      </c>
      <c r="D34" t="s">
        <v>190</v>
      </c>
      <c r="E34">
        <v>1000000</v>
      </c>
      <c r="F34" t="s">
        <v>191</v>
      </c>
      <c r="G34">
        <v>12345</v>
      </c>
      <c r="H34" t="s">
        <v>216</v>
      </c>
      <c r="I34">
        <v>1</v>
      </c>
      <c r="J34" t="s">
        <v>192</v>
      </c>
      <c r="K34">
        <v>1.0000000000000001E-5</v>
      </c>
      <c r="L34" t="s">
        <v>3</v>
      </c>
      <c r="M34">
        <v>1</v>
      </c>
      <c r="N34" t="s">
        <v>2</v>
      </c>
      <c r="O34">
        <v>0</v>
      </c>
      <c r="P34" t="s">
        <v>17</v>
      </c>
      <c r="Q34">
        <v>8</v>
      </c>
      <c r="R34" t="s">
        <v>0</v>
      </c>
      <c r="S34">
        <v>5.6</v>
      </c>
      <c r="T34" t="s">
        <v>152</v>
      </c>
      <c r="U34">
        <v>1</v>
      </c>
      <c r="V34" t="s">
        <v>153</v>
      </c>
      <c r="W34">
        <v>3</v>
      </c>
      <c r="X34" t="s">
        <v>151</v>
      </c>
      <c r="Y34">
        <v>1137</v>
      </c>
      <c r="Z34" t="s">
        <v>1</v>
      </c>
      <c r="AA34" t="s">
        <v>202</v>
      </c>
      <c r="AB34" t="s">
        <v>4</v>
      </c>
      <c r="AC34">
        <v>1</v>
      </c>
      <c r="AD34" t="s">
        <v>5</v>
      </c>
      <c r="AE34">
        <v>0</v>
      </c>
    </row>
    <row r="35" spans="1:31" x14ac:dyDescent="0.25">
      <c r="A35" t="s">
        <v>60</v>
      </c>
      <c r="B35" t="s">
        <v>189</v>
      </c>
      <c r="C35">
        <v>1200</v>
      </c>
      <c r="D35" t="s">
        <v>190</v>
      </c>
      <c r="E35">
        <v>1000000</v>
      </c>
      <c r="F35" t="s">
        <v>191</v>
      </c>
      <c r="G35">
        <v>12345</v>
      </c>
      <c r="H35" t="s">
        <v>216</v>
      </c>
      <c r="I35">
        <v>1</v>
      </c>
      <c r="J35" t="s">
        <v>192</v>
      </c>
      <c r="K35">
        <v>1.0000000000000001E-5</v>
      </c>
      <c r="L35" t="s">
        <v>3</v>
      </c>
      <c r="M35">
        <v>0.99973129999999999</v>
      </c>
      <c r="N35" t="s">
        <v>2</v>
      </c>
      <c r="O35">
        <v>5.8698999999999999E-3</v>
      </c>
      <c r="P35" t="s">
        <v>17</v>
      </c>
      <c r="Q35">
        <v>80</v>
      </c>
      <c r="R35" t="s">
        <v>0</v>
      </c>
      <c r="S35">
        <v>1200.9000000000001</v>
      </c>
      <c r="T35" t="s">
        <v>152</v>
      </c>
      <c r="U35">
        <v>2</v>
      </c>
      <c r="V35" t="s">
        <v>153</v>
      </c>
      <c r="W35">
        <v>38</v>
      </c>
      <c r="X35" t="s">
        <v>151</v>
      </c>
      <c r="Y35">
        <v>99993</v>
      </c>
      <c r="Z35" t="s">
        <v>1</v>
      </c>
      <c r="AA35" t="e" cm="1">
        <f t="array" aca="1" ref="AA35" ca="1">-0.953760743977+(0.0217858348802*V1)+(0.2580316891019*LOG(V1))+(0.0106513393797*pow(((v0*pow(V1,-2))*EXP(V2)),0.5))+(1.4004900526491*EXP((-0.0748494040149*V2)))+(-0.0469878895352*v0)+((0.0334837543178*v0)*pow(V2,-1))+((1.1292719108409*LOG(v0))*SIN(((0.2738212375481*V1)*pow(V2,-1))))+((0.1595109063428*pow(v0,-1))*pow(V2,-1))+((-0.0338138193198*pow((V1*pow(V2,-1)),1))*LOG(V1))</f>
        <v>#VALUE!</v>
      </c>
      <c r="AB35" t="s">
        <v>4</v>
      </c>
      <c r="AC35">
        <v>0.99974640000000004</v>
      </c>
      <c r="AD35" t="s">
        <v>5</v>
      </c>
      <c r="AE35">
        <v>5.6638000000000001E-3</v>
      </c>
    </row>
    <row r="36" spans="1:31" x14ac:dyDescent="0.25">
      <c r="A36" t="s">
        <v>70</v>
      </c>
      <c r="B36" t="s">
        <v>189</v>
      </c>
      <c r="C36">
        <v>1200</v>
      </c>
      <c r="D36" t="s">
        <v>190</v>
      </c>
      <c r="E36">
        <v>1000000</v>
      </c>
      <c r="F36" t="s">
        <v>191</v>
      </c>
      <c r="G36">
        <v>12345</v>
      </c>
      <c r="H36" t="s">
        <v>216</v>
      </c>
      <c r="I36">
        <v>1</v>
      </c>
      <c r="J36" t="s">
        <v>192</v>
      </c>
      <c r="K36">
        <v>1.0000000000000001E-5</v>
      </c>
      <c r="L36" t="s">
        <v>3</v>
      </c>
      <c r="M36">
        <v>1</v>
      </c>
      <c r="N36" t="s">
        <v>2</v>
      </c>
      <c r="O36">
        <v>0</v>
      </c>
      <c r="P36" t="s">
        <v>17</v>
      </c>
      <c r="Q36">
        <v>9</v>
      </c>
      <c r="R36" t="s">
        <v>0</v>
      </c>
      <c r="S36">
        <v>7.8</v>
      </c>
      <c r="T36" t="s">
        <v>152</v>
      </c>
      <c r="U36">
        <v>1</v>
      </c>
      <c r="V36" t="s">
        <v>153</v>
      </c>
      <c r="W36">
        <v>4</v>
      </c>
      <c r="X36" t="s">
        <v>151</v>
      </c>
      <c r="Y36">
        <v>1540</v>
      </c>
      <c r="Z36" t="s">
        <v>1</v>
      </c>
      <c r="AA36" t="s">
        <v>178</v>
      </c>
      <c r="AB36" t="s">
        <v>4</v>
      </c>
      <c r="AC36">
        <v>1</v>
      </c>
      <c r="AD36" t="s">
        <v>5</v>
      </c>
      <c r="AE36">
        <v>0</v>
      </c>
    </row>
    <row r="37" spans="1:31" x14ac:dyDescent="0.25">
      <c r="A37" t="s">
        <v>80</v>
      </c>
      <c r="B37" t="s">
        <v>189</v>
      </c>
      <c r="C37">
        <v>1200</v>
      </c>
      <c r="D37" t="s">
        <v>190</v>
      </c>
      <c r="E37">
        <v>1000000</v>
      </c>
      <c r="F37" t="s">
        <v>191</v>
      </c>
      <c r="G37">
        <v>12345</v>
      </c>
      <c r="H37" t="s">
        <v>216</v>
      </c>
      <c r="I37">
        <v>1</v>
      </c>
      <c r="J37" t="s">
        <v>192</v>
      </c>
      <c r="K37">
        <v>1.0000000000000001E-5</v>
      </c>
      <c r="L37" t="s">
        <v>3</v>
      </c>
      <c r="M37">
        <v>1</v>
      </c>
      <c r="N37" t="s">
        <v>2</v>
      </c>
      <c r="O37">
        <v>0</v>
      </c>
      <c r="P37" t="s">
        <v>17</v>
      </c>
      <c r="Q37">
        <v>14</v>
      </c>
      <c r="R37" t="s">
        <v>0</v>
      </c>
      <c r="S37">
        <v>16.8</v>
      </c>
      <c r="T37" t="s">
        <v>152</v>
      </c>
      <c r="U37">
        <v>1</v>
      </c>
      <c r="V37" t="s">
        <v>153</v>
      </c>
      <c r="W37">
        <v>4</v>
      </c>
      <c r="X37" t="s">
        <v>151</v>
      </c>
      <c r="Y37">
        <v>2825</v>
      </c>
      <c r="Z37" t="s">
        <v>1</v>
      </c>
      <c r="AA37" t="s">
        <v>165</v>
      </c>
      <c r="AB37" t="s">
        <v>4</v>
      </c>
      <c r="AC37">
        <v>1</v>
      </c>
      <c r="AD37" t="s">
        <v>5</v>
      </c>
      <c r="AE37">
        <v>0</v>
      </c>
    </row>
    <row r="38" spans="1:31" x14ac:dyDescent="0.25">
      <c r="A38" t="s">
        <v>90</v>
      </c>
      <c r="B38" t="s">
        <v>189</v>
      </c>
      <c r="C38">
        <v>1200</v>
      </c>
      <c r="D38" t="s">
        <v>190</v>
      </c>
      <c r="E38">
        <v>1000000</v>
      </c>
      <c r="F38" t="s">
        <v>191</v>
      </c>
      <c r="G38">
        <v>12345</v>
      </c>
      <c r="H38" t="s">
        <v>216</v>
      </c>
      <c r="I38">
        <v>1</v>
      </c>
      <c r="J38" t="s">
        <v>192</v>
      </c>
      <c r="K38">
        <v>1.0000000000000001E-5</v>
      </c>
      <c r="L38" t="s">
        <v>3</v>
      </c>
      <c r="M38">
        <v>1</v>
      </c>
      <c r="N38" t="s">
        <v>2</v>
      </c>
      <c r="O38">
        <v>0</v>
      </c>
      <c r="P38" t="s">
        <v>17</v>
      </c>
      <c r="Q38">
        <v>16</v>
      </c>
      <c r="R38" t="s">
        <v>0</v>
      </c>
      <c r="S38">
        <v>27.2</v>
      </c>
      <c r="T38" t="s">
        <v>152</v>
      </c>
      <c r="U38">
        <v>1</v>
      </c>
      <c r="V38" t="s">
        <v>153</v>
      </c>
      <c r="W38">
        <v>5</v>
      </c>
      <c r="X38" t="s">
        <v>151</v>
      </c>
      <c r="Y38">
        <v>4521</v>
      </c>
      <c r="Z38" t="s">
        <v>1</v>
      </c>
      <c r="AA38" t="s">
        <v>240</v>
      </c>
      <c r="AB38" t="s">
        <v>4</v>
      </c>
      <c r="AC38">
        <v>1</v>
      </c>
      <c r="AD38" t="s">
        <v>5</v>
      </c>
      <c r="AE38">
        <v>0</v>
      </c>
    </row>
    <row r="39" spans="1:31" x14ac:dyDescent="0.25">
      <c r="A39" t="s">
        <v>100</v>
      </c>
      <c r="B39" t="s">
        <v>189</v>
      </c>
      <c r="C39">
        <v>1200</v>
      </c>
      <c r="D39" t="s">
        <v>190</v>
      </c>
      <c r="E39">
        <v>1000000</v>
      </c>
      <c r="F39" t="s">
        <v>191</v>
      </c>
      <c r="G39">
        <v>12345</v>
      </c>
      <c r="H39" t="s">
        <v>216</v>
      </c>
      <c r="I39">
        <v>1</v>
      </c>
      <c r="J39" t="s">
        <v>192</v>
      </c>
      <c r="K39">
        <v>1.0000000000000001E-5</v>
      </c>
      <c r="L39" t="s">
        <v>3</v>
      </c>
      <c r="M39">
        <v>1</v>
      </c>
      <c r="N39" t="s">
        <v>2</v>
      </c>
      <c r="O39">
        <v>0</v>
      </c>
      <c r="P39" t="s">
        <v>17</v>
      </c>
      <c r="Q39">
        <v>12</v>
      </c>
      <c r="R39" t="s">
        <v>0</v>
      </c>
      <c r="S39">
        <v>15</v>
      </c>
      <c r="T39" t="s">
        <v>152</v>
      </c>
      <c r="U39">
        <v>1</v>
      </c>
      <c r="V39" t="s">
        <v>153</v>
      </c>
      <c r="W39">
        <v>4</v>
      </c>
      <c r="X39" t="s">
        <v>151</v>
      </c>
      <c r="Y39">
        <v>2574</v>
      </c>
      <c r="Z39" t="s">
        <v>1</v>
      </c>
      <c r="AA39" t="s">
        <v>177</v>
      </c>
      <c r="AB39" t="s">
        <v>4</v>
      </c>
      <c r="AC39">
        <v>1</v>
      </c>
      <c r="AD39" t="s">
        <v>5</v>
      </c>
      <c r="AE39">
        <v>0</v>
      </c>
    </row>
    <row r="40" spans="1:31" x14ac:dyDescent="0.25">
      <c r="A40" t="s">
        <v>110</v>
      </c>
      <c r="B40" t="s">
        <v>189</v>
      </c>
      <c r="C40">
        <v>1200</v>
      </c>
      <c r="D40" t="s">
        <v>190</v>
      </c>
      <c r="E40">
        <v>1000000</v>
      </c>
      <c r="F40" t="s">
        <v>191</v>
      </c>
      <c r="G40">
        <v>12345</v>
      </c>
      <c r="H40" t="s">
        <v>216</v>
      </c>
      <c r="I40">
        <v>1</v>
      </c>
      <c r="J40" t="s">
        <v>192</v>
      </c>
      <c r="K40">
        <v>1.0000000000000001E-5</v>
      </c>
      <c r="L40" t="s">
        <v>3</v>
      </c>
      <c r="M40">
        <v>1</v>
      </c>
      <c r="N40" t="s">
        <v>2</v>
      </c>
      <c r="O40">
        <v>0</v>
      </c>
      <c r="P40" t="s">
        <v>17</v>
      </c>
      <c r="Q40">
        <v>16</v>
      </c>
      <c r="R40" t="s">
        <v>0</v>
      </c>
      <c r="S40">
        <v>33</v>
      </c>
      <c r="T40" t="s">
        <v>152</v>
      </c>
      <c r="U40">
        <v>1</v>
      </c>
      <c r="V40" t="s">
        <v>153</v>
      </c>
      <c r="W40">
        <v>5</v>
      </c>
      <c r="X40" t="s">
        <v>151</v>
      </c>
      <c r="Y40">
        <v>4929</v>
      </c>
      <c r="Z40" t="s">
        <v>1</v>
      </c>
      <c r="AA40" t="s">
        <v>241</v>
      </c>
      <c r="AB40" t="s">
        <v>4</v>
      </c>
      <c r="AC40">
        <v>1</v>
      </c>
      <c r="AD40" t="s">
        <v>5</v>
      </c>
      <c r="AE40">
        <v>0</v>
      </c>
    </row>
    <row r="41" spans="1:31" x14ac:dyDescent="0.25">
      <c r="A41" t="s">
        <v>56</v>
      </c>
      <c r="B41" t="s">
        <v>189</v>
      </c>
      <c r="C41">
        <v>1200</v>
      </c>
      <c r="D41" t="s">
        <v>190</v>
      </c>
      <c r="E41">
        <v>1000000</v>
      </c>
      <c r="F41" t="s">
        <v>191</v>
      </c>
      <c r="G41">
        <v>12345</v>
      </c>
      <c r="H41" t="s">
        <v>216</v>
      </c>
      <c r="I41">
        <v>1</v>
      </c>
      <c r="J41" t="s">
        <v>192</v>
      </c>
      <c r="K41">
        <v>1.0000000000000001E-5</v>
      </c>
      <c r="L41" t="s">
        <v>3</v>
      </c>
      <c r="M41">
        <v>0.99999170000000004</v>
      </c>
      <c r="N41" t="s">
        <v>2</v>
      </c>
      <c r="O41">
        <v>6.0774999999999996E-3</v>
      </c>
      <c r="P41" t="s">
        <v>17</v>
      </c>
      <c r="Q41">
        <v>108</v>
      </c>
      <c r="R41" t="s">
        <v>0</v>
      </c>
      <c r="S41">
        <v>1202.2</v>
      </c>
      <c r="T41" t="s">
        <v>152</v>
      </c>
      <c r="U41">
        <v>1</v>
      </c>
      <c r="V41" t="s">
        <v>153</v>
      </c>
      <c r="W41">
        <v>34</v>
      </c>
      <c r="X41" t="s">
        <v>151</v>
      </c>
      <c r="Y41">
        <v>96242</v>
      </c>
      <c r="Z41" t="s">
        <v>1</v>
      </c>
      <c r="AA41" t="s">
        <v>339</v>
      </c>
      <c r="AB41" t="s">
        <v>4</v>
      </c>
      <c r="AC41">
        <v>0.99999110000000002</v>
      </c>
      <c r="AD41" t="s">
        <v>5</v>
      </c>
      <c r="AE41">
        <v>6.3150999999999997E-3</v>
      </c>
    </row>
    <row r="42" spans="1:31" x14ac:dyDescent="0.25">
      <c r="A42" t="s">
        <v>66</v>
      </c>
      <c r="B42" t="s">
        <v>189</v>
      </c>
      <c r="C42">
        <v>1200</v>
      </c>
      <c r="D42" t="s">
        <v>190</v>
      </c>
      <c r="E42">
        <v>1000000</v>
      </c>
      <c r="F42" t="s">
        <v>191</v>
      </c>
      <c r="G42">
        <v>12345</v>
      </c>
      <c r="H42" t="s">
        <v>216</v>
      </c>
      <c r="I42">
        <v>1</v>
      </c>
      <c r="J42" t="s">
        <v>192</v>
      </c>
      <c r="K42">
        <v>1.0000000000000001E-5</v>
      </c>
      <c r="L42" t="s">
        <v>3</v>
      </c>
      <c r="M42">
        <v>1</v>
      </c>
      <c r="N42" t="s">
        <v>2</v>
      </c>
      <c r="O42">
        <v>0</v>
      </c>
      <c r="P42" t="s">
        <v>17</v>
      </c>
      <c r="Q42">
        <v>10</v>
      </c>
      <c r="R42" t="s">
        <v>0</v>
      </c>
      <c r="S42">
        <v>7.6</v>
      </c>
      <c r="T42" t="s">
        <v>152</v>
      </c>
      <c r="U42">
        <v>1</v>
      </c>
      <c r="V42" t="s">
        <v>153</v>
      </c>
      <c r="W42">
        <v>3</v>
      </c>
      <c r="X42" t="s">
        <v>151</v>
      </c>
      <c r="Y42">
        <v>1492</v>
      </c>
      <c r="Z42" t="s">
        <v>1</v>
      </c>
      <c r="AA42" t="s">
        <v>161</v>
      </c>
      <c r="AB42" t="s">
        <v>4</v>
      </c>
      <c r="AC42">
        <v>1</v>
      </c>
      <c r="AD42" t="s">
        <v>5</v>
      </c>
      <c r="AE42">
        <v>0</v>
      </c>
    </row>
    <row r="43" spans="1:31" x14ac:dyDescent="0.25">
      <c r="A43" t="s">
        <v>76</v>
      </c>
      <c r="B43" t="s">
        <v>189</v>
      </c>
      <c r="C43">
        <v>1200</v>
      </c>
      <c r="D43" t="s">
        <v>190</v>
      </c>
      <c r="E43">
        <v>1000000</v>
      </c>
      <c r="F43" t="s">
        <v>191</v>
      </c>
      <c r="G43">
        <v>12345</v>
      </c>
      <c r="H43" t="s">
        <v>216</v>
      </c>
      <c r="I43">
        <v>1</v>
      </c>
      <c r="J43" t="s">
        <v>192</v>
      </c>
      <c r="K43">
        <v>1.0000000000000001E-5</v>
      </c>
      <c r="L43" t="s">
        <v>3</v>
      </c>
      <c r="M43">
        <v>1</v>
      </c>
      <c r="N43" t="s">
        <v>2</v>
      </c>
      <c r="O43">
        <v>0</v>
      </c>
      <c r="P43" t="s">
        <v>17</v>
      </c>
      <c r="Q43">
        <v>10</v>
      </c>
      <c r="R43" t="s">
        <v>0</v>
      </c>
      <c r="S43">
        <v>7.5</v>
      </c>
      <c r="T43" t="s">
        <v>152</v>
      </c>
      <c r="U43">
        <v>1</v>
      </c>
      <c r="V43" t="s">
        <v>153</v>
      </c>
      <c r="W43">
        <v>3</v>
      </c>
      <c r="X43" t="s">
        <v>151</v>
      </c>
      <c r="Y43">
        <v>1486</v>
      </c>
      <c r="Z43" t="s">
        <v>1</v>
      </c>
      <c r="AA43" t="s">
        <v>208</v>
      </c>
      <c r="AB43" t="s">
        <v>4</v>
      </c>
      <c r="AC43">
        <v>1</v>
      </c>
      <c r="AD43" t="s">
        <v>5</v>
      </c>
      <c r="AE43">
        <v>0</v>
      </c>
    </row>
    <row r="44" spans="1:31" x14ac:dyDescent="0.25">
      <c r="A44" t="s">
        <v>22</v>
      </c>
      <c r="B44" t="s">
        <v>189</v>
      </c>
      <c r="C44">
        <v>1200</v>
      </c>
      <c r="D44" t="s">
        <v>190</v>
      </c>
      <c r="E44">
        <v>1000000</v>
      </c>
      <c r="F44" t="s">
        <v>191</v>
      </c>
      <c r="G44">
        <v>12345</v>
      </c>
      <c r="H44" t="s">
        <v>216</v>
      </c>
      <c r="I44">
        <v>1</v>
      </c>
      <c r="J44" t="s">
        <v>192</v>
      </c>
      <c r="K44">
        <v>1.0000000000000001E-5</v>
      </c>
      <c r="L44" t="s">
        <v>3</v>
      </c>
      <c r="M44">
        <v>1</v>
      </c>
      <c r="N44" t="s">
        <v>2</v>
      </c>
      <c r="O44">
        <v>3.15E-5</v>
      </c>
      <c r="P44" t="s">
        <v>17</v>
      </c>
      <c r="Q44">
        <v>30</v>
      </c>
      <c r="R44" t="s">
        <v>0</v>
      </c>
      <c r="S44">
        <v>1200.2</v>
      </c>
      <c r="T44" t="s">
        <v>152</v>
      </c>
      <c r="U44">
        <v>42</v>
      </c>
      <c r="V44" t="s">
        <v>153</v>
      </c>
      <c r="W44">
        <v>189</v>
      </c>
      <c r="X44" t="s">
        <v>151</v>
      </c>
      <c r="Y44">
        <v>320753</v>
      </c>
      <c r="Z44" t="s">
        <v>1</v>
      </c>
      <c r="AA44" t="s">
        <v>340</v>
      </c>
      <c r="AB44" t="s">
        <v>4</v>
      </c>
      <c r="AC44">
        <v>1</v>
      </c>
      <c r="AD44" t="s">
        <v>5</v>
      </c>
      <c r="AE44" s="7">
        <v>5.7800000000000002E-5</v>
      </c>
    </row>
    <row r="45" spans="1:31" x14ac:dyDescent="0.25">
      <c r="A45" t="s">
        <v>120</v>
      </c>
      <c r="B45" t="s">
        <v>189</v>
      </c>
      <c r="C45">
        <v>1200</v>
      </c>
      <c r="D45" t="s">
        <v>190</v>
      </c>
      <c r="E45">
        <v>1000000</v>
      </c>
      <c r="F45" t="s">
        <v>191</v>
      </c>
      <c r="G45">
        <v>12345</v>
      </c>
      <c r="H45" t="s">
        <v>216</v>
      </c>
      <c r="I45">
        <v>1</v>
      </c>
      <c r="J45" t="s">
        <v>192</v>
      </c>
      <c r="K45">
        <v>1.0000000000000001E-5</v>
      </c>
      <c r="L45" t="s">
        <v>3</v>
      </c>
      <c r="M45">
        <v>0.98336199999999996</v>
      </c>
      <c r="N45" t="s">
        <v>2</v>
      </c>
      <c r="O45">
        <v>4.0845399999999997E-2</v>
      </c>
      <c r="P45" t="s">
        <v>17</v>
      </c>
      <c r="Q45">
        <v>77</v>
      </c>
      <c r="R45" t="s">
        <v>0</v>
      </c>
      <c r="S45">
        <v>1200.3</v>
      </c>
      <c r="T45" t="s">
        <v>152</v>
      </c>
      <c r="U45">
        <v>2</v>
      </c>
      <c r="V45" t="s">
        <v>153</v>
      </c>
      <c r="W45">
        <v>44</v>
      </c>
      <c r="X45" t="s">
        <v>151</v>
      </c>
      <c r="Y45">
        <v>127711</v>
      </c>
      <c r="Z45" t="s">
        <v>1</v>
      </c>
      <c r="AA45" t="e" cm="1">
        <f t="array" aca="1" ref="AA45" ca="1">-0.6904090638312+(0.6664948447887*SIN(LOG(((((3.1415926535898+(0.5*ASIN(SIN((v0+pow((v0+V3),0.5))))))+(pow((v0*pow(V4,-1)),0.5)*SIN(SIN((V2+pow(V1,0.5))))))+((v0*V3)*V4))+SIN((V1+pow(V1,0.5)))))))+(0.9419150366805*v0)+(-0.0256561674529*V1)+((-0.603941040505*v0)*pow(((pow(V3,-1.1)*pow(V4,-1))+((0.3333333333333*V1)*V2)),-0.45))</f>
        <v>#NAME?</v>
      </c>
      <c r="AB45" t="s">
        <v>4</v>
      </c>
      <c r="AC45">
        <v>0.98372890000000002</v>
      </c>
      <c r="AD45" t="s">
        <v>5</v>
      </c>
      <c r="AE45">
        <v>4.0502900000000001E-2</v>
      </c>
    </row>
    <row r="46" spans="1:31" x14ac:dyDescent="0.25">
      <c r="A46" t="s">
        <v>25</v>
      </c>
      <c r="B46" t="s">
        <v>189</v>
      </c>
      <c r="C46">
        <v>1200</v>
      </c>
      <c r="D46" t="s">
        <v>190</v>
      </c>
      <c r="E46">
        <v>1000000</v>
      </c>
      <c r="F46" t="s">
        <v>191</v>
      </c>
      <c r="G46">
        <v>12345</v>
      </c>
      <c r="H46" t="s">
        <v>216</v>
      </c>
      <c r="I46">
        <v>1</v>
      </c>
      <c r="J46" t="s">
        <v>192</v>
      </c>
      <c r="K46">
        <v>1.0000000000000001E-5</v>
      </c>
      <c r="L46" t="s">
        <v>3</v>
      </c>
      <c r="M46">
        <v>1</v>
      </c>
      <c r="N46" t="s">
        <v>2</v>
      </c>
      <c r="O46">
        <v>0</v>
      </c>
      <c r="P46" t="s">
        <v>17</v>
      </c>
      <c r="Q46">
        <v>13</v>
      </c>
      <c r="R46" t="s">
        <v>0</v>
      </c>
      <c r="S46">
        <v>9.4</v>
      </c>
      <c r="T46" t="s">
        <v>152</v>
      </c>
      <c r="U46">
        <v>1</v>
      </c>
      <c r="V46" t="s">
        <v>153</v>
      </c>
      <c r="W46">
        <v>8</v>
      </c>
      <c r="X46" t="s">
        <v>151</v>
      </c>
      <c r="Y46">
        <v>4960</v>
      </c>
      <c r="Z46" t="s">
        <v>1</v>
      </c>
      <c r="AA46" t="s">
        <v>217</v>
      </c>
      <c r="AB46" t="s">
        <v>4</v>
      </c>
      <c r="AC46">
        <v>1</v>
      </c>
      <c r="AD46" t="s">
        <v>5</v>
      </c>
      <c r="AE46">
        <v>0</v>
      </c>
    </row>
    <row r="47" spans="1:31" x14ac:dyDescent="0.25">
      <c r="A47" t="s">
        <v>35</v>
      </c>
      <c r="B47" t="s">
        <v>189</v>
      </c>
      <c r="C47">
        <v>1200</v>
      </c>
      <c r="D47" t="s">
        <v>190</v>
      </c>
      <c r="E47">
        <v>1000000</v>
      </c>
      <c r="F47" t="s">
        <v>191</v>
      </c>
      <c r="G47">
        <v>12345</v>
      </c>
      <c r="H47" t="s">
        <v>216</v>
      </c>
      <c r="I47">
        <v>1</v>
      </c>
      <c r="J47" t="s">
        <v>192</v>
      </c>
      <c r="K47">
        <v>1.0000000000000001E-5</v>
      </c>
      <c r="L47" t="s">
        <v>3</v>
      </c>
      <c r="M47">
        <v>1</v>
      </c>
      <c r="N47" t="s">
        <v>2</v>
      </c>
      <c r="O47">
        <v>0</v>
      </c>
      <c r="P47" t="s">
        <v>17</v>
      </c>
      <c r="Q47">
        <v>8</v>
      </c>
      <c r="R47" t="s">
        <v>0</v>
      </c>
      <c r="S47">
        <v>3.7</v>
      </c>
      <c r="T47" t="s">
        <v>152</v>
      </c>
      <c r="U47">
        <v>1</v>
      </c>
      <c r="V47" t="s">
        <v>153</v>
      </c>
      <c r="W47">
        <v>2</v>
      </c>
      <c r="X47" t="s">
        <v>151</v>
      </c>
      <c r="Y47">
        <v>730</v>
      </c>
      <c r="Z47" t="s">
        <v>1</v>
      </c>
      <c r="AA47" t="s">
        <v>155</v>
      </c>
      <c r="AB47" t="s">
        <v>4</v>
      </c>
      <c r="AC47">
        <v>1</v>
      </c>
      <c r="AD47" t="s">
        <v>5</v>
      </c>
      <c r="AE47">
        <v>0</v>
      </c>
    </row>
    <row r="48" spans="1:31" x14ac:dyDescent="0.25">
      <c r="A48" t="s">
        <v>86</v>
      </c>
      <c r="B48" t="s">
        <v>189</v>
      </c>
      <c r="C48">
        <v>1200</v>
      </c>
      <c r="D48" t="s">
        <v>190</v>
      </c>
      <c r="E48">
        <v>1000000</v>
      </c>
      <c r="F48" t="s">
        <v>191</v>
      </c>
      <c r="G48">
        <v>12345</v>
      </c>
      <c r="H48" t="s">
        <v>216</v>
      </c>
      <c r="I48">
        <v>1</v>
      </c>
      <c r="J48" t="s">
        <v>192</v>
      </c>
      <c r="K48">
        <v>1.0000000000000001E-5</v>
      </c>
      <c r="L48" t="s">
        <v>3</v>
      </c>
      <c r="M48">
        <v>0.99999899999999997</v>
      </c>
      <c r="N48" t="s">
        <v>2</v>
      </c>
      <c r="O48">
        <v>1.8239E-3</v>
      </c>
      <c r="P48" t="s">
        <v>17</v>
      </c>
      <c r="Q48">
        <v>52</v>
      </c>
      <c r="R48" t="s">
        <v>0</v>
      </c>
      <c r="S48">
        <v>1201.4000000000001</v>
      </c>
      <c r="T48" t="s">
        <v>152</v>
      </c>
      <c r="U48">
        <v>10</v>
      </c>
      <c r="V48" t="s">
        <v>153</v>
      </c>
      <c r="W48">
        <v>64</v>
      </c>
      <c r="X48" t="s">
        <v>151</v>
      </c>
      <c r="Y48">
        <v>134894</v>
      </c>
      <c r="Z48" t="s">
        <v>1</v>
      </c>
      <c r="AA48" t="s">
        <v>341</v>
      </c>
      <c r="AB48" t="s">
        <v>4</v>
      </c>
      <c r="AC48">
        <v>0.99999899999999997</v>
      </c>
      <c r="AD48" t="s">
        <v>5</v>
      </c>
      <c r="AE48">
        <v>1.8595E-3</v>
      </c>
    </row>
    <row r="49" spans="1:31" x14ac:dyDescent="0.25">
      <c r="A49" t="s">
        <v>32</v>
      </c>
      <c r="B49" t="s">
        <v>189</v>
      </c>
      <c r="C49">
        <v>1200</v>
      </c>
      <c r="D49" t="s">
        <v>190</v>
      </c>
      <c r="E49">
        <v>1000000</v>
      </c>
      <c r="F49" t="s">
        <v>191</v>
      </c>
      <c r="G49">
        <v>12345</v>
      </c>
      <c r="H49" t="s">
        <v>216</v>
      </c>
      <c r="I49">
        <v>1</v>
      </c>
      <c r="J49" t="s">
        <v>192</v>
      </c>
      <c r="K49">
        <v>1.0000000000000001E-5</v>
      </c>
      <c r="L49" t="s">
        <v>3</v>
      </c>
      <c r="M49">
        <v>0.99999939999999998</v>
      </c>
      <c r="N49" t="s">
        <v>2</v>
      </c>
      <c r="O49">
        <v>5.4799999999999997E-5</v>
      </c>
      <c r="P49" t="s">
        <v>17</v>
      </c>
      <c r="Q49">
        <v>23</v>
      </c>
      <c r="R49" t="s">
        <v>0</v>
      </c>
      <c r="S49">
        <v>1201.3</v>
      </c>
      <c r="T49" t="s">
        <v>152</v>
      </c>
      <c r="U49">
        <v>28</v>
      </c>
      <c r="V49" t="s">
        <v>153</v>
      </c>
      <c r="W49">
        <v>100</v>
      </c>
      <c r="X49" t="s">
        <v>151</v>
      </c>
      <c r="Y49">
        <v>98890</v>
      </c>
      <c r="Z49" t="s">
        <v>1</v>
      </c>
      <c r="AA49" t="s">
        <v>342</v>
      </c>
      <c r="AB49" t="s">
        <v>4</v>
      </c>
      <c r="AC49">
        <v>0.99999939999999998</v>
      </c>
      <c r="AD49" t="s">
        <v>5</v>
      </c>
      <c r="AE49" s="7">
        <v>5.49E-5</v>
      </c>
    </row>
    <row r="50" spans="1:31" x14ac:dyDescent="0.25">
      <c r="A50" t="s">
        <v>42</v>
      </c>
      <c r="B50" t="s">
        <v>189</v>
      </c>
      <c r="C50">
        <v>1200</v>
      </c>
      <c r="D50" t="s">
        <v>190</v>
      </c>
      <c r="E50">
        <v>1000000</v>
      </c>
      <c r="F50" t="s">
        <v>191</v>
      </c>
      <c r="G50">
        <v>12345</v>
      </c>
      <c r="H50" t="s">
        <v>216</v>
      </c>
      <c r="I50">
        <v>1</v>
      </c>
      <c r="J50" t="s">
        <v>192</v>
      </c>
      <c r="K50">
        <v>1.0000000000000001E-5</v>
      </c>
      <c r="L50" t="s">
        <v>3</v>
      </c>
      <c r="M50">
        <v>1</v>
      </c>
      <c r="N50" t="s">
        <v>2</v>
      </c>
      <c r="O50">
        <v>0</v>
      </c>
      <c r="P50" t="s">
        <v>17</v>
      </c>
      <c r="Q50">
        <v>8</v>
      </c>
      <c r="R50" t="s">
        <v>0</v>
      </c>
      <c r="S50">
        <v>4.9000000000000004</v>
      </c>
      <c r="T50" t="s">
        <v>152</v>
      </c>
      <c r="U50">
        <v>1</v>
      </c>
      <c r="V50" t="s">
        <v>153</v>
      </c>
      <c r="W50">
        <v>3</v>
      </c>
      <c r="X50" t="s">
        <v>151</v>
      </c>
      <c r="Y50">
        <v>1036</v>
      </c>
      <c r="Z50" t="s">
        <v>1</v>
      </c>
      <c r="AA50" t="s">
        <v>205</v>
      </c>
      <c r="AB50" t="s">
        <v>4</v>
      </c>
      <c r="AC50">
        <v>1</v>
      </c>
      <c r="AD50" t="s">
        <v>5</v>
      </c>
      <c r="AE50">
        <v>0</v>
      </c>
    </row>
    <row r="51" spans="1:31" x14ac:dyDescent="0.25">
      <c r="A51" t="s">
        <v>52</v>
      </c>
      <c r="B51" t="s">
        <v>189</v>
      </c>
      <c r="C51">
        <v>1200</v>
      </c>
      <c r="D51" t="s">
        <v>190</v>
      </c>
      <c r="E51">
        <v>1000000</v>
      </c>
      <c r="F51" t="s">
        <v>191</v>
      </c>
      <c r="G51">
        <v>12345</v>
      </c>
      <c r="H51" t="s">
        <v>216</v>
      </c>
      <c r="I51">
        <v>1</v>
      </c>
      <c r="J51" t="s">
        <v>192</v>
      </c>
      <c r="K51">
        <v>1.0000000000000001E-5</v>
      </c>
      <c r="L51" t="s">
        <v>3</v>
      </c>
      <c r="M51">
        <v>1</v>
      </c>
      <c r="N51" t="s">
        <v>2</v>
      </c>
      <c r="O51">
        <v>0</v>
      </c>
      <c r="P51" t="s">
        <v>17</v>
      </c>
      <c r="Q51">
        <v>18</v>
      </c>
      <c r="R51" t="s">
        <v>0</v>
      </c>
      <c r="S51">
        <v>23.9</v>
      </c>
      <c r="T51" t="s">
        <v>152</v>
      </c>
      <c r="U51">
        <v>1</v>
      </c>
      <c r="V51" t="s">
        <v>153</v>
      </c>
      <c r="W51">
        <v>5</v>
      </c>
      <c r="X51" t="s">
        <v>151</v>
      </c>
      <c r="Y51">
        <v>3750</v>
      </c>
      <c r="Z51" t="s">
        <v>1</v>
      </c>
      <c r="AA51" t="s">
        <v>235</v>
      </c>
      <c r="AB51" t="s">
        <v>4</v>
      </c>
      <c r="AC51">
        <v>1</v>
      </c>
      <c r="AD51" t="s">
        <v>5</v>
      </c>
      <c r="AE51">
        <v>0</v>
      </c>
    </row>
    <row r="52" spans="1:31" x14ac:dyDescent="0.25">
      <c r="A52" t="s">
        <v>62</v>
      </c>
      <c r="B52" t="s">
        <v>189</v>
      </c>
      <c r="C52">
        <v>1200</v>
      </c>
      <c r="D52" t="s">
        <v>190</v>
      </c>
      <c r="E52">
        <v>1000000</v>
      </c>
      <c r="F52" t="s">
        <v>191</v>
      </c>
      <c r="G52">
        <v>12345</v>
      </c>
      <c r="H52" t="s">
        <v>216</v>
      </c>
      <c r="I52">
        <v>1</v>
      </c>
      <c r="J52" t="s">
        <v>192</v>
      </c>
      <c r="K52">
        <v>1.0000000000000001E-5</v>
      </c>
      <c r="L52" t="s">
        <v>3</v>
      </c>
      <c r="M52">
        <v>1</v>
      </c>
      <c r="N52" t="s">
        <v>2</v>
      </c>
      <c r="O52">
        <v>0</v>
      </c>
      <c r="P52" t="s">
        <v>17</v>
      </c>
      <c r="Q52">
        <v>13</v>
      </c>
      <c r="R52" t="s">
        <v>0</v>
      </c>
      <c r="S52">
        <v>16.5</v>
      </c>
      <c r="T52" t="s">
        <v>152</v>
      </c>
      <c r="U52">
        <v>1</v>
      </c>
      <c r="V52" t="s">
        <v>153</v>
      </c>
      <c r="W52">
        <v>5</v>
      </c>
      <c r="X52" t="s">
        <v>151</v>
      </c>
      <c r="Y52">
        <v>3849</v>
      </c>
      <c r="Z52" t="s">
        <v>1</v>
      </c>
      <c r="AA52" t="s">
        <v>237</v>
      </c>
      <c r="AB52" t="s">
        <v>4</v>
      </c>
      <c r="AC52">
        <v>1</v>
      </c>
      <c r="AD52" t="s">
        <v>5</v>
      </c>
      <c r="AE52">
        <v>0</v>
      </c>
    </row>
    <row r="53" spans="1:31" x14ac:dyDescent="0.25">
      <c r="A53" t="s">
        <v>72</v>
      </c>
      <c r="B53" t="s">
        <v>189</v>
      </c>
      <c r="C53">
        <v>1200</v>
      </c>
      <c r="D53" t="s">
        <v>190</v>
      </c>
      <c r="E53">
        <v>1000000</v>
      </c>
      <c r="F53" t="s">
        <v>191</v>
      </c>
      <c r="G53">
        <v>12345</v>
      </c>
      <c r="H53" t="s">
        <v>216</v>
      </c>
      <c r="I53">
        <v>1</v>
      </c>
      <c r="J53" t="s">
        <v>192</v>
      </c>
      <c r="K53">
        <v>1.0000000000000001E-5</v>
      </c>
      <c r="L53" t="s">
        <v>3</v>
      </c>
      <c r="M53">
        <v>1</v>
      </c>
      <c r="N53" t="s">
        <v>2</v>
      </c>
      <c r="O53">
        <v>0</v>
      </c>
      <c r="P53" t="s">
        <v>17</v>
      </c>
      <c r="Q53">
        <v>8</v>
      </c>
      <c r="R53" t="s">
        <v>0</v>
      </c>
      <c r="S53">
        <v>5.9</v>
      </c>
      <c r="T53" t="s">
        <v>152</v>
      </c>
      <c r="U53">
        <v>1</v>
      </c>
      <c r="V53" t="s">
        <v>153</v>
      </c>
      <c r="W53">
        <v>3</v>
      </c>
      <c r="X53" t="s">
        <v>151</v>
      </c>
      <c r="Y53">
        <v>1184</v>
      </c>
      <c r="Z53" t="s">
        <v>1</v>
      </c>
      <c r="AA53" t="s">
        <v>207</v>
      </c>
      <c r="AB53" t="s">
        <v>4</v>
      </c>
      <c r="AC53">
        <v>1</v>
      </c>
      <c r="AD53" t="s">
        <v>5</v>
      </c>
      <c r="AE53">
        <v>0</v>
      </c>
    </row>
    <row r="54" spans="1:31" x14ac:dyDescent="0.25">
      <c r="A54" t="s">
        <v>130</v>
      </c>
      <c r="B54" t="s">
        <v>189</v>
      </c>
      <c r="C54">
        <v>1200</v>
      </c>
      <c r="D54" t="s">
        <v>190</v>
      </c>
      <c r="E54">
        <v>1000000</v>
      </c>
      <c r="F54" t="s">
        <v>191</v>
      </c>
      <c r="G54">
        <v>12345</v>
      </c>
      <c r="H54" t="s">
        <v>216</v>
      </c>
      <c r="I54">
        <v>1</v>
      </c>
      <c r="J54" t="s">
        <v>192</v>
      </c>
      <c r="K54">
        <v>1.0000000000000001E-5</v>
      </c>
      <c r="L54" t="s">
        <v>3</v>
      </c>
      <c r="M54">
        <v>0.9964653</v>
      </c>
      <c r="N54" t="s">
        <v>2</v>
      </c>
      <c r="O54">
        <v>1.5490107</v>
      </c>
      <c r="P54" t="s">
        <v>17</v>
      </c>
      <c r="Q54">
        <v>67</v>
      </c>
      <c r="R54" t="s">
        <v>0</v>
      </c>
      <c r="S54">
        <v>1201.5</v>
      </c>
      <c r="T54" t="s">
        <v>152</v>
      </c>
      <c r="U54">
        <v>1</v>
      </c>
      <c r="V54" t="s">
        <v>153</v>
      </c>
      <c r="W54">
        <v>29</v>
      </c>
      <c r="X54" t="s">
        <v>151</v>
      </c>
      <c r="Y54">
        <v>84527</v>
      </c>
      <c r="Z54" t="s">
        <v>1</v>
      </c>
      <c r="AA54" t="s">
        <v>343</v>
      </c>
      <c r="AB54" t="s">
        <v>4</v>
      </c>
      <c r="AC54">
        <v>0.99644710000000003</v>
      </c>
      <c r="AD54" t="s">
        <v>5</v>
      </c>
      <c r="AE54">
        <v>1.5427415</v>
      </c>
    </row>
    <row r="55" spans="1:31" x14ac:dyDescent="0.25">
      <c r="A55" t="s">
        <v>45</v>
      </c>
      <c r="B55" t="s">
        <v>189</v>
      </c>
      <c r="C55">
        <v>1200</v>
      </c>
      <c r="D55" t="s">
        <v>190</v>
      </c>
      <c r="E55">
        <v>1000000</v>
      </c>
      <c r="F55" t="s">
        <v>191</v>
      </c>
      <c r="G55">
        <v>12345</v>
      </c>
      <c r="H55" t="s">
        <v>216</v>
      </c>
      <c r="I55">
        <v>1</v>
      </c>
      <c r="J55" t="s">
        <v>192</v>
      </c>
      <c r="K55">
        <v>1.0000000000000001E-5</v>
      </c>
      <c r="L55" t="s">
        <v>3</v>
      </c>
      <c r="M55">
        <v>1</v>
      </c>
      <c r="N55" t="s">
        <v>2</v>
      </c>
      <c r="O55">
        <v>4.5300000000000003E-5</v>
      </c>
      <c r="P55" t="s">
        <v>17</v>
      </c>
      <c r="Q55">
        <v>20</v>
      </c>
      <c r="R55" t="s">
        <v>0</v>
      </c>
      <c r="S55">
        <v>1201</v>
      </c>
      <c r="T55" t="s">
        <v>152</v>
      </c>
      <c r="U55">
        <v>26</v>
      </c>
      <c r="V55" t="s">
        <v>153</v>
      </c>
      <c r="W55">
        <v>82</v>
      </c>
      <c r="X55" t="s">
        <v>151</v>
      </c>
      <c r="Y55">
        <v>109104</v>
      </c>
      <c r="Z55" t="s">
        <v>1</v>
      </c>
      <c r="AA55" t="s">
        <v>344</v>
      </c>
      <c r="AB55" t="s">
        <v>4</v>
      </c>
      <c r="AC55">
        <v>1</v>
      </c>
      <c r="AD55" t="s">
        <v>5</v>
      </c>
      <c r="AE55" s="7">
        <v>4.4400000000000002E-5</v>
      </c>
    </row>
    <row r="56" spans="1:31" x14ac:dyDescent="0.25">
      <c r="A56" t="s">
        <v>96</v>
      </c>
      <c r="B56" t="s">
        <v>189</v>
      </c>
      <c r="C56">
        <v>1200</v>
      </c>
      <c r="D56" t="s">
        <v>190</v>
      </c>
      <c r="E56">
        <v>1000000</v>
      </c>
      <c r="F56" t="s">
        <v>191</v>
      </c>
      <c r="G56">
        <v>12345</v>
      </c>
      <c r="H56" t="s">
        <v>216</v>
      </c>
      <c r="I56">
        <v>1</v>
      </c>
      <c r="J56" t="s">
        <v>192</v>
      </c>
      <c r="K56">
        <v>1.0000000000000001E-5</v>
      </c>
      <c r="L56" t="s">
        <v>3</v>
      </c>
      <c r="M56">
        <v>1</v>
      </c>
      <c r="N56" t="s">
        <v>2</v>
      </c>
      <c r="O56">
        <v>3.2660000000000002E-4</v>
      </c>
      <c r="P56" t="s">
        <v>17</v>
      </c>
      <c r="Q56">
        <v>36</v>
      </c>
      <c r="R56" t="s">
        <v>0</v>
      </c>
      <c r="S56">
        <v>1200.7</v>
      </c>
      <c r="T56" t="s">
        <v>152</v>
      </c>
      <c r="U56">
        <v>5</v>
      </c>
      <c r="V56" t="s">
        <v>153</v>
      </c>
      <c r="W56">
        <v>52</v>
      </c>
      <c r="X56" t="s">
        <v>151</v>
      </c>
      <c r="Y56">
        <v>134284</v>
      </c>
      <c r="Z56" t="s">
        <v>1</v>
      </c>
      <c r="AA56" t="e" cm="1">
        <f t="array" aca="1" ref="AA56" ca="1">-0.0000340862086+(-71.7925055118485*pow(((pow(V2,2)*pow(V3,2))+((((0.015625*v0)*V1)*V2)*V3)),0.5))+((72.7925403708301*V2)*V3)+((0.4811950468319*v0)*V1)</f>
        <v>#NAME?</v>
      </c>
      <c r="AB56" t="s">
        <v>4</v>
      </c>
      <c r="AC56">
        <v>1</v>
      </c>
      <c r="AD56" t="s">
        <v>5</v>
      </c>
      <c r="AE56">
        <v>4.349E-4</v>
      </c>
    </row>
    <row r="57" spans="1:31" x14ac:dyDescent="0.25">
      <c r="A57" t="s">
        <v>106</v>
      </c>
      <c r="B57" t="s">
        <v>189</v>
      </c>
      <c r="C57">
        <v>1200</v>
      </c>
      <c r="D57" t="s">
        <v>190</v>
      </c>
      <c r="E57">
        <v>1000000</v>
      </c>
      <c r="F57" t="s">
        <v>191</v>
      </c>
      <c r="G57">
        <v>12345</v>
      </c>
      <c r="H57" t="s">
        <v>216</v>
      </c>
      <c r="I57">
        <v>1</v>
      </c>
      <c r="J57" t="s">
        <v>192</v>
      </c>
      <c r="K57">
        <v>1.0000000000000001E-5</v>
      </c>
      <c r="L57" t="s">
        <v>3</v>
      </c>
      <c r="M57">
        <v>1</v>
      </c>
      <c r="N57" t="s">
        <v>2</v>
      </c>
      <c r="O57">
        <v>0</v>
      </c>
      <c r="P57" t="s">
        <v>17</v>
      </c>
      <c r="Q57">
        <v>24</v>
      </c>
      <c r="R57" t="s">
        <v>0</v>
      </c>
      <c r="S57">
        <v>71.400000000000006</v>
      </c>
      <c r="T57" t="s">
        <v>152</v>
      </c>
      <c r="U57">
        <v>1</v>
      </c>
      <c r="V57" t="s">
        <v>153</v>
      </c>
      <c r="W57">
        <v>8</v>
      </c>
      <c r="X57" t="s">
        <v>151</v>
      </c>
      <c r="Y57">
        <v>9635</v>
      </c>
      <c r="Z57" t="s">
        <v>1</v>
      </c>
      <c r="AA57" t="s">
        <v>184</v>
      </c>
      <c r="AB57" t="s">
        <v>4</v>
      </c>
      <c r="AC57">
        <v>1</v>
      </c>
      <c r="AD57" t="s">
        <v>5</v>
      </c>
      <c r="AE57">
        <v>0</v>
      </c>
    </row>
    <row r="58" spans="1:31" x14ac:dyDescent="0.25">
      <c r="A58" t="s">
        <v>116</v>
      </c>
      <c r="B58" t="s">
        <v>189</v>
      </c>
      <c r="C58">
        <v>1200</v>
      </c>
      <c r="D58" t="s">
        <v>190</v>
      </c>
      <c r="E58">
        <v>1000000</v>
      </c>
      <c r="F58" t="s">
        <v>191</v>
      </c>
      <c r="G58">
        <v>12345</v>
      </c>
      <c r="H58" t="s">
        <v>216</v>
      </c>
      <c r="I58">
        <v>1</v>
      </c>
      <c r="J58" t="s">
        <v>192</v>
      </c>
      <c r="K58">
        <v>1.0000000000000001E-5</v>
      </c>
      <c r="L58" t="s">
        <v>3</v>
      </c>
      <c r="M58">
        <v>1</v>
      </c>
      <c r="N58" t="s">
        <v>2</v>
      </c>
      <c r="O58">
        <v>0</v>
      </c>
      <c r="P58" t="s">
        <v>17</v>
      </c>
      <c r="Q58">
        <v>15</v>
      </c>
      <c r="R58" t="s">
        <v>0</v>
      </c>
      <c r="S58">
        <v>39.5</v>
      </c>
      <c r="T58" t="s">
        <v>152</v>
      </c>
      <c r="U58">
        <v>1</v>
      </c>
      <c r="V58" t="s">
        <v>153</v>
      </c>
      <c r="W58">
        <v>7</v>
      </c>
      <c r="X58" t="s">
        <v>151</v>
      </c>
      <c r="Y58">
        <v>6143</v>
      </c>
      <c r="Z58" t="s">
        <v>1</v>
      </c>
      <c r="AA58" t="s">
        <v>170</v>
      </c>
      <c r="AB58" t="s">
        <v>4</v>
      </c>
      <c r="AC58">
        <v>1</v>
      </c>
      <c r="AD58" t="s">
        <v>5</v>
      </c>
      <c r="AE58">
        <v>0</v>
      </c>
    </row>
    <row r="59" spans="1:31" x14ac:dyDescent="0.25">
      <c r="A59" t="s">
        <v>126</v>
      </c>
      <c r="B59" t="s">
        <v>189</v>
      </c>
      <c r="C59">
        <v>1200</v>
      </c>
      <c r="D59" t="s">
        <v>190</v>
      </c>
      <c r="E59">
        <v>1000000</v>
      </c>
      <c r="F59" t="s">
        <v>191</v>
      </c>
      <c r="G59">
        <v>12345</v>
      </c>
      <c r="H59" t="s">
        <v>216</v>
      </c>
      <c r="I59">
        <v>1</v>
      </c>
      <c r="J59" t="s">
        <v>192</v>
      </c>
      <c r="K59">
        <v>1.0000000000000001E-5</v>
      </c>
      <c r="L59" t="s">
        <v>3</v>
      </c>
      <c r="M59">
        <v>1</v>
      </c>
      <c r="N59" t="s">
        <v>2</v>
      </c>
      <c r="O59">
        <v>0</v>
      </c>
      <c r="P59" t="s">
        <v>17</v>
      </c>
      <c r="Q59">
        <v>24</v>
      </c>
      <c r="R59" t="s">
        <v>0</v>
      </c>
      <c r="S59">
        <v>74.8</v>
      </c>
      <c r="T59" t="s">
        <v>152</v>
      </c>
      <c r="U59">
        <v>1</v>
      </c>
      <c r="V59" t="s">
        <v>153</v>
      </c>
      <c r="W59">
        <v>8</v>
      </c>
      <c r="X59" t="s">
        <v>151</v>
      </c>
      <c r="Y59">
        <v>10474</v>
      </c>
      <c r="Z59" t="s">
        <v>1</v>
      </c>
      <c r="AA59" t="s">
        <v>258</v>
      </c>
      <c r="AB59" t="s">
        <v>4</v>
      </c>
      <c r="AC59">
        <v>1</v>
      </c>
      <c r="AD59" t="s">
        <v>5</v>
      </c>
      <c r="AE59">
        <v>0</v>
      </c>
    </row>
    <row r="60" spans="1:31" x14ac:dyDescent="0.25">
      <c r="A60" t="s">
        <v>82</v>
      </c>
      <c r="B60" t="s">
        <v>189</v>
      </c>
      <c r="C60">
        <v>1200</v>
      </c>
      <c r="D60" t="s">
        <v>190</v>
      </c>
      <c r="E60">
        <v>1000000</v>
      </c>
      <c r="F60" t="s">
        <v>191</v>
      </c>
      <c r="G60">
        <v>12345</v>
      </c>
      <c r="H60" t="s">
        <v>216</v>
      </c>
      <c r="I60">
        <v>1</v>
      </c>
      <c r="J60" t="s">
        <v>192</v>
      </c>
      <c r="K60">
        <v>1.0000000000000001E-5</v>
      </c>
      <c r="L60" t="s">
        <v>3</v>
      </c>
      <c r="M60">
        <v>1</v>
      </c>
      <c r="N60" t="s">
        <v>2</v>
      </c>
      <c r="O60">
        <v>1.2439E-3</v>
      </c>
      <c r="P60" t="s">
        <v>17</v>
      </c>
      <c r="Q60">
        <v>42</v>
      </c>
      <c r="R60" t="s">
        <v>0</v>
      </c>
      <c r="S60">
        <v>1201.5</v>
      </c>
      <c r="T60" t="s">
        <v>152</v>
      </c>
      <c r="U60">
        <v>3</v>
      </c>
      <c r="V60" t="s">
        <v>153</v>
      </c>
      <c r="W60">
        <v>45</v>
      </c>
      <c r="X60" t="s">
        <v>151</v>
      </c>
      <c r="Y60">
        <v>113527</v>
      </c>
      <c r="Z60" t="s">
        <v>1</v>
      </c>
      <c r="AA60" t="e" cm="1">
        <f t="array" aca="1" ref="AA60" ca="1">-0.0002695590633+((0.9996316028851*v0)*pow(V2,2))+((0.4499343910826*v0)*pow(V1,2))+(((0.1559015025989*v0)*pow(V1,3))*pow((V2+(-1*V1)),-1))+(((0.0071657115818*v0)*V1)*V2)</f>
        <v>#NAME?</v>
      </c>
      <c r="AB60" t="s">
        <v>4</v>
      </c>
      <c r="AC60">
        <v>1</v>
      </c>
      <c r="AD60" t="s">
        <v>5</v>
      </c>
      <c r="AE60">
        <v>1.1842999999999999E-3</v>
      </c>
    </row>
    <row r="61" spans="1:31" x14ac:dyDescent="0.25">
      <c r="A61" t="s">
        <v>140</v>
      </c>
      <c r="B61" t="s">
        <v>189</v>
      </c>
      <c r="C61">
        <v>1200</v>
      </c>
      <c r="D61" t="s">
        <v>190</v>
      </c>
      <c r="E61">
        <v>1000000</v>
      </c>
      <c r="F61" t="s">
        <v>191</v>
      </c>
      <c r="G61">
        <v>12345</v>
      </c>
      <c r="H61" t="s">
        <v>216</v>
      </c>
      <c r="I61">
        <v>1</v>
      </c>
      <c r="J61" t="s">
        <v>192</v>
      </c>
      <c r="K61">
        <v>1.0000000000000001E-5</v>
      </c>
      <c r="L61" t="s">
        <v>3</v>
      </c>
      <c r="M61">
        <v>0.99780000000000002</v>
      </c>
      <c r="N61" t="s">
        <v>2</v>
      </c>
      <c r="O61">
        <v>1.3429021000000001</v>
      </c>
      <c r="P61" t="s">
        <v>17</v>
      </c>
      <c r="Q61">
        <v>152</v>
      </c>
      <c r="R61" t="s">
        <v>0</v>
      </c>
      <c r="S61">
        <v>1200.9000000000001</v>
      </c>
      <c r="T61" t="s">
        <v>152</v>
      </c>
      <c r="U61">
        <v>1</v>
      </c>
      <c r="V61" t="s">
        <v>153</v>
      </c>
      <c r="W61">
        <v>24</v>
      </c>
      <c r="X61" t="s">
        <v>151</v>
      </c>
      <c r="Y61">
        <v>77032</v>
      </c>
      <c r="Z61" t="s">
        <v>1</v>
      </c>
      <c r="AA61" t="e" cm="1">
        <f t="array" aca="1" ref="AA61" ca="1">-1.9557589773518+(0.2713950697126*V5)+(1.4343448934531*v0)+((0.1655603148964*V3)*pow(V4,2))+((0.865060782077*V5)*pow(V3,1))+((0.1720661505093*V4)*pow(V3,2))+((0.9156273805986*v0)*pow(V1,2))+((-0.3343471206205*V2)*V4)+((-0.0564743134614*V2)*pow(V3,2))+(((0.2860398226348*V1)*V3)*V4)+(((0.0114380122053*v0)*V5)*pow((V3+(-1*V1)),2))+(((0.02487341143*V1)*V4)*pow((V3+((-1*V1)*pow(V4,-1))),2))+(((0.02487341143*V4)*V5)*pow((V3+((-1*V1)*pow(V4,-1))),2))+(((0.0240013499563*v0)*V2)*pow((V3+(-1*V1)),2))+(((-0.272840336178*v0)*V3)*V4)+((((-0.0124051377712*V3)*V4)*V5)*pow((V3+(-1*V1)),2))</f>
        <v>#VALUE!</v>
      </c>
      <c r="AB61" t="s">
        <v>4</v>
      </c>
      <c r="AC61">
        <v>0.99770760000000003</v>
      </c>
      <c r="AD61" t="s">
        <v>5</v>
      </c>
      <c r="AE61">
        <v>1.3557650000000001</v>
      </c>
    </row>
    <row r="62" spans="1:31" x14ac:dyDescent="0.25">
      <c r="A62" t="s">
        <v>55</v>
      </c>
      <c r="B62" t="s">
        <v>189</v>
      </c>
      <c r="C62">
        <v>1200</v>
      </c>
      <c r="D62" t="s">
        <v>190</v>
      </c>
      <c r="E62">
        <v>1000000</v>
      </c>
      <c r="F62" t="s">
        <v>191</v>
      </c>
      <c r="G62">
        <v>12345</v>
      </c>
      <c r="H62" t="s">
        <v>216</v>
      </c>
      <c r="I62">
        <v>1</v>
      </c>
      <c r="J62" t="s">
        <v>192</v>
      </c>
      <c r="K62">
        <v>1.0000000000000001E-5</v>
      </c>
      <c r="L62" t="s">
        <v>3</v>
      </c>
      <c r="M62">
        <v>0.99997970000000003</v>
      </c>
      <c r="N62" t="s">
        <v>2</v>
      </c>
      <c r="O62">
        <v>9.5052999999999995E-3</v>
      </c>
      <c r="P62" t="s">
        <v>17</v>
      </c>
      <c r="Q62">
        <v>91</v>
      </c>
      <c r="R62" t="s">
        <v>0</v>
      </c>
      <c r="S62">
        <v>1200.9000000000001</v>
      </c>
      <c r="T62" t="s">
        <v>152</v>
      </c>
      <c r="U62">
        <v>1</v>
      </c>
      <c r="V62" t="s">
        <v>153</v>
      </c>
      <c r="W62">
        <v>35</v>
      </c>
      <c r="X62" t="s">
        <v>151</v>
      </c>
      <c r="Y62">
        <v>96601</v>
      </c>
      <c r="Z62" t="s">
        <v>1</v>
      </c>
      <c r="AA62" t="e" cm="1">
        <f t="array" aca="1" ref="AA62" ca="1">-54.6859008251822+(0.0059643334855*v0)+(53.9619069472196*COS((0.4625431386865*pow((((V2+(-0.7161972439135*V1))+(-0.0063325739776*pow(V1,3.7699111843078)))+((0.0063325739776*pow(v0,2))*pow(V1,3.1415926535898))),-0.9))))+(3.8131087996312*pow((V2+(-1*V1)),-1))+(0.0479530119601*V2)+(-0.0430492991523*pow(v0,-1))+((0.0169028481593*pow(V1,-1))*SIN(V2))+((0.9810249625207*v0)*V1)+((-0.0019737093808*V2)*pow(V1,2))+((((0.0459259352023*v0)*V1)*pow(V2,-1))*EXP(V1))</f>
        <v>#NAME?</v>
      </c>
      <c r="AB62" t="s">
        <v>4</v>
      </c>
      <c r="AC62">
        <v>0.99997919999999996</v>
      </c>
      <c r="AD62" t="s">
        <v>5</v>
      </c>
      <c r="AE62">
        <v>9.6535000000000006E-3</v>
      </c>
    </row>
    <row r="63" spans="1:31" x14ac:dyDescent="0.25">
      <c r="A63" t="s">
        <v>18</v>
      </c>
      <c r="B63" t="s">
        <v>189</v>
      </c>
      <c r="C63">
        <v>1200</v>
      </c>
      <c r="D63" t="s">
        <v>190</v>
      </c>
      <c r="E63">
        <v>1000000</v>
      </c>
      <c r="F63" t="s">
        <v>191</v>
      </c>
      <c r="G63">
        <v>12345</v>
      </c>
      <c r="H63" t="s">
        <v>216</v>
      </c>
      <c r="I63">
        <v>1</v>
      </c>
      <c r="J63" t="s">
        <v>192</v>
      </c>
      <c r="K63">
        <v>1.0000000000000001E-5</v>
      </c>
      <c r="L63" t="s">
        <v>3</v>
      </c>
      <c r="M63">
        <v>1</v>
      </c>
      <c r="N63" t="s">
        <v>2</v>
      </c>
      <c r="O63">
        <v>0</v>
      </c>
      <c r="P63" t="s">
        <v>17</v>
      </c>
      <c r="Q63">
        <v>4</v>
      </c>
      <c r="R63" t="s">
        <v>0</v>
      </c>
      <c r="S63">
        <v>0.3</v>
      </c>
      <c r="T63" t="s">
        <v>152</v>
      </c>
      <c r="U63">
        <v>1</v>
      </c>
      <c r="V63" t="s">
        <v>153</v>
      </c>
      <c r="W63">
        <v>2</v>
      </c>
      <c r="X63" t="s">
        <v>151</v>
      </c>
      <c r="Y63">
        <v>234</v>
      </c>
      <c r="Z63" t="s">
        <v>1</v>
      </c>
      <c r="AA63" t="s">
        <v>154</v>
      </c>
      <c r="AB63" t="s">
        <v>4</v>
      </c>
      <c r="AC63">
        <v>1</v>
      </c>
      <c r="AD63" t="s">
        <v>5</v>
      </c>
      <c r="AE63">
        <v>0</v>
      </c>
    </row>
    <row r="64" spans="1:31" x14ac:dyDescent="0.25">
      <c r="A64" t="s">
        <v>136</v>
      </c>
      <c r="B64" t="s">
        <v>189</v>
      </c>
      <c r="C64">
        <v>1200</v>
      </c>
      <c r="D64" t="s">
        <v>190</v>
      </c>
      <c r="E64">
        <v>1000000</v>
      </c>
      <c r="F64" t="s">
        <v>191</v>
      </c>
      <c r="G64">
        <v>12345</v>
      </c>
      <c r="H64" t="s">
        <v>216</v>
      </c>
      <c r="I64">
        <v>1</v>
      </c>
      <c r="J64" t="s">
        <v>192</v>
      </c>
      <c r="K64">
        <v>1.0000000000000001E-5</v>
      </c>
      <c r="L64" t="s">
        <v>3</v>
      </c>
      <c r="M64">
        <v>0.99983840000000002</v>
      </c>
      <c r="N64" t="s">
        <v>2</v>
      </c>
      <c r="O64">
        <v>88.353629999999995</v>
      </c>
      <c r="P64" t="s">
        <v>17</v>
      </c>
      <c r="Q64">
        <v>128</v>
      </c>
      <c r="R64" t="s">
        <v>0</v>
      </c>
      <c r="S64">
        <v>1201</v>
      </c>
      <c r="T64" t="s">
        <v>152</v>
      </c>
      <c r="U64">
        <v>1</v>
      </c>
      <c r="V64" t="s">
        <v>153</v>
      </c>
      <c r="W64">
        <v>28</v>
      </c>
      <c r="X64" t="s">
        <v>151</v>
      </c>
      <c r="Y64">
        <v>109067</v>
      </c>
      <c r="Z64" t="s">
        <v>1</v>
      </c>
      <c r="AA64" t="s">
        <v>345</v>
      </c>
      <c r="AB64" t="s">
        <v>4</v>
      </c>
      <c r="AC64">
        <v>0.99982380000000004</v>
      </c>
      <c r="AD64" t="s">
        <v>5</v>
      </c>
      <c r="AE64">
        <v>85.284878500000005</v>
      </c>
    </row>
    <row r="65" spans="1:31" x14ac:dyDescent="0.25">
      <c r="A65" t="s">
        <v>92</v>
      </c>
      <c r="B65" t="s">
        <v>189</v>
      </c>
      <c r="C65">
        <v>1200</v>
      </c>
      <c r="D65" t="s">
        <v>190</v>
      </c>
      <c r="E65">
        <v>1000000</v>
      </c>
      <c r="F65" t="s">
        <v>191</v>
      </c>
      <c r="G65">
        <v>12345</v>
      </c>
      <c r="H65" t="s">
        <v>216</v>
      </c>
      <c r="I65">
        <v>1</v>
      </c>
      <c r="J65" t="s">
        <v>192</v>
      </c>
      <c r="K65">
        <v>1.0000000000000001E-5</v>
      </c>
      <c r="L65" t="s">
        <v>3</v>
      </c>
      <c r="M65">
        <v>0.99999890000000002</v>
      </c>
      <c r="N65" t="s">
        <v>2</v>
      </c>
      <c r="O65">
        <v>1.2696000000000001E-3</v>
      </c>
      <c r="P65" t="s">
        <v>17</v>
      </c>
      <c r="Q65">
        <v>88</v>
      </c>
      <c r="R65" t="s">
        <v>0</v>
      </c>
      <c r="S65">
        <v>1200.4000000000001</v>
      </c>
      <c r="T65" t="s">
        <v>152</v>
      </c>
      <c r="U65">
        <v>2</v>
      </c>
      <c r="V65" t="s">
        <v>153</v>
      </c>
      <c r="W65">
        <v>30</v>
      </c>
      <c r="X65" t="s">
        <v>151</v>
      </c>
      <c r="Y65">
        <v>88518</v>
      </c>
      <c r="Z65" t="s">
        <v>1</v>
      </c>
      <c r="AA65" t="s">
        <v>331</v>
      </c>
      <c r="AB65" t="s">
        <v>4</v>
      </c>
      <c r="AC65">
        <v>0.99999890000000002</v>
      </c>
      <c r="AD65" t="s">
        <v>5</v>
      </c>
      <c r="AE65">
        <v>1.2572E-3</v>
      </c>
    </row>
    <row r="66" spans="1:31" x14ac:dyDescent="0.25">
      <c r="A66" t="s">
        <v>102</v>
      </c>
      <c r="B66" t="s">
        <v>189</v>
      </c>
      <c r="C66">
        <v>1200</v>
      </c>
      <c r="D66" t="s">
        <v>190</v>
      </c>
      <c r="E66">
        <v>1000000</v>
      </c>
      <c r="F66" t="s">
        <v>191</v>
      </c>
      <c r="G66">
        <v>12345</v>
      </c>
      <c r="H66" t="s">
        <v>216</v>
      </c>
      <c r="I66">
        <v>1</v>
      </c>
      <c r="J66" t="s">
        <v>192</v>
      </c>
      <c r="K66">
        <v>1.0000000000000001E-5</v>
      </c>
      <c r="L66" t="s">
        <v>3</v>
      </c>
      <c r="M66">
        <v>1</v>
      </c>
      <c r="N66" t="s">
        <v>2</v>
      </c>
      <c r="O66">
        <v>0</v>
      </c>
      <c r="P66" t="s">
        <v>17</v>
      </c>
      <c r="Q66">
        <v>12</v>
      </c>
      <c r="R66" t="s">
        <v>0</v>
      </c>
      <c r="S66">
        <v>15.1</v>
      </c>
      <c r="T66" t="s">
        <v>152</v>
      </c>
      <c r="U66">
        <v>1</v>
      </c>
      <c r="V66" t="s">
        <v>153</v>
      </c>
      <c r="W66">
        <v>4</v>
      </c>
      <c r="X66" t="s">
        <v>151</v>
      </c>
      <c r="Y66">
        <v>2574</v>
      </c>
      <c r="Z66" t="s">
        <v>1</v>
      </c>
      <c r="AA66" t="s">
        <v>177</v>
      </c>
      <c r="AB66" t="s">
        <v>4</v>
      </c>
      <c r="AC66">
        <v>1</v>
      </c>
      <c r="AD66" t="s">
        <v>5</v>
      </c>
      <c r="AE66">
        <v>0</v>
      </c>
    </row>
    <row r="67" spans="1:31" x14ac:dyDescent="0.25">
      <c r="A67" t="s">
        <v>150</v>
      </c>
      <c r="B67" t="s">
        <v>189</v>
      </c>
      <c r="C67">
        <v>1200</v>
      </c>
      <c r="D67" t="s">
        <v>190</v>
      </c>
      <c r="E67">
        <v>1000000</v>
      </c>
      <c r="F67" t="s">
        <v>191</v>
      </c>
      <c r="G67">
        <v>12345</v>
      </c>
      <c r="H67" t="s">
        <v>216</v>
      </c>
      <c r="I67">
        <v>1</v>
      </c>
      <c r="J67" t="s">
        <v>192</v>
      </c>
      <c r="K67">
        <v>1.0000000000000001E-5</v>
      </c>
      <c r="L67" t="s">
        <v>3</v>
      </c>
      <c r="M67">
        <v>0.99423470000000003</v>
      </c>
      <c r="N67" t="s">
        <v>2</v>
      </c>
      <c r="O67">
        <v>9.3161000000000008E-3</v>
      </c>
      <c r="P67" t="s">
        <v>17</v>
      </c>
      <c r="Q67">
        <v>118</v>
      </c>
      <c r="R67" t="s">
        <v>0</v>
      </c>
      <c r="S67">
        <v>1200.4000000000001</v>
      </c>
      <c r="T67" t="s">
        <v>152</v>
      </c>
      <c r="U67">
        <v>1</v>
      </c>
      <c r="V67" t="s">
        <v>153</v>
      </c>
      <c r="W67">
        <v>20</v>
      </c>
      <c r="X67" t="s">
        <v>151</v>
      </c>
      <c r="Y67">
        <v>92535</v>
      </c>
      <c r="Z67" t="s">
        <v>1</v>
      </c>
      <c r="AA67" t="e" cm="1">
        <f t="array" aca="1" ref="AA67" ca="1">-0.2490993757851+(0.1079463998012*pow(V8,-1))+(0.0512204667061*V7)+(((-0.0472046386201*V4)*V6)*pow((V7+(-1*V8)),-1))+(((((-0.531607284724*V4)*V6)*pow(V3,-1))*pow(V5,-1))*pow(V7,0.5))+((((((3.6251017792569*V4)*V6)*pow(V3,-1))*pow(V5,-1))*pow(V7,-1))*pow(V8,0.5))+(((((((1.4016160844922*v0)*V1)*V2)*pow(V3,-1))*pow(V5,-1))*pow(V7,-1))*pow(V8,0.5))+(((((((((0.6642182622514*v0)*V1)*V2)*V4)*V6)*pow(V3,-1))*pow(V5,-1))*pow(V7,-1))*pow(V8,0.5))</f>
        <v>#NAME?</v>
      </c>
      <c r="AB67" t="s">
        <v>4</v>
      </c>
      <c r="AC67">
        <v>0.99410750000000003</v>
      </c>
      <c r="AD67" t="s">
        <v>5</v>
      </c>
      <c r="AE67">
        <v>9.4953999999999993E-3</v>
      </c>
    </row>
    <row r="68" spans="1:31" x14ac:dyDescent="0.25">
      <c r="A68" t="s">
        <v>65</v>
      </c>
      <c r="B68" t="s">
        <v>189</v>
      </c>
      <c r="C68">
        <v>1200</v>
      </c>
      <c r="D68" t="s">
        <v>190</v>
      </c>
      <c r="E68">
        <v>1000000</v>
      </c>
      <c r="F68" t="s">
        <v>191</v>
      </c>
      <c r="G68">
        <v>12345</v>
      </c>
      <c r="H68" t="s">
        <v>216</v>
      </c>
      <c r="I68">
        <v>1</v>
      </c>
      <c r="J68" t="s">
        <v>192</v>
      </c>
      <c r="K68">
        <v>1.0000000000000001E-5</v>
      </c>
      <c r="L68" t="s">
        <v>3</v>
      </c>
      <c r="M68">
        <v>0.99466540000000003</v>
      </c>
      <c r="N68" t="s">
        <v>2</v>
      </c>
      <c r="O68">
        <v>4.3909999999999999E-3</v>
      </c>
      <c r="P68" t="s">
        <v>17</v>
      </c>
      <c r="Q68">
        <v>119</v>
      </c>
      <c r="R68" t="s">
        <v>0</v>
      </c>
      <c r="S68">
        <v>1200.5</v>
      </c>
      <c r="T68" t="s">
        <v>152</v>
      </c>
      <c r="U68">
        <v>2</v>
      </c>
      <c r="V68" t="s">
        <v>153</v>
      </c>
      <c r="W68">
        <v>41</v>
      </c>
      <c r="X68" t="s">
        <v>151</v>
      </c>
      <c r="Y68">
        <v>113908</v>
      </c>
      <c r="Z68" t="s">
        <v>1</v>
      </c>
      <c r="AA68" t="s">
        <v>346</v>
      </c>
      <c r="AB68" t="s">
        <v>4</v>
      </c>
      <c r="AC68">
        <v>0.99467159999999999</v>
      </c>
      <c r="AD68" t="s">
        <v>5</v>
      </c>
      <c r="AE68">
        <v>4.3832000000000003E-3</v>
      </c>
    </row>
    <row r="69" spans="1:31" x14ac:dyDescent="0.25">
      <c r="A69" t="s">
        <v>75</v>
      </c>
      <c r="B69" t="s">
        <v>189</v>
      </c>
      <c r="C69">
        <v>1200</v>
      </c>
      <c r="D69" t="s">
        <v>190</v>
      </c>
      <c r="E69">
        <v>1000000</v>
      </c>
      <c r="F69" t="s">
        <v>191</v>
      </c>
      <c r="G69">
        <v>12345</v>
      </c>
      <c r="H69" t="s">
        <v>216</v>
      </c>
      <c r="I69">
        <v>1</v>
      </c>
      <c r="J69" t="s">
        <v>192</v>
      </c>
      <c r="K69">
        <v>1.0000000000000001E-5</v>
      </c>
      <c r="L69" t="s">
        <v>3</v>
      </c>
      <c r="M69">
        <v>1</v>
      </c>
      <c r="N69" t="s">
        <v>2</v>
      </c>
      <c r="O69">
        <v>0</v>
      </c>
      <c r="P69" t="s">
        <v>17</v>
      </c>
      <c r="Q69">
        <v>14</v>
      </c>
      <c r="R69" t="s">
        <v>0</v>
      </c>
      <c r="S69">
        <v>9.1</v>
      </c>
      <c r="T69" t="s">
        <v>152</v>
      </c>
      <c r="U69">
        <v>1</v>
      </c>
      <c r="V69" t="s">
        <v>153</v>
      </c>
      <c r="W69">
        <v>4</v>
      </c>
      <c r="X69" t="s">
        <v>151</v>
      </c>
      <c r="Y69">
        <v>1605</v>
      </c>
      <c r="Z69" t="s">
        <v>1</v>
      </c>
      <c r="AA69" t="s">
        <v>164</v>
      </c>
      <c r="AB69" t="s">
        <v>4</v>
      </c>
      <c r="AC69">
        <v>1</v>
      </c>
      <c r="AD69" t="s">
        <v>5</v>
      </c>
      <c r="AE69">
        <v>0</v>
      </c>
    </row>
    <row r="70" spans="1:31" x14ac:dyDescent="0.25">
      <c r="A70" t="s">
        <v>28</v>
      </c>
      <c r="B70" t="s">
        <v>189</v>
      </c>
      <c r="C70">
        <v>1200</v>
      </c>
      <c r="D70" t="s">
        <v>190</v>
      </c>
      <c r="E70">
        <v>1000000</v>
      </c>
      <c r="F70" t="s">
        <v>191</v>
      </c>
      <c r="G70">
        <v>12345</v>
      </c>
      <c r="H70" t="s">
        <v>216</v>
      </c>
      <c r="I70">
        <v>1</v>
      </c>
      <c r="J70" t="s">
        <v>192</v>
      </c>
      <c r="K70">
        <v>1.0000000000000001E-5</v>
      </c>
      <c r="L70" t="s">
        <v>3</v>
      </c>
      <c r="M70">
        <v>0.99971169999999998</v>
      </c>
      <c r="N70" t="s">
        <v>2</v>
      </c>
      <c r="O70">
        <v>2.6048700000000001E-2</v>
      </c>
      <c r="P70" t="s">
        <v>17</v>
      </c>
      <c r="Q70">
        <v>71</v>
      </c>
      <c r="R70" t="s">
        <v>0</v>
      </c>
      <c r="S70">
        <v>1200.7</v>
      </c>
      <c r="T70" t="s">
        <v>152</v>
      </c>
      <c r="U70">
        <v>3</v>
      </c>
      <c r="V70" t="s">
        <v>153</v>
      </c>
      <c r="W70">
        <v>80</v>
      </c>
      <c r="X70" t="s">
        <v>151</v>
      </c>
      <c r="Y70">
        <v>248393</v>
      </c>
      <c r="Z70" t="s">
        <v>1</v>
      </c>
      <c r="AA70" t="s">
        <v>347</v>
      </c>
      <c r="AB70" t="s">
        <v>4</v>
      </c>
      <c r="AC70">
        <v>0.99902990000000003</v>
      </c>
      <c r="AD70" t="s">
        <v>5</v>
      </c>
      <c r="AE70">
        <v>5.1590299999999999E-2</v>
      </c>
    </row>
    <row r="71" spans="1:31" x14ac:dyDescent="0.25">
      <c r="A71" t="s">
        <v>38</v>
      </c>
      <c r="B71" t="s">
        <v>189</v>
      </c>
      <c r="C71">
        <v>1200</v>
      </c>
      <c r="D71" t="s">
        <v>190</v>
      </c>
      <c r="E71">
        <v>1000000</v>
      </c>
      <c r="F71" t="s">
        <v>191</v>
      </c>
      <c r="G71">
        <v>12345</v>
      </c>
      <c r="H71" t="s">
        <v>216</v>
      </c>
      <c r="I71">
        <v>1</v>
      </c>
      <c r="J71" t="s">
        <v>192</v>
      </c>
      <c r="K71">
        <v>1.0000000000000001E-5</v>
      </c>
      <c r="L71" t="s">
        <v>3</v>
      </c>
      <c r="M71">
        <v>1</v>
      </c>
      <c r="N71" t="s">
        <v>2</v>
      </c>
      <c r="O71">
        <v>0</v>
      </c>
      <c r="P71" t="s">
        <v>17</v>
      </c>
      <c r="Q71">
        <v>8</v>
      </c>
      <c r="R71" t="s">
        <v>0</v>
      </c>
      <c r="S71">
        <v>3.2</v>
      </c>
      <c r="T71" t="s">
        <v>152</v>
      </c>
      <c r="U71">
        <v>1</v>
      </c>
      <c r="V71" t="s">
        <v>153</v>
      </c>
      <c r="W71">
        <v>2</v>
      </c>
      <c r="X71" t="s">
        <v>151</v>
      </c>
      <c r="Y71">
        <v>730</v>
      </c>
      <c r="Z71" t="s">
        <v>1</v>
      </c>
      <c r="AA71" t="s">
        <v>155</v>
      </c>
      <c r="AB71" t="s">
        <v>4</v>
      </c>
      <c r="AC71">
        <v>1</v>
      </c>
      <c r="AD71" t="s">
        <v>5</v>
      </c>
      <c r="AE71">
        <v>0</v>
      </c>
    </row>
    <row r="72" spans="1:31" x14ac:dyDescent="0.25">
      <c r="A72" t="s">
        <v>21</v>
      </c>
      <c r="B72" t="s">
        <v>189</v>
      </c>
      <c r="C72">
        <v>1200</v>
      </c>
      <c r="D72" t="s">
        <v>190</v>
      </c>
      <c r="E72">
        <v>1000000</v>
      </c>
      <c r="F72" t="s">
        <v>191</v>
      </c>
      <c r="G72">
        <v>12345</v>
      </c>
      <c r="H72" t="s">
        <v>216</v>
      </c>
      <c r="I72">
        <v>1</v>
      </c>
      <c r="J72" t="s">
        <v>192</v>
      </c>
      <c r="K72">
        <v>1.0000000000000001E-5</v>
      </c>
      <c r="L72" t="s">
        <v>3</v>
      </c>
      <c r="M72">
        <v>-6.0600880999999998</v>
      </c>
      <c r="N72" t="s">
        <v>2</v>
      </c>
      <c r="O72">
        <v>0.58078370000000001</v>
      </c>
      <c r="P72" t="s">
        <v>17</v>
      </c>
      <c r="Q72">
        <v>85</v>
      </c>
      <c r="R72" t="s">
        <v>0</v>
      </c>
      <c r="S72">
        <v>1200.0999999999999</v>
      </c>
      <c r="T72" t="s">
        <v>152</v>
      </c>
      <c r="U72">
        <v>25</v>
      </c>
      <c r="V72" t="s">
        <v>153</v>
      </c>
      <c r="W72">
        <v>110</v>
      </c>
      <c r="X72" t="s">
        <v>151</v>
      </c>
      <c r="Y72">
        <v>306617</v>
      </c>
      <c r="Z72" t="s">
        <v>1</v>
      </c>
      <c r="AA72" t="s">
        <v>348</v>
      </c>
      <c r="AB72" t="s">
        <v>4</v>
      </c>
      <c r="AC72">
        <v>-2.8388616999999998</v>
      </c>
      <c r="AD72" t="s">
        <v>5</v>
      </c>
      <c r="AE72">
        <v>0.47478409999999999</v>
      </c>
    </row>
    <row r="73" spans="1:31" x14ac:dyDescent="0.25">
      <c r="A73" t="s">
        <v>146</v>
      </c>
      <c r="B73" t="s">
        <v>189</v>
      </c>
      <c r="C73">
        <v>1200</v>
      </c>
      <c r="D73" t="s">
        <v>190</v>
      </c>
      <c r="E73">
        <v>1000000</v>
      </c>
      <c r="F73" t="s">
        <v>191</v>
      </c>
      <c r="G73">
        <v>12345</v>
      </c>
      <c r="H73" t="s">
        <v>216</v>
      </c>
      <c r="I73">
        <v>1</v>
      </c>
      <c r="J73" t="s">
        <v>192</v>
      </c>
      <c r="K73">
        <v>1.0000000000000001E-5</v>
      </c>
      <c r="L73" t="s">
        <v>3</v>
      </c>
      <c r="M73">
        <v>0.99769989999999997</v>
      </c>
      <c r="N73" t="s">
        <v>2</v>
      </c>
      <c r="O73">
        <v>2.17509E-2</v>
      </c>
      <c r="P73" t="s">
        <v>17</v>
      </c>
      <c r="Q73">
        <v>83</v>
      </c>
      <c r="R73" t="s">
        <v>0</v>
      </c>
      <c r="S73">
        <v>1200.4000000000001</v>
      </c>
      <c r="T73" t="s">
        <v>152</v>
      </c>
      <c r="U73">
        <v>1</v>
      </c>
      <c r="V73" t="s">
        <v>153</v>
      </c>
      <c r="W73">
        <v>25</v>
      </c>
      <c r="X73" t="s">
        <v>151</v>
      </c>
      <c r="Y73">
        <v>99492</v>
      </c>
      <c r="Z73" t="s">
        <v>1</v>
      </c>
      <c r="AA73" t="s">
        <v>349</v>
      </c>
      <c r="AB73" t="s">
        <v>4</v>
      </c>
      <c r="AC73">
        <v>0.99738539999999998</v>
      </c>
      <c r="AD73" t="s">
        <v>5</v>
      </c>
      <c r="AE73">
        <v>2.3729400000000001E-2</v>
      </c>
    </row>
    <row r="74" spans="1:31" x14ac:dyDescent="0.25">
      <c r="A74" t="s">
        <v>112</v>
      </c>
      <c r="B74" t="s">
        <v>189</v>
      </c>
      <c r="C74">
        <v>1200</v>
      </c>
      <c r="D74" t="s">
        <v>190</v>
      </c>
      <c r="E74">
        <v>1000000</v>
      </c>
      <c r="F74" t="s">
        <v>191</v>
      </c>
      <c r="G74">
        <v>12345</v>
      </c>
      <c r="H74" t="s">
        <v>216</v>
      </c>
      <c r="I74">
        <v>1</v>
      </c>
      <c r="J74" t="s">
        <v>192</v>
      </c>
      <c r="K74">
        <v>1.0000000000000001E-5</v>
      </c>
      <c r="L74" t="s">
        <v>3</v>
      </c>
      <c r="M74">
        <v>1</v>
      </c>
      <c r="N74" t="s">
        <v>2</v>
      </c>
      <c r="O74">
        <v>1.2679999999999999E-4</v>
      </c>
      <c r="P74" t="s">
        <v>17</v>
      </c>
      <c r="Q74">
        <v>33</v>
      </c>
      <c r="R74" t="s">
        <v>0</v>
      </c>
      <c r="S74">
        <v>1200.7</v>
      </c>
      <c r="T74" t="s">
        <v>152</v>
      </c>
      <c r="U74">
        <v>7</v>
      </c>
      <c r="V74" t="s">
        <v>153</v>
      </c>
      <c r="W74">
        <v>49</v>
      </c>
      <c r="X74" t="s">
        <v>151</v>
      </c>
      <c r="Y74">
        <v>119071</v>
      </c>
      <c r="Z74" t="s">
        <v>1</v>
      </c>
      <c r="AA74" t="s">
        <v>350</v>
      </c>
      <c r="AB74" t="s">
        <v>4</v>
      </c>
      <c r="AC74">
        <v>1</v>
      </c>
      <c r="AD74" t="s">
        <v>5</v>
      </c>
      <c r="AE74">
        <v>1.144E-4</v>
      </c>
    </row>
    <row r="75" spans="1:31" x14ac:dyDescent="0.25">
      <c r="A75" t="s">
        <v>122</v>
      </c>
      <c r="B75" t="s">
        <v>189</v>
      </c>
      <c r="C75">
        <v>1200</v>
      </c>
      <c r="D75" t="s">
        <v>190</v>
      </c>
      <c r="E75">
        <v>1000000</v>
      </c>
      <c r="F75" t="s">
        <v>191</v>
      </c>
      <c r="G75">
        <v>12345</v>
      </c>
      <c r="H75" t="s">
        <v>216</v>
      </c>
      <c r="I75">
        <v>1</v>
      </c>
      <c r="J75" t="s">
        <v>192</v>
      </c>
      <c r="K75">
        <v>1.0000000000000001E-5</v>
      </c>
      <c r="L75" t="s">
        <v>3</v>
      </c>
      <c r="M75">
        <v>1</v>
      </c>
      <c r="N75" t="s">
        <v>2</v>
      </c>
      <c r="O75">
        <v>0</v>
      </c>
      <c r="P75" t="s">
        <v>17</v>
      </c>
      <c r="Q75">
        <v>18</v>
      </c>
      <c r="R75" t="s">
        <v>0</v>
      </c>
      <c r="S75">
        <v>61.1</v>
      </c>
      <c r="T75" t="s">
        <v>152</v>
      </c>
      <c r="U75">
        <v>1</v>
      </c>
      <c r="V75" t="s">
        <v>153</v>
      </c>
      <c r="W75">
        <v>6</v>
      </c>
      <c r="X75" t="s">
        <v>151</v>
      </c>
      <c r="Y75">
        <v>6199</v>
      </c>
      <c r="Z75" t="s">
        <v>1</v>
      </c>
      <c r="AA75" t="s">
        <v>171</v>
      </c>
      <c r="AB75" t="s">
        <v>4</v>
      </c>
      <c r="AC75">
        <v>1</v>
      </c>
      <c r="AD75" t="s">
        <v>5</v>
      </c>
      <c r="AE75">
        <v>0</v>
      </c>
    </row>
    <row r="76" spans="1:31" x14ac:dyDescent="0.25">
      <c r="A76" t="s">
        <v>24</v>
      </c>
      <c r="B76" t="s">
        <v>189</v>
      </c>
      <c r="C76">
        <v>1200</v>
      </c>
      <c r="D76" t="s">
        <v>190</v>
      </c>
      <c r="E76">
        <v>1000000</v>
      </c>
      <c r="F76" t="s">
        <v>191</v>
      </c>
      <c r="G76">
        <v>12345</v>
      </c>
      <c r="H76" t="s">
        <v>216</v>
      </c>
      <c r="I76">
        <v>1</v>
      </c>
      <c r="J76" t="s">
        <v>192</v>
      </c>
      <c r="K76">
        <v>1.0000000000000001E-5</v>
      </c>
      <c r="L76" t="s">
        <v>3</v>
      </c>
      <c r="M76">
        <v>1</v>
      </c>
      <c r="N76" t="s">
        <v>2</v>
      </c>
      <c r="O76">
        <v>0</v>
      </c>
      <c r="P76" t="s">
        <v>17</v>
      </c>
      <c r="Q76">
        <v>14</v>
      </c>
      <c r="R76" t="s">
        <v>0</v>
      </c>
      <c r="S76">
        <v>277.10000000000002</v>
      </c>
      <c r="T76" t="s">
        <v>152</v>
      </c>
      <c r="U76">
        <v>3</v>
      </c>
      <c r="V76" t="s">
        <v>153</v>
      </c>
      <c r="W76">
        <v>28</v>
      </c>
      <c r="X76" t="s">
        <v>151</v>
      </c>
      <c r="Y76">
        <v>50513</v>
      </c>
      <c r="Z76" t="s">
        <v>1</v>
      </c>
      <c r="AA76" t="s">
        <v>351</v>
      </c>
      <c r="AB76" t="s">
        <v>4</v>
      </c>
      <c r="AC76">
        <v>1</v>
      </c>
      <c r="AD76" t="s">
        <v>5</v>
      </c>
      <c r="AE76">
        <v>0</v>
      </c>
    </row>
    <row r="77" spans="1:31" x14ac:dyDescent="0.25">
      <c r="A77" t="s">
        <v>34</v>
      </c>
      <c r="B77" t="s">
        <v>189</v>
      </c>
      <c r="C77">
        <v>1200</v>
      </c>
      <c r="D77" t="s">
        <v>190</v>
      </c>
      <c r="E77">
        <v>1000000</v>
      </c>
      <c r="F77" t="s">
        <v>191</v>
      </c>
      <c r="G77">
        <v>12345</v>
      </c>
      <c r="H77" t="s">
        <v>216</v>
      </c>
      <c r="I77">
        <v>1</v>
      </c>
      <c r="J77" t="s">
        <v>192</v>
      </c>
      <c r="K77">
        <v>1.0000000000000001E-5</v>
      </c>
      <c r="L77" t="s">
        <v>3</v>
      </c>
      <c r="M77">
        <v>1</v>
      </c>
      <c r="N77" t="s">
        <v>2</v>
      </c>
      <c r="O77">
        <v>0</v>
      </c>
      <c r="P77" t="s">
        <v>17</v>
      </c>
      <c r="Q77">
        <v>6</v>
      </c>
      <c r="R77" t="s">
        <v>0</v>
      </c>
      <c r="S77">
        <v>4.5</v>
      </c>
      <c r="T77" t="s">
        <v>152</v>
      </c>
      <c r="U77">
        <v>1</v>
      </c>
      <c r="V77" t="s">
        <v>153</v>
      </c>
      <c r="W77">
        <v>2</v>
      </c>
      <c r="X77" t="s">
        <v>151</v>
      </c>
      <c r="Y77">
        <v>540</v>
      </c>
      <c r="Z77" t="s">
        <v>1</v>
      </c>
      <c r="AA77" t="s">
        <v>159</v>
      </c>
      <c r="AB77" t="s">
        <v>4</v>
      </c>
      <c r="AC77">
        <v>1</v>
      </c>
      <c r="AD77" t="s">
        <v>5</v>
      </c>
      <c r="AE77">
        <v>0</v>
      </c>
    </row>
    <row r="78" spans="1:31" x14ac:dyDescent="0.25">
      <c r="A78" t="s">
        <v>85</v>
      </c>
      <c r="B78" t="s">
        <v>189</v>
      </c>
      <c r="C78">
        <v>1200</v>
      </c>
      <c r="D78" t="s">
        <v>190</v>
      </c>
      <c r="E78">
        <v>1000000</v>
      </c>
      <c r="F78" t="s">
        <v>191</v>
      </c>
      <c r="G78">
        <v>12345</v>
      </c>
      <c r="H78" t="s">
        <v>216</v>
      </c>
      <c r="I78">
        <v>1</v>
      </c>
      <c r="J78" t="s">
        <v>192</v>
      </c>
      <c r="K78">
        <v>1.0000000000000001E-5</v>
      </c>
      <c r="L78" t="s">
        <v>3</v>
      </c>
      <c r="M78">
        <v>0.99997959999999997</v>
      </c>
      <c r="N78" t="s">
        <v>2</v>
      </c>
      <c r="O78">
        <v>3.8430000000000001E-3</v>
      </c>
      <c r="P78" t="s">
        <v>17</v>
      </c>
      <c r="Q78">
        <v>71</v>
      </c>
      <c r="R78" t="s">
        <v>0</v>
      </c>
      <c r="S78">
        <v>1202.2</v>
      </c>
      <c r="T78" t="s">
        <v>152</v>
      </c>
      <c r="U78">
        <v>5</v>
      </c>
      <c r="V78" t="s">
        <v>153</v>
      </c>
      <c r="W78">
        <v>36</v>
      </c>
      <c r="X78" t="s">
        <v>151</v>
      </c>
      <c r="Y78">
        <v>94145</v>
      </c>
      <c r="Z78" t="s">
        <v>1</v>
      </c>
      <c r="AA78" t="s">
        <v>352</v>
      </c>
      <c r="AB78" t="s">
        <v>4</v>
      </c>
      <c r="AC78">
        <v>0.99997939999999996</v>
      </c>
      <c r="AD78" t="s">
        <v>5</v>
      </c>
      <c r="AE78">
        <v>3.8506E-3</v>
      </c>
    </row>
    <row r="79" spans="1:31" x14ac:dyDescent="0.25">
      <c r="A79" t="s">
        <v>95</v>
      </c>
      <c r="B79" t="s">
        <v>189</v>
      </c>
      <c r="C79">
        <v>1200</v>
      </c>
      <c r="D79" t="s">
        <v>190</v>
      </c>
      <c r="E79">
        <v>1000000</v>
      </c>
      <c r="F79" t="s">
        <v>191</v>
      </c>
      <c r="G79">
        <v>12345</v>
      </c>
      <c r="H79" t="s">
        <v>216</v>
      </c>
      <c r="I79">
        <v>1</v>
      </c>
      <c r="J79" t="s">
        <v>192</v>
      </c>
      <c r="K79">
        <v>1.0000000000000001E-5</v>
      </c>
      <c r="L79" t="s">
        <v>3</v>
      </c>
      <c r="M79">
        <v>1</v>
      </c>
      <c r="N79" t="s">
        <v>2</v>
      </c>
      <c r="O79">
        <v>0</v>
      </c>
      <c r="P79" t="s">
        <v>17</v>
      </c>
      <c r="Q79">
        <v>12</v>
      </c>
      <c r="R79" t="s">
        <v>0</v>
      </c>
      <c r="S79">
        <v>22.1</v>
      </c>
      <c r="T79" t="s">
        <v>152</v>
      </c>
      <c r="U79">
        <v>1</v>
      </c>
      <c r="V79" t="s">
        <v>153</v>
      </c>
      <c r="W79">
        <v>4</v>
      </c>
      <c r="X79" t="s">
        <v>151</v>
      </c>
      <c r="Y79">
        <v>2572</v>
      </c>
      <c r="Z79" t="s">
        <v>1</v>
      </c>
      <c r="AA79" t="s">
        <v>175</v>
      </c>
      <c r="AB79" t="s">
        <v>4</v>
      </c>
      <c r="AC79">
        <v>1</v>
      </c>
      <c r="AD79" t="s">
        <v>5</v>
      </c>
      <c r="AE79">
        <v>0</v>
      </c>
    </row>
    <row r="80" spans="1:31" x14ac:dyDescent="0.25">
      <c r="A80" t="s">
        <v>48</v>
      </c>
      <c r="B80" t="s">
        <v>189</v>
      </c>
      <c r="C80">
        <v>1200</v>
      </c>
      <c r="D80" t="s">
        <v>190</v>
      </c>
      <c r="E80">
        <v>1000000</v>
      </c>
      <c r="F80" t="s">
        <v>191</v>
      </c>
      <c r="G80">
        <v>12345</v>
      </c>
      <c r="H80" t="s">
        <v>216</v>
      </c>
      <c r="I80">
        <v>1</v>
      </c>
      <c r="J80" t="s">
        <v>192</v>
      </c>
      <c r="K80">
        <v>1.0000000000000001E-5</v>
      </c>
      <c r="L80" t="s">
        <v>3</v>
      </c>
      <c r="M80">
        <v>0.99993810000000005</v>
      </c>
      <c r="N80" t="s">
        <v>2</v>
      </c>
      <c r="O80">
        <v>3.7623999999999999E-3</v>
      </c>
      <c r="P80" t="s">
        <v>17</v>
      </c>
      <c r="Q80">
        <v>113</v>
      </c>
      <c r="R80" t="s">
        <v>0</v>
      </c>
      <c r="S80">
        <v>1200.9000000000001</v>
      </c>
      <c r="T80" t="s">
        <v>152</v>
      </c>
      <c r="U80">
        <v>2</v>
      </c>
      <c r="V80" t="s">
        <v>153</v>
      </c>
      <c r="W80">
        <v>31</v>
      </c>
      <c r="X80" t="s">
        <v>151</v>
      </c>
      <c r="Y80">
        <v>81118</v>
      </c>
      <c r="Z80" t="s">
        <v>1</v>
      </c>
      <c r="AA80" t="s">
        <v>353</v>
      </c>
      <c r="AB80" t="s">
        <v>4</v>
      </c>
      <c r="AC80">
        <v>0.99993889999999996</v>
      </c>
      <c r="AD80" t="s">
        <v>5</v>
      </c>
      <c r="AE80">
        <v>3.7326999999999998E-3</v>
      </c>
    </row>
    <row r="81" spans="1:31" x14ac:dyDescent="0.25">
      <c r="A81" t="s">
        <v>31</v>
      </c>
      <c r="B81" t="s">
        <v>189</v>
      </c>
      <c r="C81">
        <v>1200</v>
      </c>
      <c r="D81" t="s">
        <v>190</v>
      </c>
      <c r="E81">
        <v>1000000</v>
      </c>
      <c r="F81" t="s">
        <v>191</v>
      </c>
      <c r="G81">
        <v>12345</v>
      </c>
      <c r="H81" t="s">
        <v>216</v>
      </c>
      <c r="I81">
        <v>1</v>
      </c>
      <c r="J81" t="s">
        <v>192</v>
      </c>
      <c r="K81">
        <v>1.0000000000000001E-5</v>
      </c>
      <c r="L81" t="s">
        <v>3</v>
      </c>
      <c r="M81" t="s">
        <v>263</v>
      </c>
      <c r="N81" t="s">
        <v>2</v>
      </c>
      <c r="O81" t="s">
        <v>263</v>
      </c>
      <c r="P81" t="s">
        <v>17</v>
      </c>
      <c r="Q81">
        <v>113</v>
      </c>
      <c r="R81" t="s">
        <v>0</v>
      </c>
      <c r="S81">
        <v>1201.2</v>
      </c>
      <c r="T81" t="s">
        <v>152</v>
      </c>
      <c r="U81">
        <v>1</v>
      </c>
      <c r="V81" t="s">
        <v>153</v>
      </c>
      <c r="W81">
        <v>49</v>
      </c>
      <c r="X81" t="s">
        <v>151</v>
      </c>
      <c r="Y81">
        <v>178596</v>
      </c>
      <c r="Z81" t="s">
        <v>1</v>
      </c>
      <c r="AA81" t="e" cm="1">
        <f t="array" aca="1" ref="AA81" ca="1">-1.676548503404+(3.1867580820635*pow((1+((0.435107746224*v0)*V1)),-0.729))+(1.1848941300802*pow((((0.4166666666667*SIN(((0.3722804450993*v0)+(-0.3384367682721*V1))))+(-0.8333333333333*SIN(((0.3384367682721*v0)+(-0.3384367682721*V1)))))+((-1*pow(v0,3.1415926535898))*SIN(((0.3814648712679*v0)+(-0.3384367682721*V1))))),0.24))+(0.0023385868604*pow(v0,-0.8))+(0.094483917023*V1)+(26.6414285158144*v0)+(-2.5323501431127*pow((((0.5454545454546*COS(v0))+(0.2*pow(V1,-1)))+SIN((0.2179206993656*V1))),0.2))+((-0.0091429756708*V1)*pow(v0,-0.4))+((-20.5997137726086*v0)*pow(((1+(0.5454545454546*v0))+(0.2179206993656*V1)),0.2))</f>
        <v>#NAME?</v>
      </c>
      <c r="AB81" t="s">
        <v>4</v>
      </c>
      <c r="AC81">
        <v>0.98512770000000005</v>
      </c>
      <c r="AD81" t="s">
        <v>5</v>
      </c>
      <c r="AE81">
        <v>0.36116140000000002</v>
      </c>
    </row>
    <row r="82" spans="1:31" x14ac:dyDescent="0.25">
      <c r="A82" t="s">
        <v>41</v>
      </c>
      <c r="B82" t="s">
        <v>189</v>
      </c>
      <c r="C82">
        <v>1200</v>
      </c>
      <c r="D82" t="s">
        <v>190</v>
      </c>
      <c r="E82">
        <v>1000000</v>
      </c>
      <c r="F82" t="s">
        <v>191</v>
      </c>
      <c r="G82">
        <v>12345</v>
      </c>
      <c r="H82" t="s">
        <v>216</v>
      </c>
      <c r="I82">
        <v>1</v>
      </c>
      <c r="J82" t="s">
        <v>192</v>
      </c>
      <c r="K82">
        <v>1.0000000000000001E-5</v>
      </c>
      <c r="L82" t="s">
        <v>3</v>
      </c>
      <c r="M82">
        <v>1</v>
      </c>
      <c r="N82" t="s">
        <v>2</v>
      </c>
      <c r="O82">
        <v>0</v>
      </c>
      <c r="P82" t="s">
        <v>17</v>
      </c>
      <c r="Q82">
        <v>8</v>
      </c>
      <c r="R82" t="s">
        <v>0</v>
      </c>
      <c r="S82">
        <v>8.9</v>
      </c>
      <c r="T82" t="s">
        <v>152</v>
      </c>
      <c r="U82">
        <v>1</v>
      </c>
      <c r="V82" t="s">
        <v>153</v>
      </c>
      <c r="W82">
        <v>3</v>
      </c>
      <c r="X82" t="s">
        <v>151</v>
      </c>
      <c r="Y82">
        <v>1036</v>
      </c>
      <c r="Z82" t="s">
        <v>1</v>
      </c>
      <c r="AA82" t="s">
        <v>205</v>
      </c>
      <c r="AB82" t="s">
        <v>4</v>
      </c>
      <c r="AC82">
        <v>1</v>
      </c>
      <c r="AD82" t="s">
        <v>5</v>
      </c>
      <c r="AE82">
        <v>0</v>
      </c>
    </row>
    <row r="83" spans="1:31" x14ac:dyDescent="0.25">
      <c r="A83" t="s">
        <v>132</v>
      </c>
      <c r="B83" t="s">
        <v>189</v>
      </c>
      <c r="C83">
        <v>1200</v>
      </c>
      <c r="D83" t="s">
        <v>190</v>
      </c>
      <c r="E83">
        <v>1000000</v>
      </c>
      <c r="F83" t="s">
        <v>191</v>
      </c>
      <c r="G83">
        <v>12345</v>
      </c>
      <c r="H83" t="s">
        <v>216</v>
      </c>
      <c r="I83">
        <v>1</v>
      </c>
      <c r="J83" t="s">
        <v>192</v>
      </c>
      <c r="K83">
        <v>1.0000000000000001E-5</v>
      </c>
      <c r="L83" t="s">
        <v>3</v>
      </c>
      <c r="M83">
        <v>0.97494670000000005</v>
      </c>
      <c r="N83" t="s">
        <v>2</v>
      </c>
      <c r="O83">
        <v>2.4331000000000001E-3</v>
      </c>
      <c r="P83" t="s">
        <v>17</v>
      </c>
      <c r="Q83">
        <v>84</v>
      </c>
      <c r="R83" t="s">
        <v>0</v>
      </c>
      <c r="S83">
        <v>1201.0999999999999</v>
      </c>
      <c r="T83" t="s">
        <v>152</v>
      </c>
      <c r="U83">
        <v>1</v>
      </c>
      <c r="V83" t="s">
        <v>153</v>
      </c>
      <c r="W83">
        <v>29</v>
      </c>
      <c r="X83" t="s">
        <v>151</v>
      </c>
      <c r="Y83">
        <v>70276</v>
      </c>
      <c r="Z83" t="s">
        <v>1</v>
      </c>
      <c r="AA83" t="s">
        <v>354</v>
      </c>
      <c r="AB83" t="s">
        <v>4</v>
      </c>
      <c r="AC83">
        <v>0.97304650000000004</v>
      </c>
      <c r="AD83" t="s">
        <v>5</v>
      </c>
      <c r="AE83">
        <v>2.5052E-3</v>
      </c>
    </row>
    <row r="84" spans="1:31" x14ac:dyDescent="0.25">
      <c r="A84" t="s">
        <v>44</v>
      </c>
      <c r="B84" t="s">
        <v>189</v>
      </c>
      <c r="C84">
        <v>1200</v>
      </c>
      <c r="D84" t="s">
        <v>190</v>
      </c>
      <c r="E84">
        <v>1000000</v>
      </c>
      <c r="F84" t="s">
        <v>191</v>
      </c>
      <c r="G84">
        <v>12345</v>
      </c>
      <c r="H84" t="s">
        <v>216</v>
      </c>
      <c r="I84">
        <v>1</v>
      </c>
      <c r="J84" t="s">
        <v>192</v>
      </c>
      <c r="K84">
        <v>1.0000000000000001E-5</v>
      </c>
      <c r="L84" t="s">
        <v>3</v>
      </c>
      <c r="M84">
        <v>0.99980230000000003</v>
      </c>
      <c r="N84" t="s">
        <v>2</v>
      </c>
      <c r="O84">
        <v>5.9940000000000004E-4</v>
      </c>
      <c r="P84" t="s">
        <v>17</v>
      </c>
      <c r="Q84">
        <v>46</v>
      </c>
      <c r="R84" t="s">
        <v>0</v>
      </c>
      <c r="S84">
        <v>1209.5</v>
      </c>
      <c r="T84" t="s">
        <v>152</v>
      </c>
      <c r="U84">
        <v>2</v>
      </c>
      <c r="V84" t="s">
        <v>153</v>
      </c>
      <c r="W84">
        <v>30</v>
      </c>
      <c r="X84" t="s">
        <v>151</v>
      </c>
      <c r="Y84">
        <v>73005</v>
      </c>
      <c r="Z84" t="s">
        <v>1</v>
      </c>
      <c r="AA84" t="s">
        <v>332</v>
      </c>
      <c r="AB84" t="s">
        <v>4</v>
      </c>
      <c r="AC84">
        <v>0.99979980000000002</v>
      </c>
      <c r="AD84" t="s">
        <v>5</v>
      </c>
      <c r="AE84">
        <v>6.02E-4</v>
      </c>
    </row>
    <row r="85" spans="1:31" x14ac:dyDescent="0.25">
      <c r="A85" t="s">
        <v>54</v>
      </c>
      <c r="B85" t="s">
        <v>189</v>
      </c>
      <c r="C85">
        <v>1200</v>
      </c>
      <c r="D85" t="s">
        <v>190</v>
      </c>
      <c r="E85">
        <v>1000000</v>
      </c>
      <c r="F85" t="s">
        <v>191</v>
      </c>
      <c r="G85">
        <v>12345</v>
      </c>
      <c r="H85" t="s">
        <v>216</v>
      </c>
      <c r="I85">
        <v>1</v>
      </c>
      <c r="J85" t="s">
        <v>192</v>
      </c>
      <c r="K85">
        <v>1.0000000000000001E-5</v>
      </c>
      <c r="L85" t="s">
        <v>3</v>
      </c>
      <c r="M85">
        <v>1</v>
      </c>
      <c r="N85" t="s">
        <v>2</v>
      </c>
      <c r="O85">
        <v>0</v>
      </c>
      <c r="P85" t="s">
        <v>17</v>
      </c>
      <c r="Q85">
        <v>12</v>
      </c>
      <c r="R85" t="s">
        <v>0</v>
      </c>
      <c r="S85">
        <v>23.1</v>
      </c>
      <c r="T85" t="s">
        <v>152</v>
      </c>
      <c r="U85">
        <v>1</v>
      </c>
      <c r="V85" t="s">
        <v>153</v>
      </c>
      <c r="W85">
        <v>5</v>
      </c>
      <c r="X85" t="s">
        <v>151</v>
      </c>
      <c r="Y85">
        <v>2522</v>
      </c>
      <c r="Z85" t="s">
        <v>1</v>
      </c>
      <c r="AA85" t="s">
        <v>230</v>
      </c>
      <c r="AB85" t="s">
        <v>4</v>
      </c>
      <c r="AC85">
        <v>1</v>
      </c>
      <c r="AD85" t="s">
        <v>5</v>
      </c>
      <c r="AE85" s="7">
        <v>0</v>
      </c>
    </row>
    <row r="86" spans="1:31" x14ac:dyDescent="0.25">
      <c r="A86" t="s">
        <v>105</v>
      </c>
      <c r="B86" t="s">
        <v>189</v>
      </c>
      <c r="C86">
        <v>1200</v>
      </c>
      <c r="D86" t="s">
        <v>190</v>
      </c>
      <c r="E86">
        <v>1000000</v>
      </c>
      <c r="F86" t="s">
        <v>191</v>
      </c>
      <c r="G86">
        <v>12345</v>
      </c>
      <c r="H86" t="s">
        <v>216</v>
      </c>
      <c r="I86">
        <v>1</v>
      </c>
      <c r="J86" t="s">
        <v>192</v>
      </c>
      <c r="K86">
        <v>1.0000000000000001E-5</v>
      </c>
      <c r="L86" t="s">
        <v>3</v>
      </c>
      <c r="M86">
        <v>0.93027610000000005</v>
      </c>
      <c r="N86" t="s">
        <v>2</v>
      </c>
      <c r="O86">
        <v>0.51922360000000001</v>
      </c>
      <c r="P86" t="s">
        <v>17</v>
      </c>
      <c r="Q86">
        <v>100</v>
      </c>
      <c r="R86" t="s">
        <v>0</v>
      </c>
      <c r="S86">
        <v>1201.7</v>
      </c>
      <c r="T86" t="s">
        <v>152</v>
      </c>
      <c r="U86">
        <v>4</v>
      </c>
      <c r="V86" t="s">
        <v>153</v>
      </c>
      <c r="W86">
        <v>36</v>
      </c>
      <c r="X86" t="s">
        <v>151</v>
      </c>
      <c r="Y86">
        <v>81346</v>
      </c>
      <c r="Z86" t="s">
        <v>1</v>
      </c>
      <c r="AA86" t="e" cm="1">
        <f t="array" ref="AA86">-0.3620658167005+(-1.1442307619488*ASIN((0.2204039626905*v0)))+(-1.1964737608119*COS(V3))+((0.3011143579706*V2)*COS(((2.5423994983906*V2)+(5.0847989967812*V1))))+((-0.1317512622441*V1)*COS(((1.2711997491953*V1)+(2.5423994983906*V2))))+(((0.0782407675006*v0)*V2)*COS(((5.0847989967812*V2)+(7.0847989967812*V1))))+(((1.058514757982*V1)*V2)*ASIN((0.2204039626905*v0)))+((((0.1330440912814*v0)*V2)*V3)*COS(((5.0847989967812*V1)+(5.0847989967812*V2))))+((((0.1082113073108*v0)*V1)*V3)*COS(((2.5423994983906*V1)+(5.0847989967812*V2))))</f>
        <v>#NAME?</v>
      </c>
      <c r="AB86" t="s">
        <v>4</v>
      </c>
      <c r="AC86">
        <v>0.92986159999999995</v>
      </c>
      <c r="AD86" t="s">
        <v>5</v>
      </c>
      <c r="AE86" s="7">
        <v>0.51844840000000003</v>
      </c>
    </row>
    <row r="87" spans="1:31" x14ac:dyDescent="0.25">
      <c r="A87" t="s">
        <v>58</v>
      </c>
      <c r="B87" t="s">
        <v>189</v>
      </c>
      <c r="C87">
        <v>1200</v>
      </c>
      <c r="D87" t="s">
        <v>190</v>
      </c>
      <c r="E87">
        <v>1000000</v>
      </c>
      <c r="F87" t="s">
        <v>191</v>
      </c>
      <c r="G87">
        <v>12345</v>
      </c>
      <c r="H87" t="s">
        <v>216</v>
      </c>
      <c r="I87">
        <v>1</v>
      </c>
      <c r="J87" t="s">
        <v>192</v>
      </c>
      <c r="K87">
        <v>1.0000000000000001E-5</v>
      </c>
      <c r="L87" t="s">
        <v>3</v>
      </c>
      <c r="M87">
        <v>0.99999890000000002</v>
      </c>
      <c r="N87" t="s">
        <v>2</v>
      </c>
      <c r="O87">
        <v>1.2455000000000001E-3</v>
      </c>
      <c r="P87" t="s">
        <v>17</v>
      </c>
      <c r="Q87">
        <v>58</v>
      </c>
      <c r="R87" t="s">
        <v>0</v>
      </c>
      <c r="S87">
        <v>1200.4000000000001</v>
      </c>
      <c r="T87" t="s">
        <v>152</v>
      </c>
      <c r="U87">
        <v>4</v>
      </c>
      <c r="V87" t="s">
        <v>153</v>
      </c>
      <c r="W87">
        <v>43</v>
      </c>
      <c r="X87" t="s">
        <v>151</v>
      </c>
      <c r="Y87">
        <v>90095</v>
      </c>
      <c r="Z87" t="s">
        <v>1</v>
      </c>
      <c r="AA87" t="e" cm="1">
        <f t="array" aca="1" ref="AA87" ca="1">-153.626425884803+(1.0986969255264*v0)+(153.626509106487*COS((((0.0007384426786*V1)*V2)*pow(v0,0.5))))+((0.02080473637*v0)*V1)+((0.0124343972179*v0)*V2)+((-0.0746510057108*v0)*pow(V2,0.5))+((((0.931503334955*v0)*V1)*pow(V2,-1))*ASIN(pow((V1*pow(V2,-1)),2)))</f>
        <v>#NAME?</v>
      </c>
      <c r="AB87" t="s">
        <v>4</v>
      </c>
      <c r="AC87">
        <v>0.99999890000000002</v>
      </c>
      <c r="AD87" t="s">
        <v>5</v>
      </c>
      <c r="AE87">
        <v>1.2527E-3</v>
      </c>
    </row>
    <row r="88" spans="1:31" x14ac:dyDescent="0.25">
      <c r="A88" t="s">
        <v>68</v>
      </c>
      <c r="B88" t="s">
        <v>189</v>
      </c>
      <c r="C88">
        <v>1200</v>
      </c>
      <c r="D88" t="s">
        <v>190</v>
      </c>
      <c r="E88">
        <v>1000000</v>
      </c>
      <c r="F88" t="s">
        <v>191</v>
      </c>
      <c r="G88">
        <v>12345</v>
      </c>
      <c r="H88" t="s">
        <v>216</v>
      </c>
      <c r="I88">
        <v>1</v>
      </c>
      <c r="J88" t="s">
        <v>192</v>
      </c>
      <c r="K88">
        <v>1.0000000000000001E-5</v>
      </c>
      <c r="L88" t="s">
        <v>3</v>
      </c>
      <c r="M88">
        <v>1</v>
      </c>
      <c r="N88" t="s">
        <v>2</v>
      </c>
      <c r="O88">
        <v>0</v>
      </c>
      <c r="P88" t="s">
        <v>17</v>
      </c>
      <c r="Q88">
        <v>14</v>
      </c>
      <c r="R88" t="s">
        <v>0</v>
      </c>
      <c r="S88">
        <v>29.1</v>
      </c>
      <c r="T88" t="s">
        <v>152</v>
      </c>
      <c r="U88">
        <v>1</v>
      </c>
      <c r="V88" t="s">
        <v>153</v>
      </c>
      <c r="W88">
        <v>5</v>
      </c>
      <c r="X88" t="s">
        <v>151</v>
      </c>
      <c r="Y88">
        <v>3364</v>
      </c>
      <c r="Z88" t="s">
        <v>1</v>
      </c>
      <c r="AA88" t="s">
        <v>244</v>
      </c>
      <c r="AB88" t="s">
        <v>4</v>
      </c>
      <c r="AC88">
        <v>1</v>
      </c>
      <c r="AD88" t="s">
        <v>5</v>
      </c>
      <c r="AE88">
        <v>0</v>
      </c>
    </row>
    <row r="89" spans="1:31" x14ac:dyDescent="0.25">
      <c r="A89" t="s">
        <v>78</v>
      </c>
      <c r="B89" t="s">
        <v>189</v>
      </c>
      <c r="C89">
        <v>1200</v>
      </c>
      <c r="D89" t="s">
        <v>190</v>
      </c>
      <c r="E89">
        <v>1000000</v>
      </c>
      <c r="F89" t="s">
        <v>191</v>
      </c>
      <c r="G89">
        <v>12345</v>
      </c>
      <c r="H89" t="s">
        <v>216</v>
      </c>
      <c r="I89">
        <v>1</v>
      </c>
      <c r="J89" t="s">
        <v>192</v>
      </c>
      <c r="K89">
        <v>1.0000000000000001E-5</v>
      </c>
      <c r="L89" t="s">
        <v>3</v>
      </c>
      <c r="M89">
        <v>1</v>
      </c>
      <c r="N89" t="s">
        <v>2</v>
      </c>
      <c r="O89">
        <v>0</v>
      </c>
      <c r="P89" t="s">
        <v>17</v>
      </c>
      <c r="Q89">
        <v>9</v>
      </c>
      <c r="R89" t="s">
        <v>0</v>
      </c>
      <c r="S89">
        <v>11.9</v>
      </c>
      <c r="T89" t="s">
        <v>152</v>
      </c>
      <c r="U89">
        <v>1</v>
      </c>
      <c r="V89" t="s">
        <v>153</v>
      </c>
      <c r="W89">
        <v>4</v>
      </c>
      <c r="X89" t="s">
        <v>151</v>
      </c>
      <c r="Y89">
        <v>1546</v>
      </c>
      <c r="Z89" t="s">
        <v>1</v>
      </c>
      <c r="AA89" t="s">
        <v>186</v>
      </c>
      <c r="AB89" t="s">
        <v>4</v>
      </c>
      <c r="AC89">
        <v>1</v>
      </c>
      <c r="AD89" t="s">
        <v>5</v>
      </c>
      <c r="AE89">
        <v>0</v>
      </c>
    </row>
    <row r="90" spans="1:31" x14ac:dyDescent="0.25">
      <c r="A90" t="s">
        <v>51</v>
      </c>
      <c r="B90" t="s">
        <v>189</v>
      </c>
      <c r="C90">
        <v>1200</v>
      </c>
      <c r="D90" t="s">
        <v>190</v>
      </c>
      <c r="E90">
        <v>1000000</v>
      </c>
      <c r="F90" t="s">
        <v>191</v>
      </c>
      <c r="G90">
        <v>12345</v>
      </c>
      <c r="H90" t="s">
        <v>216</v>
      </c>
      <c r="I90">
        <v>1</v>
      </c>
      <c r="J90" t="s">
        <v>192</v>
      </c>
      <c r="K90">
        <v>1.0000000000000001E-5</v>
      </c>
      <c r="L90" t="s">
        <v>3</v>
      </c>
      <c r="M90">
        <v>1</v>
      </c>
      <c r="N90" t="s">
        <v>2</v>
      </c>
      <c r="O90">
        <v>1.9469999999999999E-4</v>
      </c>
      <c r="P90" t="s">
        <v>17</v>
      </c>
      <c r="Q90">
        <v>41</v>
      </c>
      <c r="R90" t="s">
        <v>0</v>
      </c>
      <c r="S90">
        <v>1200.8</v>
      </c>
      <c r="T90" t="s">
        <v>152</v>
      </c>
      <c r="U90">
        <v>5</v>
      </c>
      <c r="V90" t="s">
        <v>153</v>
      </c>
      <c r="W90">
        <v>41</v>
      </c>
      <c r="X90" t="s">
        <v>151</v>
      </c>
      <c r="Y90">
        <v>89717</v>
      </c>
      <c r="Z90" t="s">
        <v>1</v>
      </c>
      <c r="AA90" t="s">
        <v>355</v>
      </c>
      <c r="AB90" t="s">
        <v>4</v>
      </c>
      <c r="AC90">
        <v>1</v>
      </c>
      <c r="AD90" t="s">
        <v>5</v>
      </c>
      <c r="AE90">
        <v>2.0489999999999999E-4</v>
      </c>
    </row>
    <row r="91" spans="1:31" x14ac:dyDescent="0.25">
      <c r="A91" t="s">
        <v>61</v>
      </c>
      <c r="B91" t="s">
        <v>189</v>
      </c>
      <c r="C91">
        <v>1200</v>
      </c>
      <c r="D91" t="s">
        <v>190</v>
      </c>
      <c r="E91">
        <v>1000000</v>
      </c>
      <c r="F91" t="s">
        <v>191</v>
      </c>
      <c r="G91">
        <v>12345</v>
      </c>
      <c r="H91" t="s">
        <v>216</v>
      </c>
      <c r="I91">
        <v>1</v>
      </c>
      <c r="J91" t="s">
        <v>192</v>
      </c>
      <c r="K91">
        <v>1.0000000000000001E-5</v>
      </c>
      <c r="L91" t="s">
        <v>3</v>
      </c>
      <c r="M91">
        <v>1</v>
      </c>
      <c r="N91" t="s">
        <v>2</v>
      </c>
      <c r="O91">
        <v>0</v>
      </c>
      <c r="P91" t="s">
        <v>17</v>
      </c>
      <c r="Q91">
        <v>19</v>
      </c>
      <c r="R91" t="s">
        <v>0</v>
      </c>
      <c r="S91">
        <v>449.1</v>
      </c>
      <c r="T91" t="s">
        <v>152</v>
      </c>
      <c r="U91">
        <v>2</v>
      </c>
      <c r="V91" t="s">
        <v>153</v>
      </c>
      <c r="W91">
        <v>22</v>
      </c>
      <c r="X91" t="s">
        <v>151</v>
      </c>
      <c r="Y91">
        <v>39764</v>
      </c>
      <c r="Z91" t="s">
        <v>1</v>
      </c>
      <c r="AA91" t="s">
        <v>173</v>
      </c>
      <c r="AB91" t="s">
        <v>4</v>
      </c>
      <c r="AC91">
        <v>1</v>
      </c>
      <c r="AD91" t="s">
        <v>5</v>
      </c>
      <c r="AE91">
        <v>0</v>
      </c>
    </row>
    <row r="92" spans="1:31" x14ac:dyDescent="0.25">
      <c r="A92" t="s">
        <v>71</v>
      </c>
      <c r="B92" t="s">
        <v>189</v>
      </c>
      <c r="C92">
        <v>1200</v>
      </c>
      <c r="D92" t="s">
        <v>190</v>
      </c>
      <c r="E92">
        <v>1000000</v>
      </c>
      <c r="F92" t="s">
        <v>191</v>
      </c>
      <c r="G92">
        <v>12345</v>
      </c>
      <c r="H92" t="s">
        <v>216</v>
      </c>
      <c r="I92">
        <v>1</v>
      </c>
      <c r="J92" t="s">
        <v>192</v>
      </c>
      <c r="K92">
        <v>1.0000000000000001E-5</v>
      </c>
      <c r="L92" t="s">
        <v>3</v>
      </c>
      <c r="M92">
        <v>1</v>
      </c>
      <c r="N92" t="s">
        <v>2</v>
      </c>
      <c r="O92">
        <v>0</v>
      </c>
      <c r="P92" t="s">
        <v>17</v>
      </c>
      <c r="Q92">
        <v>10</v>
      </c>
      <c r="R92" t="s">
        <v>0</v>
      </c>
      <c r="S92">
        <v>6.8</v>
      </c>
      <c r="T92" t="s">
        <v>152</v>
      </c>
      <c r="U92">
        <v>1</v>
      </c>
      <c r="V92" t="s">
        <v>153</v>
      </c>
      <c r="W92">
        <v>3</v>
      </c>
      <c r="X92" t="s">
        <v>151</v>
      </c>
      <c r="Y92">
        <v>1492</v>
      </c>
      <c r="Z92" t="s">
        <v>1</v>
      </c>
      <c r="AA92" t="s">
        <v>211</v>
      </c>
      <c r="AB92" t="s">
        <v>4</v>
      </c>
      <c r="AC92">
        <v>1</v>
      </c>
      <c r="AD92" t="s">
        <v>5</v>
      </c>
      <c r="AE92">
        <v>0</v>
      </c>
    </row>
    <row r="93" spans="1:31" x14ac:dyDescent="0.25">
      <c r="A93" t="s">
        <v>81</v>
      </c>
      <c r="B93" t="s">
        <v>189</v>
      </c>
      <c r="C93">
        <v>1200</v>
      </c>
      <c r="D93" t="s">
        <v>190</v>
      </c>
      <c r="E93">
        <v>1000000</v>
      </c>
      <c r="F93" t="s">
        <v>191</v>
      </c>
      <c r="G93">
        <v>12345</v>
      </c>
      <c r="H93" t="s">
        <v>216</v>
      </c>
      <c r="I93">
        <v>1</v>
      </c>
      <c r="J93" t="s">
        <v>192</v>
      </c>
      <c r="K93">
        <v>1.0000000000000001E-5</v>
      </c>
      <c r="L93" t="s">
        <v>3</v>
      </c>
      <c r="M93">
        <v>1</v>
      </c>
      <c r="N93" t="s">
        <v>2</v>
      </c>
      <c r="O93">
        <v>0</v>
      </c>
      <c r="P93" t="s">
        <v>17</v>
      </c>
      <c r="Q93">
        <v>12</v>
      </c>
      <c r="R93" t="s">
        <v>0</v>
      </c>
      <c r="S93">
        <v>8.1999999999999993</v>
      </c>
      <c r="T93" t="s">
        <v>152</v>
      </c>
      <c r="U93">
        <v>1</v>
      </c>
      <c r="V93" t="s">
        <v>153</v>
      </c>
      <c r="W93">
        <v>3</v>
      </c>
      <c r="X93" t="s">
        <v>151</v>
      </c>
      <c r="Y93">
        <v>1736</v>
      </c>
      <c r="Z93" t="s">
        <v>1</v>
      </c>
      <c r="AA93" t="s">
        <v>174</v>
      </c>
      <c r="AB93" t="s">
        <v>4</v>
      </c>
      <c r="AC93">
        <v>1</v>
      </c>
      <c r="AD93" t="s">
        <v>5</v>
      </c>
      <c r="AE93">
        <v>0</v>
      </c>
    </row>
    <row r="94" spans="1:31" x14ac:dyDescent="0.25">
      <c r="A94" t="s">
        <v>142</v>
      </c>
      <c r="B94" t="s">
        <v>189</v>
      </c>
      <c r="C94">
        <v>1200</v>
      </c>
      <c r="D94" t="s">
        <v>190</v>
      </c>
      <c r="E94">
        <v>1000000</v>
      </c>
      <c r="F94" t="s">
        <v>191</v>
      </c>
      <c r="G94">
        <v>12345</v>
      </c>
      <c r="H94" t="s">
        <v>216</v>
      </c>
      <c r="I94">
        <v>1</v>
      </c>
      <c r="J94" t="s">
        <v>192</v>
      </c>
      <c r="K94">
        <v>1.0000000000000001E-5</v>
      </c>
      <c r="L94" t="s">
        <v>3</v>
      </c>
      <c r="M94">
        <v>0.99999979999999999</v>
      </c>
      <c r="N94" t="s">
        <v>2</v>
      </c>
      <c r="O94">
        <v>1.4889999999999999E-4</v>
      </c>
      <c r="P94" t="s">
        <v>17</v>
      </c>
      <c r="Q94">
        <v>69</v>
      </c>
      <c r="R94" t="s">
        <v>0</v>
      </c>
      <c r="S94">
        <v>1201</v>
      </c>
      <c r="T94" t="s">
        <v>152</v>
      </c>
      <c r="U94">
        <v>2</v>
      </c>
      <c r="V94" t="s">
        <v>153</v>
      </c>
      <c r="W94">
        <v>31</v>
      </c>
      <c r="X94" t="s">
        <v>151</v>
      </c>
      <c r="Y94">
        <v>97881</v>
      </c>
      <c r="Z94" t="s">
        <v>1</v>
      </c>
      <c r="AA94" t="e" cm="1">
        <f t="array" aca="1" ref="AA94" ca="1">-0.0000123335177+((((-21.1668130343246*pow(v0,-1))*pow(V2,-5))*pow(V3,2))*SIN((((0.000822176742*V1)*V5)*pow(V4,-1))))+(((((0.2379127289717*V1)*V4)*V5)*pow(v0,-1))*pow(V2,-5))+((((((0.1829162591248*V1)*V3)*V5)*pow(v0,-1))*pow(V2,-5))*pow((0.5+(V4*pow(V3,-1))),-1.1))</f>
        <v>#NAME?</v>
      </c>
      <c r="AB94" t="s">
        <v>4</v>
      </c>
      <c r="AC94">
        <v>0.99999979999999999</v>
      </c>
      <c r="AD94" t="s">
        <v>5</v>
      </c>
      <c r="AE94">
        <v>1.5669999999999999E-4</v>
      </c>
    </row>
    <row r="95" spans="1:31" x14ac:dyDescent="0.25">
      <c r="A95" t="s">
        <v>64</v>
      </c>
      <c r="B95" t="s">
        <v>189</v>
      </c>
      <c r="C95">
        <v>1200</v>
      </c>
      <c r="D95" t="s">
        <v>190</v>
      </c>
      <c r="E95">
        <v>1000000</v>
      </c>
      <c r="F95" t="s">
        <v>191</v>
      </c>
      <c r="G95">
        <v>12345</v>
      </c>
      <c r="H95" t="s">
        <v>216</v>
      </c>
      <c r="I95">
        <v>1</v>
      </c>
      <c r="J95" t="s">
        <v>192</v>
      </c>
      <c r="K95">
        <v>1.0000000000000001E-5</v>
      </c>
      <c r="L95" t="s">
        <v>3</v>
      </c>
      <c r="M95">
        <v>0.61028590000000005</v>
      </c>
      <c r="N95" t="s">
        <v>2</v>
      </c>
      <c r="O95">
        <v>1.6062689999999999</v>
      </c>
      <c r="P95" t="s">
        <v>17</v>
      </c>
      <c r="Q95">
        <v>114</v>
      </c>
      <c r="R95" t="s">
        <v>0</v>
      </c>
      <c r="S95">
        <v>1201.3</v>
      </c>
      <c r="T95" t="s">
        <v>152</v>
      </c>
      <c r="U95">
        <v>1</v>
      </c>
      <c r="V95" t="s">
        <v>153</v>
      </c>
      <c r="W95">
        <v>29</v>
      </c>
      <c r="X95" t="s">
        <v>151</v>
      </c>
      <c r="Y95">
        <v>74472</v>
      </c>
      <c r="Z95" t="s">
        <v>1</v>
      </c>
      <c r="AA95" t="e" cm="1">
        <f t="array" aca="1" ref="AA95" ca="1">-0.5950373542944+(-2.1095255573131*pow((-1+((0.5*V1)*pow(V2,-1))),2))+(-51.7130990915632*pow(V1,-6))+(-3.3008245068573*pow((-1+(0.5*V2)),3))+((2.7606576998372*v0)*pow((V1+(-0.5*pow(V1,-1))),-1))+((34.3342144905197*V2)*pow(V1,-5))+((34.7246029502228*pow((-1+(0.5*V2)),2))*ASIN(pow(V1,-1)))+((0.0000134451687*v0)*EXP((2.3677440438966*V1)))+((-4.3903933596348*pow(V1,-5))*pow(V2,2))+((-213.294494017095*pow(V1,-2))*pow((-1+(0.7071067811865*pow(V2,0.55))),2))+(((-0.546146743594*v0)*V2)*pow(V1,-1))</f>
        <v>#NAME?</v>
      </c>
      <c r="AB95" t="s">
        <v>4</v>
      </c>
      <c r="AC95">
        <v>0.60795560000000004</v>
      </c>
      <c r="AD95" t="s">
        <v>5</v>
      </c>
      <c r="AE95">
        <v>1.6179835</v>
      </c>
    </row>
    <row r="96" spans="1:31" x14ac:dyDescent="0.25">
      <c r="A96" t="s">
        <v>115</v>
      </c>
      <c r="B96" t="s">
        <v>189</v>
      </c>
      <c r="C96">
        <v>1200</v>
      </c>
      <c r="D96" t="s">
        <v>190</v>
      </c>
      <c r="E96">
        <v>1000000</v>
      </c>
      <c r="F96" t="s">
        <v>191</v>
      </c>
      <c r="G96">
        <v>12345</v>
      </c>
      <c r="H96" t="s">
        <v>216</v>
      </c>
      <c r="I96">
        <v>1</v>
      </c>
      <c r="J96" t="s">
        <v>192</v>
      </c>
      <c r="K96">
        <v>1.0000000000000001E-5</v>
      </c>
      <c r="L96" t="s">
        <v>3</v>
      </c>
      <c r="M96">
        <v>0.92137820000000004</v>
      </c>
      <c r="N96" t="s">
        <v>2</v>
      </c>
      <c r="O96">
        <v>8.3914000000000002E-3</v>
      </c>
      <c r="P96" t="s">
        <v>17</v>
      </c>
      <c r="Q96">
        <v>100</v>
      </c>
      <c r="R96" t="s">
        <v>0</v>
      </c>
      <c r="S96">
        <v>1202.0999999999999</v>
      </c>
      <c r="T96" t="s">
        <v>152</v>
      </c>
      <c r="U96">
        <v>1</v>
      </c>
      <c r="V96" t="s">
        <v>153</v>
      </c>
      <c r="W96">
        <v>30</v>
      </c>
      <c r="X96" t="s">
        <v>151</v>
      </c>
      <c r="Y96">
        <v>73241</v>
      </c>
      <c r="Z96" t="s">
        <v>1</v>
      </c>
      <c r="AA96" t="e" cm="1">
        <f t="array" aca="1" ref="AA96" ca="1">-25.2411192600397+(0.3010826403839*V2)+(24.8597064191307*COS((((-0.0030382056688*pow(V3,2))+((0.0018427648886*v0)*EXP(V2)))+(((0.0030382056688*V2)*V3)*pow(V1,-1)))))+(-0.1324068757895*pow(V2,-1))+(-0.0384929800817*V1)+(-0.011977083302*v0)+((0.0585099138147*V1)*pow(V2,-1))+((0.0224873733451*v0)*pow(V2,-1))+((0.2417896790691*COS(V2))*EXP(pow(V3,-1)))+((-0.0003120731627*EXP((2*V2)))*LOG(V3))+((-0.1333509141903*v0)*pow(V3,-1))+(((0.0838144026531*v0)*V2)*pow(V3,-1))</f>
        <v>#VALUE!</v>
      </c>
      <c r="AB96" t="s">
        <v>4</v>
      </c>
      <c r="AC96">
        <v>0.92052369999999994</v>
      </c>
      <c r="AD96" t="s">
        <v>5</v>
      </c>
      <c r="AE96">
        <v>8.3225E-3</v>
      </c>
    </row>
    <row r="97" spans="1:31" x14ac:dyDescent="0.25">
      <c r="A97" t="s">
        <v>88</v>
      </c>
      <c r="B97" t="s">
        <v>189</v>
      </c>
      <c r="C97">
        <v>1200</v>
      </c>
      <c r="D97" t="s">
        <v>190</v>
      </c>
      <c r="E97">
        <v>1000000</v>
      </c>
      <c r="F97" t="s">
        <v>191</v>
      </c>
      <c r="G97">
        <v>12345</v>
      </c>
      <c r="H97" t="s">
        <v>216</v>
      </c>
      <c r="I97">
        <v>1</v>
      </c>
      <c r="J97" t="s">
        <v>192</v>
      </c>
      <c r="K97">
        <v>1.0000000000000001E-5</v>
      </c>
      <c r="L97" t="s">
        <v>3</v>
      </c>
      <c r="M97">
        <v>0.91897150000000005</v>
      </c>
      <c r="N97" t="s">
        <v>2</v>
      </c>
      <c r="O97">
        <v>0.54676720000000001</v>
      </c>
      <c r="P97" t="s">
        <v>17</v>
      </c>
      <c r="Q97">
        <v>167</v>
      </c>
      <c r="R97" t="s">
        <v>0</v>
      </c>
      <c r="S97">
        <v>1204.0999999999999</v>
      </c>
      <c r="T97" t="s">
        <v>152</v>
      </c>
      <c r="U97">
        <v>1</v>
      </c>
      <c r="V97" t="s">
        <v>153</v>
      </c>
      <c r="W97">
        <v>22</v>
      </c>
      <c r="X97" t="s">
        <v>151</v>
      </c>
      <c r="Y97">
        <v>74871</v>
      </c>
      <c r="Z97" t="s">
        <v>1</v>
      </c>
      <c r="AA97" t="e" cm="1">
        <f t="array" aca="1" ref="AA97" ca="1">-0.6816363909507+(3.4823593979488*pow((((3.1415926535898*pow(V1,-1))*pow(V3,-1))+((0.3183098861838*V2)*pow(V1,-1))),-1))+(0.1955378408422*V3)+(2.8014479561534*V1)+((0.2417794825938*pow(v0,2))*pow(V1,-1))+((0.1286344659939*v0)*COS(((0.1877919009208*V3)*pow(((0.5*pow((14.14213562373+V1),-1))+(V2*pow((14.14213562373+V1),-1))),-1))))+((-4.7418995039314*V3)*pow(((V3*pow(V1,-1))+((0.3183098861838*V2)*pow(V1,-1))),-1))+((-0.2366739347118*V2)*COS((((0.1877919009208*V2)*pow(((0.5*pow((14.14213562373+V1),-1))+(V2*pow((44.4288293815808+V1),-1))),-1))+((-0.1877919009208*V3)*pow(((0.5*pow((14.14213562373+V1),-1))+(V2*pow((44.4288293815808+V1),-1))),-1)))))+(((0.0915558328969*v0)*V1)*COS(((0.1877919009208*V3)*pow(((0.5*pow((14.14213562373+V1),-1))+(V2*pow((14.14213562373+V1),-1))),-1))))</f>
        <v>#NAME?</v>
      </c>
      <c r="AB97" t="s">
        <v>4</v>
      </c>
      <c r="AC97">
        <v>0.916246</v>
      </c>
      <c r="AD97" t="s">
        <v>5</v>
      </c>
      <c r="AE97">
        <v>0.55368669999999998</v>
      </c>
    </row>
    <row r="98" spans="1:31" x14ac:dyDescent="0.25">
      <c r="A98" t="s">
        <v>27</v>
      </c>
      <c r="B98" t="s">
        <v>189</v>
      </c>
      <c r="C98">
        <v>1200</v>
      </c>
      <c r="D98" t="s">
        <v>190</v>
      </c>
      <c r="E98">
        <v>1000000</v>
      </c>
      <c r="F98" t="s">
        <v>191</v>
      </c>
      <c r="G98">
        <v>12345</v>
      </c>
      <c r="H98" t="s">
        <v>216</v>
      </c>
      <c r="I98">
        <v>1</v>
      </c>
      <c r="J98" t="s">
        <v>192</v>
      </c>
      <c r="K98">
        <v>1.0000000000000001E-5</v>
      </c>
      <c r="L98" t="s">
        <v>3</v>
      </c>
      <c r="M98">
        <v>1</v>
      </c>
      <c r="N98" t="s">
        <v>2</v>
      </c>
      <c r="O98">
        <v>0</v>
      </c>
      <c r="P98" t="s">
        <v>17</v>
      </c>
      <c r="Q98">
        <v>16</v>
      </c>
      <c r="R98" t="s">
        <v>0</v>
      </c>
      <c r="S98">
        <v>40.1</v>
      </c>
      <c r="T98" t="s">
        <v>152</v>
      </c>
      <c r="U98">
        <v>2</v>
      </c>
      <c r="V98" t="s">
        <v>153</v>
      </c>
      <c r="W98">
        <v>15</v>
      </c>
      <c r="X98" t="s">
        <v>151</v>
      </c>
      <c r="Y98">
        <v>13722</v>
      </c>
      <c r="Z98" t="s">
        <v>1</v>
      </c>
      <c r="AA98" t="s">
        <v>156</v>
      </c>
      <c r="AB98" t="s">
        <v>4</v>
      </c>
      <c r="AC98">
        <v>1</v>
      </c>
      <c r="AD98" t="s">
        <v>5</v>
      </c>
      <c r="AE98">
        <v>0</v>
      </c>
    </row>
    <row r="99" spans="1:31" x14ac:dyDescent="0.25">
      <c r="A99" t="s">
        <v>37</v>
      </c>
      <c r="B99" t="s">
        <v>189</v>
      </c>
      <c r="C99">
        <v>1200</v>
      </c>
      <c r="D99" t="s">
        <v>190</v>
      </c>
      <c r="E99">
        <v>1000000</v>
      </c>
      <c r="F99" t="s">
        <v>191</v>
      </c>
      <c r="G99">
        <v>12345</v>
      </c>
      <c r="H99" t="s">
        <v>216</v>
      </c>
      <c r="I99">
        <v>1</v>
      </c>
      <c r="J99" t="s">
        <v>192</v>
      </c>
      <c r="K99">
        <v>1.0000000000000001E-5</v>
      </c>
      <c r="L99" t="s">
        <v>3</v>
      </c>
      <c r="M99">
        <v>1</v>
      </c>
      <c r="N99" t="s">
        <v>2</v>
      </c>
      <c r="O99">
        <v>0</v>
      </c>
      <c r="P99" t="s">
        <v>17</v>
      </c>
      <c r="Q99">
        <v>6</v>
      </c>
      <c r="R99" t="s">
        <v>0</v>
      </c>
      <c r="S99">
        <v>3.5</v>
      </c>
      <c r="T99" t="s">
        <v>152</v>
      </c>
      <c r="U99">
        <v>1</v>
      </c>
      <c r="V99" t="s">
        <v>153</v>
      </c>
      <c r="W99">
        <v>2</v>
      </c>
      <c r="X99" t="s">
        <v>151</v>
      </c>
      <c r="Y99">
        <v>540</v>
      </c>
      <c r="Z99" t="s">
        <v>1</v>
      </c>
      <c r="AA99" t="s">
        <v>157</v>
      </c>
      <c r="AB99" t="s">
        <v>4</v>
      </c>
      <c r="AC99">
        <v>1</v>
      </c>
      <c r="AD99" t="s">
        <v>5</v>
      </c>
      <c r="AE99">
        <v>0</v>
      </c>
    </row>
    <row r="100" spans="1:31" x14ac:dyDescent="0.25">
      <c r="A100" t="s">
        <v>91</v>
      </c>
      <c r="B100" t="s">
        <v>189</v>
      </c>
      <c r="C100">
        <v>1200</v>
      </c>
      <c r="D100" t="s">
        <v>190</v>
      </c>
      <c r="E100">
        <v>1000000</v>
      </c>
      <c r="F100" t="s">
        <v>191</v>
      </c>
      <c r="G100">
        <v>12345</v>
      </c>
      <c r="H100" t="s">
        <v>216</v>
      </c>
      <c r="I100">
        <v>1</v>
      </c>
      <c r="J100" t="s">
        <v>192</v>
      </c>
      <c r="K100">
        <v>1.0000000000000001E-5</v>
      </c>
      <c r="L100" t="s">
        <v>3</v>
      </c>
      <c r="M100">
        <v>0.99216720000000003</v>
      </c>
      <c r="N100" t="s">
        <v>2</v>
      </c>
      <c r="O100">
        <v>9.1885900000000006E-2</v>
      </c>
      <c r="P100" t="s">
        <v>17</v>
      </c>
      <c r="Q100">
        <v>104</v>
      </c>
      <c r="R100" t="s">
        <v>0</v>
      </c>
      <c r="S100">
        <v>1203.5999999999999</v>
      </c>
      <c r="T100" t="s">
        <v>152</v>
      </c>
      <c r="U100">
        <v>1</v>
      </c>
      <c r="V100" t="s">
        <v>153</v>
      </c>
      <c r="W100">
        <v>22</v>
      </c>
      <c r="X100" t="s">
        <v>151</v>
      </c>
      <c r="Y100">
        <v>64338</v>
      </c>
      <c r="Z100" t="s">
        <v>1</v>
      </c>
      <c r="AA100" t="s">
        <v>356</v>
      </c>
      <c r="AB100" t="s">
        <v>4</v>
      </c>
      <c r="AC100">
        <v>0.99202029999999997</v>
      </c>
      <c r="AD100" t="s">
        <v>5</v>
      </c>
      <c r="AE100">
        <v>9.2461500000000002E-2</v>
      </c>
    </row>
    <row r="101" spans="1:31" x14ac:dyDescent="0.25">
      <c r="A101" t="s">
        <v>101</v>
      </c>
      <c r="B101" t="s">
        <v>189</v>
      </c>
      <c r="C101">
        <v>1200</v>
      </c>
      <c r="D101" t="s">
        <v>190</v>
      </c>
      <c r="E101">
        <v>1000000</v>
      </c>
      <c r="F101" t="s">
        <v>191</v>
      </c>
      <c r="G101">
        <v>12345</v>
      </c>
      <c r="H101" t="s">
        <v>216</v>
      </c>
      <c r="I101">
        <v>1</v>
      </c>
      <c r="J101" t="s">
        <v>192</v>
      </c>
      <c r="K101">
        <v>1.0000000000000001E-5</v>
      </c>
      <c r="L101" t="s">
        <v>3</v>
      </c>
      <c r="M101">
        <v>1</v>
      </c>
      <c r="N101" t="s">
        <v>2</v>
      </c>
      <c r="O101">
        <v>0</v>
      </c>
      <c r="P101" t="s">
        <v>17</v>
      </c>
      <c r="Q101">
        <v>12</v>
      </c>
      <c r="R101" t="s">
        <v>0</v>
      </c>
      <c r="S101">
        <v>20</v>
      </c>
      <c r="T101" t="s">
        <v>152</v>
      </c>
      <c r="U101">
        <v>1</v>
      </c>
      <c r="V101" t="s">
        <v>153</v>
      </c>
      <c r="W101">
        <v>4</v>
      </c>
      <c r="X101" t="s">
        <v>151</v>
      </c>
      <c r="Y101">
        <v>2574</v>
      </c>
      <c r="Z101" t="s">
        <v>1</v>
      </c>
      <c r="AA101" t="s">
        <v>203</v>
      </c>
      <c r="AB101" t="s">
        <v>4</v>
      </c>
      <c r="AC101">
        <v>1</v>
      </c>
      <c r="AD101" t="s">
        <v>5</v>
      </c>
      <c r="AE101">
        <v>0</v>
      </c>
    </row>
    <row r="102" spans="1:31" x14ac:dyDescent="0.25">
      <c r="A102" t="s">
        <v>74</v>
      </c>
      <c r="B102" t="s">
        <v>189</v>
      </c>
      <c r="C102">
        <v>1200</v>
      </c>
      <c r="D102" t="s">
        <v>190</v>
      </c>
      <c r="E102">
        <v>1000000</v>
      </c>
      <c r="F102" t="s">
        <v>191</v>
      </c>
      <c r="G102">
        <v>12345</v>
      </c>
      <c r="H102" t="s">
        <v>216</v>
      </c>
      <c r="I102">
        <v>1</v>
      </c>
      <c r="J102" t="s">
        <v>192</v>
      </c>
      <c r="K102">
        <v>1.0000000000000001E-5</v>
      </c>
      <c r="L102" t="s">
        <v>3</v>
      </c>
      <c r="M102">
        <v>0.50551060000000003</v>
      </c>
      <c r="N102" t="s">
        <v>2</v>
      </c>
      <c r="O102">
        <v>0.24819579999999999</v>
      </c>
      <c r="P102" t="s">
        <v>17</v>
      </c>
      <c r="Q102">
        <v>125</v>
      </c>
      <c r="R102" t="s">
        <v>0</v>
      </c>
      <c r="S102">
        <v>1203.2</v>
      </c>
      <c r="T102" t="s">
        <v>152</v>
      </c>
      <c r="U102">
        <v>1</v>
      </c>
      <c r="V102" t="s">
        <v>153</v>
      </c>
      <c r="W102">
        <v>23</v>
      </c>
      <c r="X102" t="s">
        <v>151</v>
      </c>
      <c r="Y102">
        <v>81587</v>
      </c>
      <c r="Z102" t="s">
        <v>1</v>
      </c>
      <c r="AA102" t="s">
        <v>357</v>
      </c>
      <c r="AB102" t="s">
        <v>4</v>
      </c>
      <c r="AC102">
        <v>0.5006216</v>
      </c>
      <c r="AD102" t="s">
        <v>5</v>
      </c>
      <c r="AE102">
        <v>0.25080849999999999</v>
      </c>
    </row>
    <row r="103" spans="1:31" x14ac:dyDescent="0.25">
      <c r="A103" t="s">
        <v>84</v>
      </c>
      <c r="B103" t="s">
        <v>189</v>
      </c>
      <c r="C103">
        <v>1200</v>
      </c>
      <c r="D103" t="s">
        <v>190</v>
      </c>
      <c r="E103">
        <v>1000000</v>
      </c>
      <c r="F103" t="s">
        <v>191</v>
      </c>
      <c r="G103">
        <v>12345</v>
      </c>
      <c r="H103" t="s">
        <v>216</v>
      </c>
      <c r="I103">
        <v>1</v>
      </c>
      <c r="J103" t="s">
        <v>192</v>
      </c>
      <c r="K103">
        <v>1.0000000000000001E-5</v>
      </c>
      <c r="L103" t="s">
        <v>3</v>
      </c>
      <c r="M103">
        <v>1</v>
      </c>
      <c r="N103" t="s">
        <v>2</v>
      </c>
      <c r="O103">
        <v>0</v>
      </c>
      <c r="P103" t="s">
        <v>17</v>
      </c>
      <c r="Q103">
        <v>14</v>
      </c>
      <c r="R103" t="s">
        <v>0</v>
      </c>
      <c r="S103">
        <v>27.5</v>
      </c>
      <c r="T103" t="s">
        <v>152</v>
      </c>
      <c r="U103">
        <v>1</v>
      </c>
      <c r="V103" t="s">
        <v>153</v>
      </c>
      <c r="W103">
        <v>5</v>
      </c>
      <c r="X103" t="s">
        <v>151</v>
      </c>
      <c r="Y103">
        <v>3559</v>
      </c>
      <c r="Z103" t="s">
        <v>1</v>
      </c>
      <c r="AA103" t="s">
        <v>166</v>
      </c>
      <c r="AB103" t="s">
        <v>4</v>
      </c>
      <c r="AC103">
        <v>1</v>
      </c>
      <c r="AD103" t="s">
        <v>5</v>
      </c>
      <c r="AE103">
        <v>0</v>
      </c>
    </row>
    <row r="104" spans="1:31" x14ac:dyDescent="0.25">
      <c r="A104" t="s">
        <v>125</v>
      </c>
      <c r="B104" t="s">
        <v>189</v>
      </c>
      <c r="C104">
        <v>1200</v>
      </c>
      <c r="D104" t="s">
        <v>190</v>
      </c>
      <c r="E104">
        <v>1000000</v>
      </c>
      <c r="F104" t="s">
        <v>191</v>
      </c>
      <c r="G104">
        <v>12345</v>
      </c>
      <c r="H104" t="s">
        <v>216</v>
      </c>
      <c r="I104">
        <v>1</v>
      </c>
      <c r="J104" t="s">
        <v>192</v>
      </c>
      <c r="K104">
        <v>1.0000000000000001E-5</v>
      </c>
      <c r="L104" t="s">
        <v>3</v>
      </c>
      <c r="M104">
        <v>0.99949779999999999</v>
      </c>
      <c r="N104" t="s">
        <v>2</v>
      </c>
      <c r="O104">
        <v>6.7491800000000005E-2</v>
      </c>
      <c r="P104" t="s">
        <v>17</v>
      </c>
      <c r="Q104">
        <v>88</v>
      </c>
      <c r="R104" t="s">
        <v>0</v>
      </c>
      <c r="S104">
        <v>1203</v>
      </c>
      <c r="T104" t="s">
        <v>152</v>
      </c>
      <c r="U104">
        <v>1</v>
      </c>
      <c r="V104" t="s">
        <v>153</v>
      </c>
      <c r="W104">
        <v>27</v>
      </c>
      <c r="X104" t="s">
        <v>151</v>
      </c>
      <c r="Y104">
        <v>85840</v>
      </c>
      <c r="Z104" t="s">
        <v>1</v>
      </c>
      <c r="AA104" t="e" cm="1">
        <f t="array" aca="1" ref="AA104" ca="1">-11.0263554114265+(11.0209394012942*COS((((0.5855532416475*v0)*pow(V4,-1))*pow((2+V1),-1))))+((0.2427774950844*pow(V4,-2))*pow((0.7602445970757+(v0*V3)),1))+(((0.3599819740302*pow(v0,2))*pow(V4,-2))*pow((V2+(0.5*pow(V2,-1))),-1))+(((-0.5467632015049*pow(V4,-2))*EXP(pow(V2,-1)))*LOG(V3))+((((0.0889180592428*pow(v0,2))*pow(V1,1.28))*pow(V4,-2))*pow(LOG((0.7602445970757+V3)),2))</f>
        <v>#NAME?</v>
      </c>
      <c r="AB104" t="s">
        <v>4</v>
      </c>
      <c r="AC104">
        <v>0.9994866</v>
      </c>
      <c r="AD104" t="s">
        <v>5</v>
      </c>
      <c r="AE104">
        <v>6.6028500000000004E-2</v>
      </c>
    </row>
    <row r="105" spans="1:31" x14ac:dyDescent="0.25">
      <c r="A105" t="s">
        <v>98</v>
      </c>
      <c r="B105" t="s">
        <v>189</v>
      </c>
      <c r="C105">
        <v>1200</v>
      </c>
      <c r="D105" t="s">
        <v>190</v>
      </c>
      <c r="E105">
        <v>1000000</v>
      </c>
      <c r="F105" t="s">
        <v>191</v>
      </c>
      <c r="G105">
        <v>12345</v>
      </c>
      <c r="H105" t="s">
        <v>216</v>
      </c>
      <c r="I105">
        <v>1</v>
      </c>
      <c r="J105" t="s">
        <v>192</v>
      </c>
      <c r="K105">
        <v>1.0000000000000001E-5</v>
      </c>
      <c r="L105" t="s">
        <v>3</v>
      </c>
      <c r="M105">
        <v>1</v>
      </c>
      <c r="N105" t="s">
        <v>2</v>
      </c>
      <c r="O105">
        <v>5.0699999999999996E-4</v>
      </c>
      <c r="P105" t="s">
        <v>17</v>
      </c>
      <c r="Q105">
        <v>30</v>
      </c>
      <c r="R105" t="s">
        <v>0</v>
      </c>
      <c r="S105">
        <v>1201.5999999999999</v>
      </c>
      <c r="T105" t="s">
        <v>152</v>
      </c>
      <c r="U105">
        <v>5</v>
      </c>
      <c r="V105" t="s">
        <v>153</v>
      </c>
      <c r="W105">
        <v>50</v>
      </c>
      <c r="X105" t="s">
        <v>151</v>
      </c>
      <c r="Y105">
        <v>100638</v>
      </c>
      <c r="Z105" t="s">
        <v>1</v>
      </c>
      <c r="AA105" t="e" cm="1">
        <f t="array" aca="1" ref="AA105" ca="1">-0.4994974071529+((((6.283078943826*V2)*V3)*pow(v0,-1))*pow(V1,-1))+((((0.0129742843625*v0)*V1)*pow(V2,-1))*pow(V3,-1))</f>
        <v>#VALUE!</v>
      </c>
      <c r="AB105" t="s">
        <v>4</v>
      </c>
      <c r="AC105">
        <v>1</v>
      </c>
      <c r="AD105" t="s">
        <v>5</v>
      </c>
      <c r="AE105">
        <v>4.349E-4</v>
      </c>
    </row>
    <row r="106" spans="1:31" x14ac:dyDescent="0.25">
      <c r="A106" t="s">
        <v>47</v>
      </c>
      <c r="B106" t="s">
        <v>189</v>
      </c>
      <c r="C106">
        <v>1200</v>
      </c>
      <c r="D106" t="s">
        <v>190</v>
      </c>
      <c r="E106">
        <v>1000000</v>
      </c>
      <c r="F106" t="s">
        <v>191</v>
      </c>
      <c r="G106">
        <v>12345</v>
      </c>
      <c r="H106" t="s">
        <v>216</v>
      </c>
      <c r="I106">
        <v>1</v>
      </c>
      <c r="J106" t="s">
        <v>192</v>
      </c>
      <c r="K106">
        <v>1.0000000000000001E-5</v>
      </c>
      <c r="L106" t="s">
        <v>3</v>
      </c>
      <c r="M106">
        <v>0.99872269999999996</v>
      </c>
      <c r="N106" t="s">
        <v>2</v>
      </c>
      <c r="O106">
        <v>1.78852E-2</v>
      </c>
      <c r="P106" t="s">
        <v>17</v>
      </c>
      <c r="Q106">
        <v>80</v>
      </c>
      <c r="R106" t="s">
        <v>0</v>
      </c>
      <c r="S106">
        <v>1201</v>
      </c>
      <c r="T106" t="s">
        <v>152</v>
      </c>
      <c r="U106">
        <v>2</v>
      </c>
      <c r="V106" t="s">
        <v>153</v>
      </c>
      <c r="W106">
        <v>33</v>
      </c>
      <c r="X106" t="s">
        <v>151</v>
      </c>
      <c r="Y106">
        <v>80002</v>
      </c>
      <c r="Z106" t="s">
        <v>1</v>
      </c>
      <c r="AA106" t="s">
        <v>358</v>
      </c>
      <c r="AB106" t="s">
        <v>4</v>
      </c>
      <c r="AC106">
        <v>0.99876310000000001</v>
      </c>
      <c r="AD106" t="s">
        <v>5</v>
      </c>
      <c r="AE106">
        <v>1.76153E-2</v>
      </c>
    </row>
    <row r="107" spans="1:31" x14ac:dyDescent="0.25">
      <c r="A107" t="s">
        <v>111</v>
      </c>
      <c r="B107" t="s">
        <v>189</v>
      </c>
      <c r="C107">
        <v>1200</v>
      </c>
      <c r="D107" t="s">
        <v>190</v>
      </c>
      <c r="E107">
        <v>1000000</v>
      </c>
      <c r="F107" t="s">
        <v>191</v>
      </c>
      <c r="G107">
        <v>12345</v>
      </c>
      <c r="H107" t="s">
        <v>216</v>
      </c>
      <c r="I107">
        <v>1</v>
      </c>
      <c r="J107" t="s">
        <v>192</v>
      </c>
      <c r="K107">
        <v>1.0000000000000001E-5</v>
      </c>
      <c r="L107" t="s">
        <v>3</v>
      </c>
      <c r="M107">
        <v>0.97936259999999997</v>
      </c>
      <c r="N107" t="s">
        <v>2</v>
      </c>
      <c r="O107">
        <v>3.6594948999999999</v>
      </c>
      <c r="P107" t="s">
        <v>17</v>
      </c>
      <c r="Q107">
        <v>125</v>
      </c>
      <c r="R107" t="s">
        <v>0</v>
      </c>
      <c r="S107">
        <v>1200.9000000000001</v>
      </c>
      <c r="T107" t="s">
        <v>152</v>
      </c>
      <c r="U107">
        <v>1</v>
      </c>
      <c r="V107" t="s">
        <v>153</v>
      </c>
      <c r="W107">
        <v>24</v>
      </c>
      <c r="X107" t="s">
        <v>151</v>
      </c>
      <c r="Y107">
        <v>70397</v>
      </c>
      <c r="Z107" t="s">
        <v>1</v>
      </c>
      <c r="AA107" t="s">
        <v>359</v>
      </c>
      <c r="AB107" t="s">
        <v>4</v>
      </c>
      <c r="AC107">
        <v>0.97927319999999995</v>
      </c>
      <c r="AD107" t="s">
        <v>5</v>
      </c>
      <c r="AE107">
        <v>3.6923542</v>
      </c>
    </row>
    <row r="108" spans="1:31" x14ac:dyDescent="0.25">
      <c r="A108" t="s">
        <v>94</v>
      </c>
      <c r="B108" t="s">
        <v>189</v>
      </c>
      <c r="C108">
        <v>1200</v>
      </c>
      <c r="D108" t="s">
        <v>190</v>
      </c>
      <c r="E108">
        <v>1000000</v>
      </c>
      <c r="F108" t="s">
        <v>191</v>
      </c>
      <c r="G108">
        <v>12345</v>
      </c>
      <c r="H108" t="s">
        <v>216</v>
      </c>
      <c r="I108">
        <v>1</v>
      </c>
      <c r="J108" t="s">
        <v>192</v>
      </c>
      <c r="K108">
        <v>1.0000000000000001E-5</v>
      </c>
      <c r="L108" t="s">
        <v>3</v>
      </c>
      <c r="M108">
        <v>0.99998330000000002</v>
      </c>
      <c r="N108" t="s">
        <v>2</v>
      </c>
      <c r="O108">
        <v>1.3051200000000001E-2</v>
      </c>
      <c r="P108" t="s">
        <v>17</v>
      </c>
      <c r="Q108">
        <v>94</v>
      </c>
      <c r="R108" t="s">
        <v>0</v>
      </c>
      <c r="S108">
        <v>1203.0999999999999</v>
      </c>
      <c r="T108" t="s">
        <v>152</v>
      </c>
      <c r="U108">
        <v>1</v>
      </c>
      <c r="V108" t="s">
        <v>153</v>
      </c>
      <c r="W108">
        <v>25</v>
      </c>
      <c r="X108" t="s">
        <v>151</v>
      </c>
      <c r="Y108">
        <v>75021</v>
      </c>
      <c r="Z108" t="s">
        <v>1</v>
      </c>
      <c r="AA108" t="s">
        <v>360</v>
      </c>
      <c r="AB108" t="s">
        <v>4</v>
      </c>
      <c r="AC108">
        <v>0.99998319999999996</v>
      </c>
      <c r="AD108" t="s">
        <v>5</v>
      </c>
      <c r="AE108">
        <v>1.30805E-2</v>
      </c>
    </row>
    <row r="109" spans="1:31" x14ac:dyDescent="0.25">
      <c r="A109" t="s">
        <v>135</v>
      </c>
      <c r="B109" t="s">
        <v>189</v>
      </c>
      <c r="C109">
        <v>1200</v>
      </c>
      <c r="D109" t="s">
        <v>190</v>
      </c>
      <c r="E109">
        <v>1000000</v>
      </c>
      <c r="F109" t="s">
        <v>191</v>
      </c>
      <c r="G109">
        <v>12345</v>
      </c>
      <c r="H109" t="s">
        <v>216</v>
      </c>
      <c r="I109">
        <v>1</v>
      </c>
      <c r="J109" t="s">
        <v>192</v>
      </c>
      <c r="K109">
        <v>1.0000000000000001E-5</v>
      </c>
      <c r="L109" t="s">
        <v>3</v>
      </c>
      <c r="M109">
        <v>0.99976690000000001</v>
      </c>
      <c r="N109" t="s">
        <v>2</v>
      </c>
      <c r="O109">
        <v>3.2987200000000001E-2</v>
      </c>
      <c r="P109" t="s">
        <v>17</v>
      </c>
      <c r="Q109">
        <v>106</v>
      </c>
      <c r="R109" t="s">
        <v>0</v>
      </c>
      <c r="S109">
        <v>1201.0999999999999</v>
      </c>
      <c r="T109" t="s">
        <v>152</v>
      </c>
      <c r="U109">
        <v>1</v>
      </c>
      <c r="V109" t="s">
        <v>153</v>
      </c>
      <c r="W109">
        <v>23</v>
      </c>
      <c r="X109" t="s">
        <v>151</v>
      </c>
      <c r="Y109">
        <v>88838</v>
      </c>
      <c r="Z109" t="s">
        <v>1</v>
      </c>
      <c r="AA109" t="s">
        <v>361</v>
      </c>
      <c r="AB109" t="s">
        <v>4</v>
      </c>
      <c r="AC109">
        <v>0.99970689999999995</v>
      </c>
      <c r="AD109" t="s">
        <v>5</v>
      </c>
      <c r="AE109">
        <v>3.21766E-2</v>
      </c>
    </row>
    <row r="110" spans="1:31" x14ac:dyDescent="0.25">
      <c r="A110" t="s">
        <v>108</v>
      </c>
      <c r="B110" t="s">
        <v>189</v>
      </c>
      <c r="C110">
        <v>1200</v>
      </c>
      <c r="D110" t="s">
        <v>190</v>
      </c>
      <c r="E110">
        <v>1000000</v>
      </c>
      <c r="F110" t="s">
        <v>191</v>
      </c>
      <c r="G110">
        <v>12345</v>
      </c>
      <c r="H110" t="s">
        <v>216</v>
      </c>
      <c r="I110">
        <v>1</v>
      </c>
      <c r="J110" t="s">
        <v>192</v>
      </c>
      <c r="K110">
        <v>1.0000000000000001E-5</v>
      </c>
      <c r="L110" t="s">
        <v>3</v>
      </c>
      <c r="M110">
        <v>0.99508540000000001</v>
      </c>
      <c r="N110" t="s">
        <v>2</v>
      </c>
      <c r="O110">
        <v>5.3717399999999998E-2</v>
      </c>
      <c r="P110" t="s">
        <v>17</v>
      </c>
      <c r="Q110">
        <v>78</v>
      </c>
      <c r="R110" t="s">
        <v>0</v>
      </c>
      <c r="S110">
        <v>1203.0999999999999</v>
      </c>
      <c r="T110" t="s">
        <v>152</v>
      </c>
      <c r="U110">
        <v>1</v>
      </c>
      <c r="V110" t="s">
        <v>153</v>
      </c>
      <c r="W110">
        <v>28</v>
      </c>
      <c r="X110" t="s">
        <v>151</v>
      </c>
      <c r="Y110">
        <v>85282</v>
      </c>
      <c r="Z110" t="s">
        <v>1</v>
      </c>
      <c r="AA110" t="s">
        <v>362</v>
      </c>
      <c r="AB110" t="s">
        <v>4</v>
      </c>
      <c r="AC110">
        <v>0.9940736</v>
      </c>
      <c r="AD110" t="s">
        <v>5</v>
      </c>
      <c r="AE110">
        <v>6.0862699999999999E-2</v>
      </c>
    </row>
    <row r="111" spans="1:31" x14ac:dyDescent="0.25">
      <c r="A111" t="s">
        <v>145</v>
      </c>
      <c r="B111" t="s">
        <v>189</v>
      </c>
      <c r="C111">
        <v>1200</v>
      </c>
      <c r="D111" t="s">
        <v>190</v>
      </c>
      <c r="E111">
        <v>1000000</v>
      </c>
      <c r="F111" t="s">
        <v>191</v>
      </c>
      <c r="G111">
        <v>12345</v>
      </c>
      <c r="H111" t="s">
        <v>216</v>
      </c>
      <c r="I111">
        <v>1</v>
      </c>
      <c r="J111" t="s">
        <v>192</v>
      </c>
      <c r="K111">
        <v>1.0000000000000001E-5</v>
      </c>
      <c r="L111" t="s">
        <v>3</v>
      </c>
      <c r="M111">
        <v>1</v>
      </c>
      <c r="N111" t="s">
        <v>2</v>
      </c>
      <c r="O111">
        <v>0</v>
      </c>
      <c r="P111" t="s">
        <v>17</v>
      </c>
      <c r="Q111">
        <v>40</v>
      </c>
      <c r="R111" t="s">
        <v>0</v>
      </c>
      <c r="S111">
        <v>245.5</v>
      </c>
      <c r="T111" t="s">
        <v>152</v>
      </c>
      <c r="U111">
        <v>1</v>
      </c>
      <c r="V111" t="s">
        <v>153</v>
      </c>
      <c r="W111">
        <v>13</v>
      </c>
      <c r="X111" t="s">
        <v>151</v>
      </c>
      <c r="Y111">
        <v>23220</v>
      </c>
      <c r="Z111" t="s">
        <v>1</v>
      </c>
      <c r="AA111" t="s">
        <v>264</v>
      </c>
      <c r="AB111" t="s">
        <v>4</v>
      </c>
      <c r="AC111">
        <v>1</v>
      </c>
      <c r="AD111" t="s">
        <v>5</v>
      </c>
      <c r="AE111">
        <v>0</v>
      </c>
    </row>
    <row r="112" spans="1:31" x14ac:dyDescent="0.25">
      <c r="A112" t="s">
        <v>57</v>
      </c>
      <c r="B112" t="s">
        <v>189</v>
      </c>
      <c r="C112">
        <v>1200</v>
      </c>
      <c r="D112" t="s">
        <v>190</v>
      </c>
      <c r="E112">
        <v>1000000</v>
      </c>
      <c r="F112" t="s">
        <v>191</v>
      </c>
      <c r="G112">
        <v>12345</v>
      </c>
      <c r="H112" t="s">
        <v>216</v>
      </c>
      <c r="I112">
        <v>1</v>
      </c>
      <c r="J112" t="s">
        <v>192</v>
      </c>
      <c r="K112">
        <v>1.0000000000000001E-5</v>
      </c>
      <c r="L112" t="s">
        <v>3</v>
      </c>
      <c r="M112">
        <v>1</v>
      </c>
      <c r="N112" t="s">
        <v>2</v>
      </c>
      <c r="O112">
        <v>7.4999999999999993E-5</v>
      </c>
      <c r="P112" t="s">
        <v>17</v>
      </c>
      <c r="Q112">
        <v>42</v>
      </c>
      <c r="R112" t="s">
        <v>0</v>
      </c>
      <c r="S112">
        <v>1201.3</v>
      </c>
      <c r="T112" t="s">
        <v>152</v>
      </c>
      <c r="U112">
        <v>6</v>
      </c>
      <c r="V112" t="s">
        <v>153</v>
      </c>
      <c r="W112">
        <v>56</v>
      </c>
      <c r="X112" t="s">
        <v>151</v>
      </c>
      <c r="Y112">
        <v>103665</v>
      </c>
      <c r="Z112" t="s">
        <v>1</v>
      </c>
      <c r="AA112" t="s">
        <v>363</v>
      </c>
      <c r="AB112" t="s">
        <v>4</v>
      </c>
      <c r="AC112">
        <v>1</v>
      </c>
      <c r="AD112" t="s">
        <v>5</v>
      </c>
      <c r="AE112" s="7">
        <v>7.8100000000000001E-5</v>
      </c>
    </row>
    <row r="113" spans="1:31" x14ac:dyDescent="0.25">
      <c r="A113" t="s">
        <v>121</v>
      </c>
      <c r="B113" t="s">
        <v>189</v>
      </c>
      <c r="C113">
        <v>1200</v>
      </c>
      <c r="D113" t="s">
        <v>190</v>
      </c>
      <c r="E113">
        <v>1000000</v>
      </c>
      <c r="F113" t="s">
        <v>191</v>
      </c>
      <c r="G113">
        <v>12345</v>
      </c>
      <c r="H113" t="s">
        <v>216</v>
      </c>
      <c r="I113">
        <v>1</v>
      </c>
      <c r="J113" t="s">
        <v>192</v>
      </c>
      <c r="K113">
        <v>1.0000000000000001E-5</v>
      </c>
      <c r="L113" t="s">
        <v>3</v>
      </c>
      <c r="M113">
        <v>0.99577629999999995</v>
      </c>
      <c r="N113" t="s">
        <v>2</v>
      </c>
      <c r="O113">
        <v>0.32745459999999998</v>
      </c>
      <c r="P113" t="s">
        <v>17</v>
      </c>
      <c r="Q113">
        <v>90</v>
      </c>
      <c r="R113" t="s">
        <v>0</v>
      </c>
      <c r="S113">
        <v>1201.7</v>
      </c>
      <c r="T113" t="s">
        <v>152</v>
      </c>
      <c r="U113">
        <v>1</v>
      </c>
      <c r="V113" t="s">
        <v>153</v>
      </c>
      <c r="W113">
        <v>30</v>
      </c>
      <c r="X113" t="s">
        <v>151</v>
      </c>
      <c r="Y113">
        <v>86648</v>
      </c>
      <c r="Z113" t="s">
        <v>1</v>
      </c>
      <c r="AA113" t="e" cm="1">
        <f t="array" aca="1" ref="AA113" ca="1">-0.094982857882+(-0.0000353104099*pow((pow((((v0+V1)+V2)+(-1*V4)),-1)+((0.3183098861838*V3)*pow((((v0+V2)+pow(V1,2))+(-1*V4)),-1))),-5))+((1.2547273050738*v0)*V1)+((-0.8866578583868*v0)*pow(V2,-1.1))+(((0.0004504603397*pow((V2*pow(v0,-0.8)),-1.1))*pow((1+V4),4))*pow(LOG(V3),4))+((((-0.2084782176945*v0)*V3)*V4)*pow((V2*pow(LOG((V1*V2)),-0.81)),-1))</f>
        <v>#NAME?</v>
      </c>
      <c r="AB113" t="s">
        <v>4</v>
      </c>
      <c r="AC113">
        <v>0.99578370000000005</v>
      </c>
      <c r="AD113" t="s">
        <v>5</v>
      </c>
      <c r="AE113">
        <v>0.32709470000000002</v>
      </c>
    </row>
    <row r="114" spans="1:31" x14ac:dyDescent="0.25">
      <c r="A114" t="s">
        <v>104</v>
      </c>
      <c r="B114" t="s">
        <v>189</v>
      </c>
      <c r="C114">
        <v>1200</v>
      </c>
      <c r="D114" t="s">
        <v>190</v>
      </c>
      <c r="E114">
        <v>1000000</v>
      </c>
      <c r="F114" t="s">
        <v>191</v>
      </c>
      <c r="G114">
        <v>12345</v>
      </c>
      <c r="H114" t="s">
        <v>216</v>
      </c>
      <c r="I114">
        <v>1</v>
      </c>
      <c r="J114" t="s">
        <v>192</v>
      </c>
      <c r="K114">
        <v>1.0000000000000001E-5</v>
      </c>
      <c r="L114" t="s">
        <v>3</v>
      </c>
      <c r="M114">
        <v>0.99949379999999999</v>
      </c>
      <c r="N114" t="s">
        <v>2</v>
      </c>
      <c r="O114">
        <v>3.2247100000000001E-2</v>
      </c>
      <c r="P114" t="s">
        <v>17</v>
      </c>
      <c r="Q114">
        <v>93</v>
      </c>
      <c r="R114" t="s">
        <v>0</v>
      </c>
      <c r="S114">
        <v>1201.8</v>
      </c>
      <c r="T114" t="s">
        <v>152</v>
      </c>
      <c r="U114">
        <v>1</v>
      </c>
      <c r="V114" t="s">
        <v>153</v>
      </c>
      <c r="W114">
        <v>25</v>
      </c>
      <c r="X114" t="s">
        <v>151</v>
      </c>
      <c r="Y114">
        <v>88954</v>
      </c>
      <c r="Z114" t="s">
        <v>1</v>
      </c>
      <c r="AA114" t="s">
        <v>364</v>
      </c>
      <c r="AB114" t="s">
        <v>4</v>
      </c>
      <c r="AC114">
        <v>0.99949290000000002</v>
      </c>
      <c r="AD114" t="s">
        <v>5</v>
      </c>
      <c r="AE114">
        <v>3.3087199999999997E-2</v>
      </c>
    </row>
    <row r="115" spans="1:31" x14ac:dyDescent="0.25">
      <c r="A115" t="s">
        <v>114</v>
      </c>
      <c r="B115" t="s">
        <v>189</v>
      </c>
      <c r="C115">
        <v>1200</v>
      </c>
      <c r="D115" t="s">
        <v>190</v>
      </c>
      <c r="E115">
        <v>1000000</v>
      </c>
      <c r="F115" t="s">
        <v>191</v>
      </c>
      <c r="G115">
        <v>12345</v>
      </c>
      <c r="H115" t="s">
        <v>216</v>
      </c>
      <c r="I115">
        <v>1</v>
      </c>
      <c r="J115" t="s">
        <v>192</v>
      </c>
      <c r="K115">
        <v>1.0000000000000001E-5</v>
      </c>
      <c r="L115" t="s">
        <v>3</v>
      </c>
      <c r="M115">
        <v>1</v>
      </c>
      <c r="N115" t="s">
        <v>2</v>
      </c>
      <c r="O115">
        <v>0</v>
      </c>
      <c r="P115" t="s">
        <v>17</v>
      </c>
      <c r="Q115">
        <v>16</v>
      </c>
      <c r="R115" t="s">
        <v>0</v>
      </c>
      <c r="S115">
        <v>31.2</v>
      </c>
      <c r="T115" t="s">
        <v>152</v>
      </c>
      <c r="U115">
        <v>1</v>
      </c>
      <c r="V115" t="s">
        <v>153</v>
      </c>
      <c r="W115">
        <v>5</v>
      </c>
      <c r="X115" t="s">
        <v>151</v>
      </c>
      <c r="Y115">
        <v>4088</v>
      </c>
      <c r="Z115" t="s">
        <v>1</v>
      </c>
      <c r="AA115" t="s">
        <v>262</v>
      </c>
      <c r="AB115" t="s">
        <v>4</v>
      </c>
      <c r="AC115">
        <v>1</v>
      </c>
      <c r="AD115" t="s">
        <v>5</v>
      </c>
      <c r="AE115">
        <v>0</v>
      </c>
    </row>
    <row r="116" spans="1:31" x14ac:dyDescent="0.25">
      <c r="A116" t="s">
        <v>118</v>
      </c>
      <c r="B116" t="s">
        <v>189</v>
      </c>
      <c r="C116">
        <v>1200</v>
      </c>
      <c r="D116" t="s">
        <v>190</v>
      </c>
      <c r="E116">
        <v>1000000</v>
      </c>
      <c r="F116" t="s">
        <v>191</v>
      </c>
      <c r="G116">
        <v>12345</v>
      </c>
      <c r="H116" t="s">
        <v>216</v>
      </c>
      <c r="I116">
        <v>1</v>
      </c>
      <c r="J116" t="s">
        <v>192</v>
      </c>
      <c r="K116">
        <v>1.0000000000000001E-5</v>
      </c>
      <c r="L116" t="s">
        <v>3</v>
      </c>
      <c r="M116">
        <v>0.99998220000000004</v>
      </c>
      <c r="N116" t="s">
        <v>2</v>
      </c>
      <c r="O116">
        <v>5.2100000000000002E-3</v>
      </c>
      <c r="P116" t="s">
        <v>17</v>
      </c>
      <c r="Q116">
        <v>74</v>
      </c>
      <c r="R116" t="s">
        <v>0</v>
      </c>
      <c r="S116">
        <v>1201.3</v>
      </c>
      <c r="T116" t="s">
        <v>152</v>
      </c>
      <c r="U116">
        <v>2</v>
      </c>
      <c r="V116" t="s">
        <v>153</v>
      </c>
      <c r="W116">
        <v>30</v>
      </c>
      <c r="X116" t="s">
        <v>151</v>
      </c>
      <c r="Y116">
        <v>96970</v>
      </c>
      <c r="Z116" t="s">
        <v>1</v>
      </c>
      <c r="AA116" t="e" cm="1">
        <f t="array" aca="1" ref="AA116" ca="1">-0.7183267576448+(2.8539151965422*pow((v0*V1),0.5))+(0.7459748886967*COS(((pow(V4,-1.2)*SIN(((((0.5379199198288*V2)*V3)*pow(v0,-1))*pow(V1,-1))))+((((0.5379199198288*pow(V1,-1))*pow(V3,2))*pow(V4,-1.2))*pow((v0+(3.1415926535898*pow(V1,-1))),-1)))))+((0.0118735322239*v0)*V1)+(((-0.0613960686492*V2)*pow(V3,2))*pow(V4,-2))</f>
        <v>#NAME?</v>
      </c>
      <c r="AB116" t="s">
        <v>4</v>
      </c>
      <c r="AC116">
        <v>0.99998609999999999</v>
      </c>
      <c r="AD116" t="s">
        <v>5</v>
      </c>
      <c r="AE116">
        <v>4.6035E-3</v>
      </c>
    </row>
    <row r="117" spans="1:31" x14ac:dyDescent="0.25">
      <c r="A117" t="s">
        <v>67</v>
      </c>
      <c r="B117" t="s">
        <v>189</v>
      </c>
      <c r="C117">
        <v>1200</v>
      </c>
      <c r="D117" t="s">
        <v>190</v>
      </c>
      <c r="E117">
        <v>1000000</v>
      </c>
      <c r="F117" t="s">
        <v>191</v>
      </c>
      <c r="G117">
        <v>12345</v>
      </c>
      <c r="H117" t="s">
        <v>216</v>
      </c>
      <c r="I117">
        <v>1</v>
      </c>
      <c r="J117" t="s">
        <v>192</v>
      </c>
      <c r="K117">
        <v>1.0000000000000001E-5</v>
      </c>
      <c r="L117" t="s">
        <v>3</v>
      </c>
      <c r="M117">
        <v>0.8582999</v>
      </c>
      <c r="N117" t="s">
        <v>2</v>
      </c>
      <c r="O117">
        <v>1.9252901</v>
      </c>
      <c r="P117" t="s">
        <v>17</v>
      </c>
      <c r="Q117">
        <v>119</v>
      </c>
      <c r="R117" t="s">
        <v>0</v>
      </c>
      <c r="S117">
        <v>1201.0999999999999</v>
      </c>
      <c r="T117" t="s">
        <v>152</v>
      </c>
      <c r="U117">
        <v>1</v>
      </c>
      <c r="V117" t="s">
        <v>153</v>
      </c>
      <c r="W117">
        <v>24</v>
      </c>
      <c r="X117" t="s">
        <v>151</v>
      </c>
      <c r="Y117">
        <v>69111</v>
      </c>
      <c r="Z117" t="s">
        <v>1</v>
      </c>
      <c r="AA117" t="s">
        <v>365</v>
      </c>
      <c r="AB117" t="s">
        <v>4</v>
      </c>
      <c r="AC117">
        <v>0.86059140000000001</v>
      </c>
      <c r="AD117" t="s">
        <v>5</v>
      </c>
      <c r="AE117">
        <v>1.9224106000000001</v>
      </c>
    </row>
    <row r="118" spans="1:31" x14ac:dyDescent="0.25">
      <c r="A118" t="s">
        <v>77</v>
      </c>
      <c r="B118" t="s">
        <v>189</v>
      </c>
      <c r="C118">
        <v>1200</v>
      </c>
      <c r="D118" t="s">
        <v>190</v>
      </c>
      <c r="E118">
        <v>1000000</v>
      </c>
      <c r="F118" t="s">
        <v>191</v>
      </c>
      <c r="G118">
        <v>12345</v>
      </c>
      <c r="H118" t="s">
        <v>216</v>
      </c>
      <c r="I118">
        <v>1</v>
      </c>
      <c r="J118" t="s">
        <v>192</v>
      </c>
      <c r="K118">
        <v>1.0000000000000001E-5</v>
      </c>
      <c r="L118" t="s">
        <v>3</v>
      </c>
      <c r="M118">
        <v>1</v>
      </c>
      <c r="N118" t="s">
        <v>2</v>
      </c>
      <c r="O118">
        <v>0</v>
      </c>
      <c r="P118" t="s">
        <v>17</v>
      </c>
      <c r="Q118">
        <v>13</v>
      </c>
      <c r="R118" t="s">
        <v>0</v>
      </c>
      <c r="S118">
        <v>23.4</v>
      </c>
      <c r="T118" t="s">
        <v>152</v>
      </c>
      <c r="U118">
        <v>1</v>
      </c>
      <c r="V118" t="s">
        <v>153</v>
      </c>
      <c r="W118">
        <v>5</v>
      </c>
      <c r="X118" t="s">
        <v>151</v>
      </c>
      <c r="Y118">
        <v>3060</v>
      </c>
      <c r="Z118" t="s">
        <v>1</v>
      </c>
      <c r="AA118" t="s">
        <v>162</v>
      </c>
      <c r="AB118" t="s">
        <v>4</v>
      </c>
      <c r="AC118">
        <v>1</v>
      </c>
      <c r="AD118" t="s">
        <v>5</v>
      </c>
      <c r="AE118">
        <v>0</v>
      </c>
    </row>
    <row r="119" spans="1:31" x14ac:dyDescent="0.25">
      <c r="A119" t="s">
        <v>131</v>
      </c>
      <c r="B119" t="s">
        <v>189</v>
      </c>
      <c r="C119">
        <v>1200</v>
      </c>
      <c r="D119" t="s">
        <v>190</v>
      </c>
      <c r="E119">
        <v>1000000</v>
      </c>
      <c r="F119" t="s">
        <v>191</v>
      </c>
      <c r="G119">
        <v>12345</v>
      </c>
      <c r="H119" t="s">
        <v>216</v>
      </c>
      <c r="I119">
        <v>1</v>
      </c>
      <c r="J119" t="s">
        <v>192</v>
      </c>
      <c r="K119">
        <v>1.0000000000000001E-5</v>
      </c>
      <c r="L119" t="s">
        <v>3</v>
      </c>
      <c r="M119">
        <v>-21.0303778</v>
      </c>
      <c r="N119" t="s">
        <v>2</v>
      </c>
      <c r="O119">
        <v>61.631223400000003</v>
      </c>
      <c r="P119" t="s">
        <v>17</v>
      </c>
      <c r="Q119">
        <v>116</v>
      </c>
      <c r="R119" t="s">
        <v>0</v>
      </c>
      <c r="S119">
        <v>1203.5999999999999</v>
      </c>
      <c r="T119" t="s">
        <v>152</v>
      </c>
      <c r="U119">
        <v>2</v>
      </c>
      <c r="V119" t="s">
        <v>153</v>
      </c>
      <c r="W119">
        <v>31</v>
      </c>
      <c r="X119" t="s">
        <v>151</v>
      </c>
      <c r="Y119">
        <v>93217</v>
      </c>
      <c r="Z119" t="s">
        <v>1</v>
      </c>
      <c r="AA119" t="e" cm="1">
        <f t="array" aca="1" ref="AA119" ca="1">-5.8731236824649+(2.3407392064023*V1)+((-0.0012242784436*V1)*pow(LOG(V2),-1))+(((0.5434186894343*V1)*V2)*SIN((2.0590605168615*LOG(((V3*pow(V2,-1))+(pow(V1,2)*pow(V2,-1)))))))+(((0.0000370439223*pow(V3,4))*pow((v0+V1),4))*pow(((V1*pow((-0.5+V4),-1))+(pow((-0.5+V4),-1)*LOG(V2))),-2))+(((-0.0000032793402*pow(V2,-1))*pow((-0.5+V3),4.4))*pow((v0+V4),5.28))+((((1.1461017383704*v0)*V3)*pow(V2,-1))*SIN((2.0590605168615*LOG(((V3*pow(V2,-1))+(pow(V1,2)*pow(V2,-1)))))))</f>
        <v>#VALUE!</v>
      </c>
      <c r="AB119" t="s">
        <v>4</v>
      </c>
      <c r="AC119">
        <v>-14.5098793</v>
      </c>
      <c r="AD119" t="s">
        <v>5</v>
      </c>
      <c r="AE119">
        <v>51.002592300000003</v>
      </c>
    </row>
    <row r="120" spans="1:31" x14ac:dyDescent="0.25">
      <c r="A120" t="s">
        <v>124</v>
      </c>
      <c r="B120" t="s">
        <v>189</v>
      </c>
      <c r="C120">
        <v>1200</v>
      </c>
      <c r="D120" t="s">
        <v>190</v>
      </c>
      <c r="E120">
        <v>1000000</v>
      </c>
      <c r="F120" t="s">
        <v>191</v>
      </c>
      <c r="G120">
        <v>12345</v>
      </c>
      <c r="H120" t="s">
        <v>216</v>
      </c>
      <c r="I120">
        <v>1</v>
      </c>
      <c r="J120" t="s">
        <v>192</v>
      </c>
      <c r="K120">
        <v>1.0000000000000001E-5</v>
      </c>
      <c r="L120" t="s">
        <v>3</v>
      </c>
      <c r="M120">
        <v>0.99976180000000003</v>
      </c>
      <c r="N120" t="s">
        <v>2</v>
      </c>
      <c r="O120">
        <v>0.22477259999999999</v>
      </c>
      <c r="P120" t="s">
        <v>17</v>
      </c>
      <c r="Q120">
        <v>98</v>
      </c>
      <c r="R120" t="s">
        <v>0</v>
      </c>
      <c r="S120">
        <v>1203.0999999999999</v>
      </c>
      <c r="T120" t="s">
        <v>152</v>
      </c>
      <c r="U120">
        <v>1</v>
      </c>
      <c r="V120" t="s">
        <v>153</v>
      </c>
      <c r="W120">
        <v>29</v>
      </c>
      <c r="X120" t="s">
        <v>151</v>
      </c>
      <c r="Y120">
        <v>92148</v>
      </c>
      <c r="Z120" t="s">
        <v>1</v>
      </c>
      <c r="AA120" t="s">
        <v>366</v>
      </c>
      <c r="AB120" t="s">
        <v>4</v>
      </c>
      <c r="AC120">
        <v>0.99974980000000002</v>
      </c>
      <c r="AD120" t="s">
        <v>5</v>
      </c>
      <c r="AE120">
        <v>0.2280894</v>
      </c>
    </row>
    <row r="121" spans="1:31" x14ac:dyDescent="0.25">
      <c r="A121" t="s">
        <v>128</v>
      </c>
      <c r="B121" t="s">
        <v>189</v>
      </c>
      <c r="C121">
        <v>1200</v>
      </c>
      <c r="D121" t="s">
        <v>190</v>
      </c>
      <c r="E121">
        <v>1000000</v>
      </c>
      <c r="F121" t="s">
        <v>191</v>
      </c>
      <c r="G121">
        <v>12345</v>
      </c>
      <c r="H121" t="s">
        <v>216</v>
      </c>
      <c r="I121">
        <v>1</v>
      </c>
      <c r="J121" t="s">
        <v>192</v>
      </c>
      <c r="K121">
        <v>1.0000000000000001E-5</v>
      </c>
      <c r="L121" t="s">
        <v>3</v>
      </c>
      <c r="M121" t="e" cm="1">
        <f t="array" ref="M121">-inf</f>
        <v>#NAME?</v>
      </c>
      <c r="N121" t="s">
        <v>2</v>
      </c>
      <c r="O121" t="s">
        <v>201</v>
      </c>
      <c r="P121" t="s">
        <v>17</v>
      </c>
      <c r="Q121" t="s">
        <v>201</v>
      </c>
      <c r="R121" t="s">
        <v>0</v>
      </c>
      <c r="S121">
        <v>1201.4000000000001</v>
      </c>
      <c r="T121" t="s">
        <v>152</v>
      </c>
      <c r="U121">
        <v>1</v>
      </c>
      <c r="V121" t="s">
        <v>153</v>
      </c>
      <c r="W121">
        <v>37</v>
      </c>
      <c r="X121" t="s">
        <v>151</v>
      </c>
      <c r="Y121">
        <v>102068</v>
      </c>
      <c r="Z121" t="s">
        <v>1</v>
      </c>
      <c r="AA121" t="e" cm="1">
        <f t="array" aca="1" ref="AA121" ca="1">-0.4145917892881+(10.8918571284382*LOG(((-0.5*ASIN(pow(((((-0.25*V1)+(-0.5*v0))+(V2*V3))+(((0.5*v0)*V1)*pow(V3,-1))),-1)))+(V3*ASIN(pow(V2,-1))))))+(1.0192153331831*ASIN(pow(((((-0.25*V1)+(-0.5*v0))+(V2*V3))+(((0.5*v0)*V1)*pow(V3,-1))),-1)))+(31.0565510829769*pow(V3,-1))+(-28.5460676758435*pow(V2,-1))+(((0.043745102717*v0)*pow(V3,-2))*pow(V4,2))+((((-0.3858533924793*v0)*V1)*pow(V4,1))*LOG((V3*ASIN(pow(V2,-1)))))</f>
        <v>#NAME?</v>
      </c>
      <c r="AB121" t="s">
        <v>4</v>
      </c>
      <c r="AC121" t="s">
        <v>5</v>
      </c>
    </row>
    <row r="122" spans="1:31" x14ac:dyDescent="0.25">
      <c r="A122" t="s">
        <v>138</v>
      </c>
      <c r="B122" t="s">
        <v>189</v>
      </c>
      <c r="C122">
        <v>1200</v>
      </c>
      <c r="D122" t="s">
        <v>190</v>
      </c>
      <c r="E122">
        <v>1000000</v>
      </c>
      <c r="F122" t="s">
        <v>191</v>
      </c>
      <c r="G122">
        <v>12345</v>
      </c>
      <c r="H122" t="s">
        <v>216</v>
      </c>
      <c r="I122">
        <v>1</v>
      </c>
      <c r="J122" t="s">
        <v>192</v>
      </c>
      <c r="K122">
        <v>1.0000000000000001E-5</v>
      </c>
      <c r="L122" t="s">
        <v>3</v>
      </c>
      <c r="M122">
        <v>1</v>
      </c>
      <c r="N122" t="s">
        <v>2</v>
      </c>
      <c r="O122">
        <v>0</v>
      </c>
      <c r="P122" t="s">
        <v>17</v>
      </c>
      <c r="Q122">
        <v>18</v>
      </c>
      <c r="R122" t="s">
        <v>0</v>
      </c>
      <c r="S122">
        <v>44.3</v>
      </c>
      <c r="T122" t="s">
        <v>152</v>
      </c>
      <c r="U122">
        <v>1</v>
      </c>
      <c r="V122" t="s">
        <v>153</v>
      </c>
      <c r="W122">
        <v>6</v>
      </c>
      <c r="X122" t="s">
        <v>151</v>
      </c>
      <c r="Y122">
        <v>4924</v>
      </c>
      <c r="Z122" t="s">
        <v>1</v>
      </c>
      <c r="AA122" t="s">
        <v>188</v>
      </c>
      <c r="AB122" t="s">
        <v>4</v>
      </c>
      <c r="AC122">
        <v>1</v>
      </c>
      <c r="AD122" t="s">
        <v>5</v>
      </c>
      <c r="AE122">
        <v>0</v>
      </c>
    </row>
    <row r="123" spans="1:31" x14ac:dyDescent="0.25">
      <c r="A123" t="s">
        <v>134</v>
      </c>
      <c r="B123" t="s">
        <v>189</v>
      </c>
      <c r="C123">
        <v>1200</v>
      </c>
      <c r="D123" t="s">
        <v>190</v>
      </c>
      <c r="E123">
        <v>1000000</v>
      </c>
      <c r="F123" t="s">
        <v>191</v>
      </c>
      <c r="G123">
        <v>12345</v>
      </c>
      <c r="H123" t="s">
        <v>216</v>
      </c>
      <c r="I123">
        <v>1</v>
      </c>
      <c r="J123" t="s">
        <v>192</v>
      </c>
      <c r="K123">
        <v>1.0000000000000001E-5</v>
      </c>
      <c r="L123" t="s">
        <v>3</v>
      </c>
      <c r="M123">
        <v>1</v>
      </c>
      <c r="N123" t="s">
        <v>2</v>
      </c>
      <c r="O123">
        <v>0</v>
      </c>
      <c r="P123" t="s">
        <v>17</v>
      </c>
      <c r="Q123">
        <v>36</v>
      </c>
      <c r="R123" t="s">
        <v>0</v>
      </c>
      <c r="S123">
        <v>500</v>
      </c>
      <c r="T123" t="s">
        <v>152</v>
      </c>
      <c r="U123">
        <v>3</v>
      </c>
      <c r="V123" t="s">
        <v>153</v>
      </c>
      <c r="W123">
        <v>28</v>
      </c>
      <c r="X123" t="s">
        <v>151</v>
      </c>
      <c r="Y123">
        <v>56098</v>
      </c>
      <c r="Z123" t="s">
        <v>1</v>
      </c>
      <c r="AA123" t="s">
        <v>265</v>
      </c>
      <c r="AB123" t="s">
        <v>4</v>
      </c>
      <c r="AC123">
        <v>1</v>
      </c>
      <c r="AD123" t="s">
        <v>5</v>
      </c>
      <c r="AE123">
        <v>0</v>
      </c>
    </row>
    <row r="124" spans="1:31" x14ac:dyDescent="0.25">
      <c r="A124" t="s">
        <v>87</v>
      </c>
      <c r="B124" t="s">
        <v>189</v>
      </c>
      <c r="C124">
        <v>1200</v>
      </c>
      <c r="D124" t="s">
        <v>190</v>
      </c>
      <c r="E124">
        <v>1000000</v>
      </c>
      <c r="F124" t="s">
        <v>191</v>
      </c>
      <c r="G124">
        <v>12345</v>
      </c>
      <c r="H124" t="s">
        <v>216</v>
      </c>
      <c r="I124">
        <v>1</v>
      </c>
      <c r="J124" t="s">
        <v>192</v>
      </c>
      <c r="K124">
        <v>1.0000000000000001E-5</v>
      </c>
      <c r="L124" t="s">
        <v>3</v>
      </c>
      <c r="M124">
        <v>0.99847240000000004</v>
      </c>
      <c r="N124" t="s">
        <v>2</v>
      </c>
      <c r="O124">
        <v>1.7587599999999998E-2</v>
      </c>
      <c r="P124" t="s">
        <v>17</v>
      </c>
      <c r="Q124">
        <v>75</v>
      </c>
      <c r="R124" t="s">
        <v>0</v>
      </c>
      <c r="S124">
        <v>1201.4000000000001</v>
      </c>
      <c r="T124" t="s">
        <v>152</v>
      </c>
      <c r="U124">
        <v>1</v>
      </c>
      <c r="V124" t="s">
        <v>153</v>
      </c>
      <c r="W124">
        <v>27</v>
      </c>
      <c r="X124" t="s">
        <v>151</v>
      </c>
      <c r="Y124">
        <v>77553</v>
      </c>
      <c r="Z124" t="s">
        <v>1</v>
      </c>
      <c r="AA124" t="e" cm="1">
        <f t="array" aca="1" ref="AA124" ca="1">-4.937927005432+(1.1265786419305*SIN(((0.0640348241831*V1)*V3)))+(9.4805470837065*pow(V2,-0.2))+(-0.8223593477005*V2)+(-0.2107670213181*V1)+(-4.1820530491285*SIN(((1*pow(V2,-0.8))+(-0.8*SIN((LOG(((V1*V2)*pow(V3,-1.21)))*SIN(((0.1779632429514*v0)*pow(V2,-1)))))))))+(-0.0523909992649*V3)+(-0.1804747874424*pow(v0,-1))+((0.6146993674415*V2)*pow((1+v0),0.5))</f>
        <v>#VALUE!</v>
      </c>
      <c r="AB124" t="s">
        <v>4</v>
      </c>
      <c r="AC124">
        <v>0.99844659999999996</v>
      </c>
      <c r="AD124" t="s">
        <v>5</v>
      </c>
      <c r="AE124">
        <v>1.77071E-2</v>
      </c>
    </row>
    <row r="125" spans="1:31" x14ac:dyDescent="0.25">
      <c r="A125" t="s">
        <v>141</v>
      </c>
      <c r="B125" t="s">
        <v>189</v>
      </c>
      <c r="C125">
        <v>1200</v>
      </c>
      <c r="D125" t="s">
        <v>190</v>
      </c>
      <c r="E125">
        <v>1000000</v>
      </c>
      <c r="F125" t="s">
        <v>191</v>
      </c>
      <c r="G125">
        <v>12345</v>
      </c>
      <c r="H125" t="s">
        <v>216</v>
      </c>
      <c r="I125">
        <v>1</v>
      </c>
      <c r="J125" t="s">
        <v>192</v>
      </c>
      <c r="K125">
        <v>1.0000000000000001E-5</v>
      </c>
      <c r="L125" t="s">
        <v>3</v>
      </c>
      <c r="M125">
        <v>0.99412880000000003</v>
      </c>
      <c r="N125" t="s">
        <v>2</v>
      </c>
      <c r="O125">
        <v>1.0975542</v>
      </c>
      <c r="P125" t="s">
        <v>17</v>
      </c>
      <c r="Q125">
        <v>81</v>
      </c>
      <c r="R125" t="s">
        <v>0</v>
      </c>
      <c r="S125">
        <v>1202.5999999999999</v>
      </c>
      <c r="T125" t="s">
        <v>152</v>
      </c>
      <c r="U125">
        <v>1</v>
      </c>
      <c r="V125" t="s">
        <v>153</v>
      </c>
      <c r="W125">
        <v>23</v>
      </c>
      <c r="X125" t="s">
        <v>151</v>
      </c>
      <c r="Y125">
        <v>88379</v>
      </c>
      <c r="Z125" t="s">
        <v>1</v>
      </c>
      <c r="AA125" t="s">
        <v>367</v>
      </c>
      <c r="AB125" t="s">
        <v>4</v>
      </c>
      <c r="AC125">
        <v>0.99414420000000003</v>
      </c>
      <c r="AD125" t="s">
        <v>5</v>
      </c>
      <c r="AE125">
        <v>1.1030865999999999</v>
      </c>
    </row>
    <row r="126" spans="1:31" x14ac:dyDescent="0.25">
      <c r="A126" t="s">
        <v>148</v>
      </c>
      <c r="B126" t="s">
        <v>189</v>
      </c>
      <c r="C126">
        <v>1200</v>
      </c>
      <c r="D126" t="s">
        <v>190</v>
      </c>
      <c r="E126">
        <v>1000000</v>
      </c>
      <c r="F126" t="s">
        <v>191</v>
      </c>
      <c r="G126">
        <v>12345</v>
      </c>
      <c r="H126" t="s">
        <v>216</v>
      </c>
      <c r="I126">
        <v>1</v>
      </c>
      <c r="J126" t="s">
        <v>192</v>
      </c>
      <c r="K126">
        <v>1.0000000000000001E-5</v>
      </c>
      <c r="L126" t="s">
        <v>3</v>
      </c>
      <c r="M126">
        <v>0.93371099999999996</v>
      </c>
      <c r="N126" t="s">
        <v>2</v>
      </c>
      <c r="O126">
        <v>4.0385666000000002</v>
      </c>
      <c r="P126" t="s">
        <v>17</v>
      </c>
      <c r="Q126">
        <v>131</v>
      </c>
      <c r="R126" t="s">
        <v>0</v>
      </c>
      <c r="S126">
        <v>1202.5999999999999</v>
      </c>
      <c r="T126" t="s">
        <v>152</v>
      </c>
      <c r="U126">
        <v>1</v>
      </c>
      <c r="V126" t="s">
        <v>153</v>
      </c>
      <c r="W126">
        <v>25</v>
      </c>
      <c r="X126" t="s">
        <v>151</v>
      </c>
      <c r="Y126">
        <v>101774</v>
      </c>
      <c r="Z126" t="s">
        <v>1</v>
      </c>
      <c r="AA126" t="s">
        <v>368</v>
      </c>
      <c r="AB126" t="s">
        <v>4</v>
      </c>
      <c r="AC126">
        <v>0.93624839999999998</v>
      </c>
      <c r="AD126" t="s">
        <v>5</v>
      </c>
      <c r="AE126">
        <v>3.2173495999999999</v>
      </c>
    </row>
    <row r="127" spans="1:31" x14ac:dyDescent="0.25">
      <c r="A127" t="s">
        <v>144</v>
      </c>
      <c r="B127" t="s">
        <v>189</v>
      </c>
      <c r="C127">
        <v>1200</v>
      </c>
      <c r="D127" t="s">
        <v>190</v>
      </c>
      <c r="E127">
        <v>1000000</v>
      </c>
      <c r="F127" t="s">
        <v>191</v>
      </c>
      <c r="G127">
        <v>12345</v>
      </c>
      <c r="H127" t="s">
        <v>216</v>
      </c>
      <c r="I127">
        <v>1</v>
      </c>
      <c r="J127" t="s">
        <v>192</v>
      </c>
      <c r="K127">
        <v>1.0000000000000001E-5</v>
      </c>
      <c r="L127" t="s">
        <v>3</v>
      </c>
      <c r="M127">
        <v>0.94773770000000002</v>
      </c>
      <c r="N127" t="s">
        <v>2</v>
      </c>
      <c r="O127">
        <v>0.14931630000000001</v>
      </c>
      <c r="P127" t="s">
        <v>17</v>
      </c>
      <c r="Q127">
        <v>91</v>
      </c>
      <c r="R127" t="s">
        <v>0</v>
      </c>
      <c r="S127">
        <v>1200.7</v>
      </c>
      <c r="T127" t="s">
        <v>152</v>
      </c>
      <c r="U127">
        <v>1</v>
      </c>
      <c r="V127" t="s">
        <v>153</v>
      </c>
      <c r="W127">
        <v>24</v>
      </c>
      <c r="X127" t="s">
        <v>151</v>
      </c>
      <c r="Y127">
        <v>90439</v>
      </c>
      <c r="Z127" t="s">
        <v>1</v>
      </c>
      <c r="AA127" t="s">
        <v>369</v>
      </c>
      <c r="AB127" t="s">
        <v>4</v>
      </c>
      <c r="AC127">
        <v>0.94570980000000004</v>
      </c>
      <c r="AD127" t="s">
        <v>5</v>
      </c>
      <c r="AE127">
        <v>0.151255</v>
      </c>
    </row>
    <row r="128" spans="1:31" x14ac:dyDescent="0.25">
      <c r="A128" t="s">
        <v>97</v>
      </c>
      <c r="B128" t="s">
        <v>189</v>
      </c>
      <c r="C128">
        <v>1200</v>
      </c>
      <c r="D128" t="s">
        <v>190</v>
      </c>
      <c r="E128">
        <v>1000000</v>
      </c>
      <c r="F128" t="s">
        <v>191</v>
      </c>
      <c r="G128">
        <v>12345</v>
      </c>
      <c r="H128" t="s">
        <v>216</v>
      </c>
      <c r="I128">
        <v>1</v>
      </c>
      <c r="J128" t="s">
        <v>192</v>
      </c>
      <c r="K128">
        <v>1.0000000000000001E-5</v>
      </c>
      <c r="L128" t="s">
        <v>3</v>
      </c>
      <c r="M128" t="e" cm="1">
        <f t="array" ref="M128">-inf</f>
        <v>#NAME?</v>
      </c>
      <c r="N128" t="s">
        <v>2</v>
      </c>
      <c r="O128" t="s">
        <v>201</v>
      </c>
      <c r="P128" t="s">
        <v>17</v>
      </c>
      <c r="Q128" t="s">
        <v>201</v>
      </c>
      <c r="R128" t="s">
        <v>0</v>
      </c>
      <c r="S128">
        <v>1201.3</v>
      </c>
      <c r="T128" t="s">
        <v>152</v>
      </c>
      <c r="U128">
        <v>1</v>
      </c>
      <c r="V128" t="s">
        <v>153</v>
      </c>
      <c r="W128">
        <v>34</v>
      </c>
      <c r="X128" t="s">
        <v>151</v>
      </c>
      <c r="Y128">
        <v>110681</v>
      </c>
      <c r="Z128" t="s">
        <v>1</v>
      </c>
      <c r="AA128" t="s">
        <v>370</v>
      </c>
      <c r="AB128" t="s">
        <v>4</v>
      </c>
      <c r="AC128" t="s">
        <v>5</v>
      </c>
    </row>
    <row r="129" spans="1:31" x14ac:dyDescent="0.25">
      <c r="A129" t="s">
        <v>107</v>
      </c>
      <c r="B129" t="s">
        <v>189</v>
      </c>
      <c r="C129">
        <v>1200</v>
      </c>
      <c r="D129" t="s">
        <v>190</v>
      </c>
      <c r="E129">
        <v>1000000</v>
      </c>
      <c r="F129" t="s">
        <v>191</v>
      </c>
      <c r="G129">
        <v>12345</v>
      </c>
      <c r="H129" t="s">
        <v>216</v>
      </c>
      <c r="I129">
        <v>1</v>
      </c>
      <c r="J129" t="s">
        <v>192</v>
      </c>
      <c r="K129">
        <v>1.0000000000000001E-5</v>
      </c>
      <c r="L129" t="s">
        <v>3</v>
      </c>
      <c r="M129">
        <v>1</v>
      </c>
      <c r="N129" t="s">
        <v>2</v>
      </c>
      <c r="O129">
        <v>0</v>
      </c>
      <c r="P129" t="s">
        <v>17</v>
      </c>
      <c r="Q129">
        <v>24</v>
      </c>
      <c r="R129" t="s">
        <v>0</v>
      </c>
      <c r="S129">
        <v>209.9</v>
      </c>
      <c r="T129" t="s">
        <v>152</v>
      </c>
      <c r="U129">
        <v>1</v>
      </c>
      <c r="V129" t="s">
        <v>153</v>
      </c>
      <c r="W129">
        <v>14</v>
      </c>
      <c r="X129" t="s">
        <v>151</v>
      </c>
      <c r="Y129">
        <v>20856</v>
      </c>
      <c r="Z129" t="s">
        <v>1</v>
      </c>
      <c r="AA129" t="s">
        <v>204</v>
      </c>
      <c r="AB129" t="s">
        <v>4</v>
      </c>
      <c r="AC129">
        <v>1</v>
      </c>
      <c r="AD129" t="s">
        <v>5</v>
      </c>
      <c r="AE129">
        <v>0</v>
      </c>
    </row>
    <row r="130" spans="1:31" x14ac:dyDescent="0.25">
      <c r="A130" t="s">
        <v>117</v>
      </c>
      <c r="B130" t="s">
        <v>189</v>
      </c>
      <c r="C130">
        <v>1200</v>
      </c>
      <c r="D130" t="s">
        <v>190</v>
      </c>
      <c r="E130">
        <v>1000000</v>
      </c>
      <c r="F130" t="s">
        <v>191</v>
      </c>
      <c r="G130">
        <v>12345</v>
      </c>
      <c r="H130" t="s">
        <v>216</v>
      </c>
      <c r="I130">
        <v>1</v>
      </c>
      <c r="J130" t="s">
        <v>192</v>
      </c>
      <c r="K130">
        <v>1.0000000000000001E-5</v>
      </c>
      <c r="L130" t="s">
        <v>3</v>
      </c>
      <c r="M130">
        <v>0.9999538</v>
      </c>
      <c r="N130" t="s">
        <v>2</v>
      </c>
      <c r="O130">
        <v>3.3876000000000002E-3</v>
      </c>
      <c r="P130" t="s">
        <v>17</v>
      </c>
      <c r="Q130">
        <v>119</v>
      </c>
      <c r="R130" t="s">
        <v>0</v>
      </c>
      <c r="S130">
        <v>1201.7</v>
      </c>
      <c r="T130" t="s">
        <v>152</v>
      </c>
      <c r="U130">
        <v>2</v>
      </c>
      <c r="V130" t="s">
        <v>153</v>
      </c>
      <c r="W130">
        <v>33</v>
      </c>
      <c r="X130" t="s">
        <v>151</v>
      </c>
      <c r="Y130">
        <v>109140</v>
      </c>
      <c r="Z130" t="s">
        <v>1</v>
      </c>
      <c r="AA130" t="s">
        <v>371</v>
      </c>
      <c r="AB130" t="s">
        <v>4</v>
      </c>
      <c r="AC130">
        <v>0.99995630000000002</v>
      </c>
      <c r="AD130" t="s">
        <v>5</v>
      </c>
      <c r="AE130">
        <v>3.2678999999999998E-3</v>
      </c>
    </row>
    <row r="131" spans="1:31" x14ac:dyDescent="0.25">
      <c r="A131" t="s">
        <v>127</v>
      </c>
      <c r="B131" t="s">
        <v>189</v>
      </c>
      <c r="C131">
        <v>1200</v>
      </c>
      <c r="D131" t="s">
        <v>190</v>
      </c>
      <c r="E131">
        <v>1000000</v>
      </c>
      <c r="F131" t="s">
        <v>191</v>
      </c>
      <c r="G131">
        <v>12345</v>
      </c>
      <c r="H131" t="s">
        <v>216</v>
      </c>
      <c r="I131">
        <v>1</v>
      </c>
      <c r="J131" t="s">
        <v>192</v>
      </c>
      <c r="K131">
        <v>1.0000000000000001E-5</v>
      </c>
      <c r="L131" t="s">
        <v>3</v>
      </c>
      <c r="M131">
        <v>1</v>
      </c>
      <c r="N131" t="s">
        <v>2</v>
      </c>
      <c r="O131">
        <v>0</v>
      </c>
      <c r="P131" t="s">
        <v>17</v>
      </c>
      <c r="Q131">
        <v>24</v>
      </c>
      <c r="R131" t="s">
        <v>0</v>
      </c>
      <c r="S131">
        <v>116.4</v>
      </c>
      <c r="T131" t="s">
        <v>152</v>
      </c>
      <c r="U131">
        <v>1</v>
      </c>
      <c r="V131" t="s">
        <v>153</v>
      </c>
      <c r="W131">
        <v>10</v>
      </c>
      <c r="X131" t="s">
        <v>151</v>
      </c>
      <c r="Y131">
        <v>14698</v>
      </c>
      <c r="Z131" t="s">
        <v>1</v>
      </c>
      <c r="AA131" t="s">
        <v>187</v>
      </c>
      <c r="AB131" t="s">
        <v>4</v>
      </c>
      <c r="AC131">
        <v>1</v>
      </c>
      <c r="AD131" t="s">
        <v>5</v>
      </c>
      <c r="AE131">
        <v>0</v>
      </c>
    </row>
    <row r="132" spans="1:31" x14ac:dyDescent="0.25">
      <c r="A132" t="s">
        <v>137</v>
      </c>
      <c r="B132" t="s">
        <v>189</v>
      </c>
      <c r="C132">
        <v>1200</v>
      </c>
      <c r="D132" t="s">
        <v>190</v>
      </c>
      <c r="E132">
        <v>1000000</v>
      </c>
      <c r="F132" t="s">
        <v>191</v>
      </c>
      <c r="G132">
        <v>12345</v>
      </c>
      <c r="H132" t="s">
        <v>216</v>
      </c>
      <c r="I132">
        <v>1</v>
      </c>
      <c r="J132" t="s">
        <v>192</v>
      </c>
      <c r="K132">
        <v>1.0000000000000001E-5</v>
      </c>
      <c r="L132" t="s">
        <v>3</v>
      </c>
      <c r="M132">
        <v>0.99850340000000004</v>
      </c>
      <c r="N132" t="s">
        <v>2</v>
      </c>
      <c r="O132">
        <v>0.18182429999999999</v>
      </c>
      <c r="P132" t="s">
        <v>17</v>
      </c>
      <c r="Q132">
        <v>107</v>
      </c>
      <c r="R132" t="s">
        <v>0</v>
      </c>
      <c r="S132">
        <v>1203.9000000000001</v>
      </c>
      <c r="T132" t="s">
        <v>152</v>
      </c>
      <c r="U132">
        <v>1</v>
      </c>
      <c r="V132" t="s">
        <v>153</v>
      </c>
      <c r="W132">
        <v>25</v>
      </c>
      <c r="X132" t="s">
        <v>151</v>
      </c>
      <c r="Y132">
        <v>93744</v>
      </c>
      <c r="Z132" t="s">
        <v>1</v>
      </c>
      <c r="AA132" t="s">
        <v>372</v>
      </c>
      <c r="AB132" t="s">
        <v>4</v>
      </c>
      <c r="AC132">
        <v>0.99851369999999995</v>
      </c>
      <c r="AD132" t="s">
        <v>5</v>
      </c>
      <c r="AE132">
        <v>0.17743539999999999</v>
      </c>
    </row>
    <row r="133" spans="1:31" x14ac:dyDescent="0.25">
      <c r="A133" t="s">
        <v>147</v>
      </c>
      <c r="B133" t="s">
        <v>189</v>
      </c>
      <c r="C133">
        <v>1200</v>
      </c>
      <c r="D133" t="s">
        <v>190</v>
      </c>
      <c r="E133">
        <v>1000000</v>
      </c>
      <c r="F133" t="s">
        <v>191</v>
      </c>
      <c r="G133">
        <v>12345</v>
      </c>
      <c r="H133" t="s">
        <v>216</v>
      </c>
      <c r="I133">
        <v>1</v>
      </c>
      <c r="J133" t="s">
        <v>192</v>
      </c>
      <c r="K133">
        <v>1.0000000000000001E-5</v>
      </c>
      <c r="L133" t="s">
        <v>3</v>
      </c>
      <c r="M133">
        <v>0.99968069999999998</v>
      </c>
      <c r="N133" t="s">
        <v>2</v>
      </c>
      <c r="O133">
        <v>0.21147079999999999</v>
      </c>
      <c r="P133" t="s">
        <v>17</v>
      </c>
      <c r="Q133">
        <v>116</v>
      </c>
      <c r="R133" t="s">
        <v>0</v>
      </c>
      <c r="S133">
        <v>1201.7</v>
      </c>
      <c r="T133" t="s">
        <v>152</v>
      </c>
      <c r="U133">
        <v>1</v>
      </c>
      <c r="V133" t="s">
        <v>153</v>
      </c>
      <c r="W133">
        <v>31</v>
      </c>
      <c r="X133" t="s">
        <v>151</v>
      </c>
      <c r="Y133">
        <v>109550</v>
      </c>
      <c r="Z133" t="s">
        <v>1</v>
      </c>
      <c r="AA133" t="s">
        <v>373</v>
      </c>
      <c r="AB133" t="s">
        <v>4</v>
      </c>
      <c r="AC133">
        <v>0.99969710000000001</v>
      </c>
      <c r="AD133" t="s">
        <v>5</v>
      </c>
      <c r="AE133">
        <v>0.2059308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Results</vt:lpstr>
      <vt:lpstr>10 seeds 7200s</vt:lpstr>
      <vt:lpstr>Checkpoint 7</vt:lpstr>
      <vt:lpstr>Tuning</vt:lpstr>
      <vt:lpstr>Final results</vt:lpstr>
      <vt:lpstr>0.001</vt:lpstr>
      <vt:lpstr>0.0005</vt:lpstr>
      <vt:lpstr>0.0001</vt:lpstr>
      <vt:lpstr>0.00001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</dc:creator>
  <cp:lastModifiedBy>Aleksandar</cp:lastModifiedBy>
  <dcterms:created xsi:type="dcterms:W3CDTF">2015-06-05T18:17:20Z</dcterms:created>
  <dcterms:modified xsi:type="dcterms:W3CDTF">2022-09-05T12:33:29Z</dcterms:modified>
</cp:coreProperties>
</file>