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tas\Google Drive\prog\git\Shootings\"/>
    </mc:Choice>
  </mc:AlternateContent>
  <xr:revisionPtr revIDLastSave="0" documentId="13_ncr:1_{17B79FA4-51DE-48F9-95AC-3EF39872D2B2}" xr6:coauthVersionLast="46" xr6:coauthVersionMax="46" xr10:uidLastSave="{00000000-0000-0000-0000-000000000000}"/>
  <bookViews>
    <workbookView xWindow="-28920" yWindow="-15" windowWidth="29040" windowHeight="15840" activeTab="3" xr2:uid="{69948928-CE81-477C-A94D-782281A73142}"/>
  </bookViews>
  <sheets>
    <sheet name="0. Cover Sheet" sheetId="7" r:id="rId1"/>
    <sheet name="1. Raw Data" sheetId="1" r:id="rId2"/>
    <sheet name="2. Data and Exploration" sheetId="2" r:id="rId3"/>
    <sheet name="3. Exp Model" sheetId="3" r:id="rId4"/>
    <sheet name="4. Validation" sheetId="5" r:id="rId5"/>
  </sheets>
  <definedNames>
    <definedName name="_xlnm._FilterDatabase" localSheetId="1" hidden="1">'1. Raw Data'!$A$1:$F$103</definedName>
    <definedName name="_xlnm._FilterDatabase" localSheetId="4" hidden="1">'4. Validation'!$B$2:$B$105</definedName>
    <definedName name="_xlchart.v1.0" hidden="1">'2. Data and Exploration'!$C$2</definedName>
    <definedName name="_xlchart.v1.1" hidden="1">'2. Data and Exploration'!$C$3:$C$93</definedName>
    <definedName name="days_to_next_inc">'2. Data and Exploration'!$C$3:$C$103</definedName>
    <definedName name="mean">'2. Data and Exploration'!$J$22</definedName>
    <definedName name="n">'2. Data and Exploration'!$J$26</definedName>
    <definedName name="tau">'4. Validation'!$G$3</definedName>
    <definedName name="tau_dol">'3. Exp Model'!$C$11</definedName>
    <definedName name="tau_hor">'3. Exp Model'!$C$12</definedName>
  </definedNames>
  <calcPr calcId="181029"/>
  <pivotCaches>
    <pivotCache cacheId="1"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3" l="1"/>
  <c r="C11" i="3"/>
  <c r="C6" i="3"/>
  <c r="C23" i="3" l="1"/>
  <c r="C25" i="3" s="1"/>
  <c r="C27" i="3" s="1"/>
  <c r="O31" i="5" l="1"/>
  <c r="C17" i="3"/>
  <c r="C16" i="3"/>
  <c r="C20" i="3" l="1"/>
  <c r="B3" i="2"/>
  <c r="B4" i="2" l="1"/>
  <c r="C3" i="2" l="1"/>
  <c r="B5" i="2"/>
  <c r="C4" i="2" s="1"/>
  <c r="D4" i="2" l="1"/>
  <c r="D3" i="2"/>
  <c r="B6" i="2"/>
  <c r="C5" i="2" s="1"/>
  <c r="D5" i="2" l="1"/>
  <c r="B7" i="2"/>
  <c r="C6" i="2" s="1"/>
  <c r="B8" i="2" l="1"/>
  <c r="D6" i="2"/>
  <c r="B9" i="2" l="1"/>
  <c r="C7" i="2"/>
  <c r="D7" i="2" l="1"/>
  <c r="C8" i="2"/>
  <c r="B10" i="2"/>
  <c r="C9" i="2" s="1"/>
  <c r="D9" i="2" l="1"/>
  <c r="D8" i="2"/>
  <c r="B11" i="2"/>
  <c r="C10" i="2" l="1"/>
  <c r="B12" i="2"/>
  <c r="C11" i="2" s="1"/>
  <c r="D10" i="2" l="1"/>
  <c r="D11" i="2"/>
  <c r="B13" i="2"/>
  <c r="C12" i="2" s="1"/>
  <c r="D12" i="2" s="1"/>
  <c r="B14" i="2" l="1"/>
  <c r="C13" i="2" s="1"/>
  <c r="D13" i="2" l="1"/>
  <c r="B15" i="2"/>
  <c r="C14" i="2" l="1"/>
  <c r="B16" i="2"/>
  <c r="C15" i="2" s="1"/>
  <c r="D15" i="2" s="1"/>
  <c r="D14" i="2" l="1"/>
  <c r="B17" i="2"/>
  <c r="C16" i="2" s="1"/>
  <c r="D16" i="2" s="1"/>
  <c r="B18" i="2" l="1"/>
  <c r="C17" i="2" s="1"/>
  <c r="D17" i="2" s="1"/>
  <c r="B19" i="2" l="1"/>
  <c r="B20" i="2" l="1"/>
  <c r="C19" i="2" s="1"/>
  <c r="D19" i="2" s="1"/>
  <c r="C18" i="2"/>
  <c r="D18" i="2" l="1"/>
  <c r="B21" i="2"/>
  <c r="C20" i="2" l="1"/>
  <c r="B22" i="2"/>
  <c r="C21" i="2" s="1"/>
  <c r="D21" i="2" s="1"/>
  <c r="D20" i="2" l="1"/>
  <c r="B23" i="2"/>
  <c r="B24" i="2" l="1"/>
  <c r="C23" i="2" s="1"/>
  <c r="D23" i="2" s="1"/>
  <c r="C22" i="2"/>
  <c r="D22" i="2" l="1"/>
  <c r="B25" i="2"/>
  <c r="C24" i="2" s="1"/>
  <c r="D24" i="2" s="1"/>
  <c r="B26" i="2" l="1"/>
  <c r="C25" i="2" l="1"/>
  <c r="B27" i="2"/>
  <c r="C26" i="2" s="1"/>
  <c r="D26" i="2" s="1"/>
  <c r="D25" i="2" l="1"/>
  <c r="B28" i="2"/>
  <c r="C27" i="2" s="1"/>
  <c r="D27" i="2" s="1"/>
  <c r="B29" i="2" l="1"/>
  <c r="C28" i="2" l="1"/>
  <c r="B30" i="2"/>
  <c r="C29" i="2" s="1"/>
  <c r="D29" i="2" s="1"/>
  <c r="D28" i="2" l="1"/>
  <c r="B31" i="2"/>
  <c r="C30" i="2" s="1"/>
  <c r="D30" i="2" s="1"/>
  <c r="B32" i="2" l="1"/>
  <c r="C31" i="2" l="1"/>
  <c r="B33" i="2"/>
  <c r="C32" i="2" s="1"/>
  <c r="D32" i="2" s="1"/>
  <c r="D31" i="2" l="1"/>
  <c r="B34" i="2"/>
  <c r="B35" i="2" l="1"/>
  <c r="C33" i="2"/>
  <c r="D33" i="2" l="1"/>
  <c r="B36" i="2"/>
  <c r="C35" i="2" s="1"/>
  <c r="D35" i="2" s="1"/>
  <c r="C34" i="2"/>
  <c r="D34" i="2" s="1"/>
  <c r="B37" i="2" l="1"/>
  <c r="C36" i="2" l="1"/>
  <c r="B38" i="2"/>
  <c r="C37" i="2" s="1"/>
  <c r="D37" i="2" s="1"/>
  <c r="D36" i="2" l="1"/>
  <c r="B39" i="2"/>
  <c r="C38" i="2" l="1"/>
  <c r="B40" i="2"/>
  <c r="D38" i="2" l="1"/>
  <c r="C39" i="2"/>
  <c r="D39" i="2" s="1"/>
  <c r="B41" i="2"/>
  <c r="C40" i="2" s="1"/>
  <c r="D40" i="2" s="1"/>
  <c r="B42" i="2" l="1"/>
  <c r="C41" i="2" s="1"/>
  <c r="D41" i="2" s="1"/>
  <c r="B43" i="2" l="1"/>
  <c r="C42" i="2" s="1"/>
  <c r="D42" i="2" s="1"/>
  <c r="B44" i="2" l="1"/>
  <c r="C43" i="2" l="1"/>
  <c r="B45" i="2"/>
  <c r="C44" i="2" s="1"/>
  <c r="D43" i="2" l="1"/>
  <c r="D44" i="2"/>
  <c r="B46" i="2"/>
  <c r="C45" i="2" l="1"/>
  <c r="B47" i="2"/>
  <c r="C46" i="2" s="1"/>
  <c r="D46" i="2" s="1"/>
  <c r="D45" i="2" l="1"/>
  <c r="B48" i="2"/>
  <c r="C47" i="2" s="1"/>
  <c r="D47" i="2" s="1"/>
  <c r="B49" i="2" l="1"/>
  <c r="C48" i="2" s="1"/>
  <c r="D48" i="2" l="1"/>
  <c r="B50" i="2"/>
  <c r="B51" i="2" l="1"/>
  <c r="C49" i="2"/>
  <c r="D49" i="2" l="1"/>
  <c r="B52" i="2"/>
  <c r="C50" i="2"/>
  <c r="D50" i="2" s="1"/>
  <c r="B53" i="2" l="1"/>
  <c r="C52" i="2" s="1"/>
  <c r="D52" i="2" s="1"/>
  <c r="C51" i="2"/>
  <c r="D51" i="2" l="1"/>
  <c r="B54" i="2"/>
  <c r="C53" i="2" s="1"/>
  <c r="D53" i="2" l="1"/>
  <c r="B55" i="2"/>
  <c r="C54" i="2" l="1"/>
  <c r="B56" i="2"/>
  <c r="D54" i="2" l="1"/>
  <c r="C55" i="2"/>
  <c r="D55" i="2" s="1"/>
  <c r="B57" i="2"/>
  <c r="C56" i="2" l="1"/>
  <c r="B58" i="2"/>
  <c r="C57" i="2" s="1"/>
  <c r="D57" i="2" s="1"/>
  <c r="D56" i="2" l="1"/>
  <c r="B59" i="2"/>
  <c r="C58" i="2" l="1"/>
  <c r="B60" i="2"/>
  <c r="D58" i="2" l="1"/>
  <c r="C59" i="2"/>
  <c r="D59" i="2" s="1"/>
  <c r="B61" i="2"/>
  <c r="C60" i="2" s="1"/>
  <c r="D60" i="2" s="1"/>
  <c r="B62" i="2" l="1"/>
  <c r="C61" i="2" s="1"/>
  <c r="D61" i="2" s="1"/>
  <c r="B63" i="2" l="1"/>
  <c r="B64" i="2" l="1"/>
  <c r="C62" i="2"/>
  <c r="D62" i="2" l="1"/>
  <c r="B65" i="2"/>
  <c r="C63" i="2"/>
  <c r="D63" i="2" s="1"/>
  <c r="C64" i="2" l="1"/>
  <c r="D64" i="2" s="1"/>
  <c r="B66" i="2"/>
  <c r="C65" i="2" s="1"/>
  <c r="D65" i="2" s="1"/>
  <c r="B67" i="2" l="1"/>
  <c r="C66" i="2" l="1"/>
  <c r="B68" i="2"/>
  <c r="D66" i="2" l="1"/>
  <c r="B69" i="2"/>
  <c r="C68" i="2" s="1"/>
  <c r="D68" i="2" s="1"/>
  <c r="C67" i="2"/>
  <c r="D67" i="2" s="1"/>
  <c r="B70" i="2" l="1"/>
  <c r="B71" i="2" l="1"/>
  <c r="C70" i="2" s="1"/>
  <c r="C69" i="2"/>
  <c r="D70" i="2" l="1"/>
  <c r="D69" i="2"/>
  <c r="B72" i="2"/>
  <c r="B73" i="2" l="1"/>
  <c r="C72" i="2" s="1"/>
  <c r="D72" i="2" s="1"/>
  <c r="C71" i="2"/>
  <c r="D71" i="2" l="1"/>
  <c r="B74" i="2"/>
  <c r="C73" i="2" l="1"/>
  <c r="B75" i="2"/>
  <c r="C74" i="2" s="1"/>
  <c r="D74" i="2" s="1"/>
  <c r="D73" i="2" l="1"/>
  <c r="B76" i="2"/>
  <c r="C75" i="2" l="1"/>
  <c r="B77" i="2"/>
  <c r="C76" i="2" s="1"/>
  <c r="D76" i="2" s="1"/>
  <c r="D75" i="2" l="1"/>
  <c r="B78" i="2"/>
  <c r="C77" i="2" s="1"/>
  <c r="D77" i="2" s="1"/>
  <c r="B79" i="2" l="1"/>
  <c r="B80" i="2" l="1"/>
  <c r="C79" i="2" s="1"/>
  <c r="D79" i="2" s="1"/>
  <c r="C78" i="2"/>
  <c r="D78" i="2" l="1"/>
  <c r="B81" i="2"/>
  <c r="C80" i="2" l="1"/>
  <c r="B82" i="2"/>
  <c r="C81" i="2" s="1"/>
  <c r="D81" i="2" s="1"/>
  <c r="D80" i="2" l="1"/>
  <c r="B83" i="2"/>
  <c r="C82" i="2" s="1"/>
  <c r="D82" i="2" s="1"/>
  <c r="B84" i="2" l="1"/>
  <c r="C83" i="2" l="1"/>
  <c r="B85" i="2"/>
  <c r="D83" i="2" l="1"/>
  <c r="C84" i="2"/>
  <c r="D84" i="2" s="1"/>
  <c r="B86" i="2"/>
  <c r="C85" i="2" s="1"/>
  <c r="D85" i="2" s="1"/>
  <c r="B87" i="2" l="1"/>
  <c r="B88" i="2" l="1"/>
  <c r="C87" i="2" s="1"/>
  <c r="D87" i="2" s="1"/>
  <c r="C86" i="2"/>
  <c r="D86" i="2" l="1"/>
  <c r="B89" i="2"/>
  <c r="C88" i="2" l="1"/>
  <c r="B90" i="2"/>
  <c r="C89" i="2" s="1"/>
  <c r="D89" i="2" s="1"/>
  <c r="D88" i="2" l="1"/>
  <c r="B91" i="2"/>
  <c r="B92" i="2" l="1"/>
  <c r="C91" i="2" s="1"/>
  <c r="D91" i="2" s="1"/>
  <c r="C90" i="2"/>
  <c r="D90" i="2" l="1"/>
  <c r="B93" i="2"/>
  <c r="B94" i="2" l="1"/>
  <c r="C93" i="2" s="1"/>
  <c r="D93" i="2" s="1"/>
  <c r="C92" i="2"/>
  <c r="D92" i="2" l="1"/>
  <c r="B95" i="2"/>
  <c r="B96" i="2" l="1"/>
  <c r="C95" i="2" s="1"/>
  <c r="D95" i="2" s="1"/>
  <c r="C94" i="2"/>
  <c r="D94" i="2" l="1"/>
  <c r="B97" i="2"/>
  <c r="C96" i="2" l="1"/>
  <c r="B98" i="2"/>
  <c r="D96" i="2" l="1"/>
  <c r="C97" i="2"/>
  <c r="D97" i="2" s="1"/>
  <c r="B99" i="2"/>
  <c r="C98" i="2" l="1"/>
  <c r="D98" i="2" s="1"/>
  <c r="B100" i="2"/>
  <c r="C99" i="2" l="1"/>
  <c r="B101" i="2"/>
  <c r="D99" i="2" l="1"/>
  <c r="B102" i="2"/>
  <c r="C100" i="2"/>
  <c r="D100" i="2" s="1"/>
  <c r="B103" i="2" l="1"/>
  <c r="C102" i="2" s="1"/>
  <c r="B104" i="2"/>
  <c r="C101" i="2"/>
  <c r="D101" i="2" s="1"/>
  <c r="J38" i="2" l="1" a="1"/>
  <c r="J38" i="2" s="1"/>
  <c r="J41" i="2" a="1"/>
  <c r="J41" i="2" s="1"/>
  <c r="J35" i="2" a="1"/>
  <c r="J35" i="2" s="1"/>
  <c r="J36" i="2" a="1"/>
  <c r="J36" i="2" s="1"/>
  <c r="J30" i="2" a="1"/>
  <c r="J30" i="2" s="1"/>
  <c r="J33" i="2" a="1"/>
  <c r="J33" i="2" s="1"/>
  <c r="J40" i="2" a="1"/>
  <c r="J40" i="2" s="1"/>
  <c r="J34" i="2" a="1"/>
  <c r="J34" i="2" s="1"/>
  <c r="J39" i="2" a="1"/>
  <c r="J39" i="2" s="1"/>
  <c r="J32" i="2" a="1"/>
  <c r="J32" i="2" s="1"/>
  <c r="J31" i="2" a="1"/>
  <c r="J31" i="2" s="1"/>
  <c r="J37" i="2" a="1"/>
  <c r="J37" i="2" s="1"/>
  <c r="J11" i="2" a="1"/>
  <c r="J11" i="2" s="1"/>
  <c r="J12" i="2" a="1"/>
  <c r="J12" i="2" s="1"/>
  <c r="J16" i="2" a="1"/>
  <c r="J16" i="2" s="1"/>
  <c r="J13" i="2" a="1"/>
  <c r="J13" i="2" s="1"/>
  <c r="C103" i="2"/>
  <c r="J22" i="2" s="1"/>
  <c r="J14" i="2" a="1"/>
  <c r="J14" i="2" s="1"/>
  <c r="J15" i="2" a="1"/>
  <c r="J15" i="2" s="1"/>
  <c r="D102" i="2"/>
  <c r="J17" i="2" a="1"/>
  <c r="J17" i="2" s="1"/>
  <c r="J18" i="2" a="1"/>
  <c r="J18" i="2" s="1"/>
  <c r="J24" i="2" l="1"/>
  <c r="J25" i="2"/>
  <c r="J23" i="2"/>
  <c r="J21" i="2"/>
  <c r="C28" i="5" a="1"/>
  <c r="C28" i="5" s="1"/>
  <c r="C43" i="5" a="1"/>
  <c r="C43" i="5" s="1"/>
  <c r="C33" i="5" a="1"/>
  <c r="C33" i="5" s="1"/>
  <c r="C12" i="5" a="1"/>
  <c r="C12" i="5" s="1"/>
  <c r="C30" i="5" a="1"/>
  <c r="C30" i="5" s="1"/>
  <c r="C15" i="5" a="1"/>
  <c r="C15" i="5" s="1"/>
  <c r="C35" i="5" a="1"/>
  <c r="C35" i="5" s="1"/>
  <c r="C17" i="5" a="1"/>
  <c r="C17" i="5" s="1"/>
  <c r="C18" i="5" a="1"/>
  <c r="C18" i="5" s="1"/>
  <c r="C8" i="5" a="1"/>
  <c r="C8" i="5" s="1"/>
  <c r="C25" i="5" a="1"/>
  <c r="C25" i="5" s="1"/>
  <c r="C48" i="5" a="1"/>
  <c r="C48" i="5" s="1"/>
  <c r="C41" i="5" a="1"/>
  <c r="C41" i="5" s="1"/>
  <c r="C50" i="5" a="1"/>
  <c r="C50" i="5" s="1"/>
  <c r="C14" i="5" a="1"/>
  <c r="C14" i="5" s="1"/>
  <c r="C45" i="5" a="1"/>
  <c r="C45" i="5" s="1"/>
  <c r="C44" i="5" a="1"/>
  <c r="C44" i="5" s="1"/>
  <c r="C9" i="5" a="1"/>
  <c r="C9" i="5" s="1"/>
  <c r="C5" i="5" a="1"/>
  <c r="C5" i="5" s="1"/>
  <c r="C6" i="5" a="1"/>
  <c r="C6" i="5" s="1"/>
  <c r="C24" i="5" a="1"/>
  <c r="C24" i="5" s="1"/>
  <c r="C22" i="5" a="1"/>
  <c r="C22" i="5" s="1"/>
  <c r="C49" i="5" a="1"/>
  <c r="C49" i="5" s="1"/>
  <c r="C51" i="5" a="1"/>
  <c r="C51" i="5" s="1"/>
  <c r="C40" i="5" a="1"/>
  <c r="C40" i="5" s="1"/>
  <c r="G3" i="5"/>
  <c r="F103" i="2"/>
  <c r="F45" i="2"/>
  <c r="F86" i="2"/>
  <c r="F98" i="2"/>
  <c r="F81" i="2"/>
  <c r="F25" i="2"/>
  <c r="F12" i="2"/>
  <c r="F34" i="2"/>
  <c r="F46" i="2"/>
  <c r="F65" i="2"/>
  <c r="F43" i="2"/>
  <c r="F70" i="2"/>
  <c r="F91" i="2"/>
  <c r="F104" i="2"/>
  <c r="F4" i="2"/>
  <c r="F62" i="2"/>
  <c r="F24" i="2"/>
  <c r="F101" i="2"/>
  <c r="F60" i="2"/>
  <c r="F31" i="2"/>
  <c r="F23" i="2"/>
  <c r="F69" i="2"/>
  <c r="F63" i="2"/>
  <c r="F14" i="2"/>
  <c r="F52" i="2"/>
  <c r="F47" i="2"/>
  <c r="F72" i="2"/>
  <c r="F84" i="2"/>
  <c r="F82" i="2"/>
  <c r="F95" i="2"/>
  <c r="F88" i="2"/>
  <c r="F90" i="2"/>
  <c r="F29" i="2"/>
  <c r="F64" i="2"/>
  <c r="F20" i="2"/>
  <c r="F75" i="2"/>
  <c r="F67" i="2"/>
  <c r="F26" i="2"/>
  <c r="F11" i="2"/>
  <c r="F37" i="2"/>
  <c r="F77" i="2"/>
  <c r="F6" i="2"/>
  <c r="F30" i="2"/>
  <c r="F79" i="2"/>
  <c r="F13" i="2"/>
  <c r="F41" i="2"/>
  <c r="F28" i="2"/>
  <c r="F89" i="2"/>
  <c r="F18" i="2"/>
  <c r="F57" i="2"/>
  <c r="F85" i="2"/>
  <c r="F68" i="2"/>
  <c r="F35" i="2"/>
  <c r="F100" i="2"/>
  <c r="F38" i="2"/>
  <c r="F36" i="2"/>
  <c r="F50" i="2"/>
  <c r="F51" i="2"/>
  <c r="F15" i="2"/>
  <c r="F87" i="2"/>
  <c r="F22" i="2"/>
  <c r="F27" i="2"/>
  <c r="F61" i="2"/>
  <c r="F93" i="2"/>
  <c r="F5" i="2"/>
  <c r="F54" i="2"/>
  <c r="F83" i="2"/>
  <c r="F58" i="2"/>
  <c r="F8" i="2"/>
  <c r="F74" i="2"/>
  <c r="F9" i="2"/>
  <c r="J26" i="2"/>
  <c r="D25" i="5" s="1" a="1"/>
  <c r="D25" i="5" s="1"/>
  <c r="F59" i="2"/>
  <c r="F44" i="2"/>
  <c r="F56" i="2"/>
  <c r="F73" i="2"/>
  <c r="F10" i="2"/>
  <c r="F78" i="2"/>
  <c r="F40" i="2"/>
  <c r="F21" i="2"/>
  <c r="F49" i="2"/>
  <c r="F42" i="2"/>
  <c r="F102" i="2"/>
  <c r="F99" i="2"/>
  <c r="F71" i="2"/>
  <c r="F33" i="2"/>
  <c r="F76" i="2"/>
  <c r="F80" i="2"/>
  <c r="F92" i="2"/>
  <c r="F94" i="2"/>
  <c r="F17" i="2"/>
  <c r="F53" i="2"/>
  <c r="F55" i="2"/>
  <c r="F7" i="2"/>
  <c r="F66" i="2"/>
  <c r="F39" i="2"/>
  <c r="F32" i="2"/>
  <c r="F96" i="2"/>
  <c r="F16" i="2"/>
  <c r="F48" i="2"/>
  <c r="F19" i="2"/>
  <c r="F97" i="2"/>
  <c r="C52" i="5" a="1"/>
  <c r="C52" i="5" s="1"/>
  <c r="D31" i="5" a="1"/>
  <c r="D31" i="5" s="1"/>
  <c r="C54" i="5" a="1"/>
  <c r="C54" i="5" s="1"/>
  <c r="C39" i="5" a="1"/>
  <c r="C39" i="5" s="1"/>
  <c r="C11" i="5" a="1"/>
  <c r="C11" i="5" s="1"/>
  <c r="C38" i="5" a="1"/>
  <c r="C38" i="5" s="1"/>
  <c r="C21" i="5" a="1"/>
  <c r="C21" i="5" s="1"/>
  <c r="D29" i="5" a="1"/>
  <c r="D29" i="5" s="1"/>
  <c r="C55" i="5" a="1"/>
  <c r="C55" i="5" s="1"/>
  <c r="C37" i="5" a="1"/>
  <c r="C37" i="5" s="1"/>
  <c r="C19" i="5" a="1"/>
  <c r="C19" i="5" s="1"/>
  <c r="C27" i="5" a="1"/>
  <c r="C27" i="5" s="1"/>
  <c r="D34" i="5" a="1"/>
  <c r="D34" i="5" s="1"/>
  <c r="D53" i="5" a="1"/>
  <c r="D53" i="5" s="1"/>
  <c r="C13" i="5" a="1"/>
  <c r="C13" i="5" s="1"/>
  <c r="C53" i="5" a="1"/>
  <c r="C53" i="5" s="1"/>
  <c r="C10" i="5" a="1"/>
  <c r="C10" i="5" s="1"/>
  <c r="C7" i="5" a="1"/>
  <c r="C7" i="5" s="1"/>
  <c r="C29" i="5" a="1"/>
  <c r="C29" i="5" s="1"/>
  <c r="D46" i="5" a="1"/>
  <c r="D46" i="5" s="1"/>
  <c r="C36" i="5" a="1"/>
  <c r="C36" i="5" s="1"/>
  <c r="D36" i="5" a="1"/>
  <c r="D36" i="5" s="1"/>
  <c r="C16" i="5" a="1"/>
  <c r="C16" i="5" s="1"/>
  <c r="C47" i="5" a="1"/>
  <c r="C47" i="5" s="1"/>
  <c r="C32" i="5" a="1"/>
  <c r="C32" i="5" s="1"/>
  <c r="C34" i="5" a="1"/>
  <c r="C34" i="5" s="1"/>
  <c r="C26" i="5" a="1"/>
  <c r="C26" i="5" s="1"/>
  <c r="C56" i="5" a="1"/>
  <c r="C56" i="5" s="1"/>
  <c r="C23" i="5" a="1"/>
  <c r="C23" i="5" s="1"/>
  <c r="C46" i="5" a="1"/>
  <c r="C46" i="5" s="1"/>
  <c r="C42" i="5" a="1"/>
  <c r="C42" i="5" s="1"/>
  <c r="C20" i="5" a="1"/>
  <c r="C20" i="5" s="1"/>
  <c r="D43" i="5" a="1"/>
  <c r="D43" i="5" s="1"/>
  <c r="C31" i="5" a="1"/>
  <c r="C31" i="5" s="1"/>
  <c r="D103" i="2"/>
  <c r="D37" i="5" l="1" a="1"/>
  <c r="D37" i="5" s="1"/>
  <c r="D9" i="5" a="1"/>
  <c r="D9" i="5" s="1"/>
  <c r="D16" i="5" a="1"/>
  <c r="D16" i="5" s="1"/>
  <c r="D39" i="5" a="1"/>
  <c r="D39" i="5" s="1"/>
  <c r="D33" i="5" a="1"/>
  <c r="D33" i="5" s="1"/>
  <c r="D28" i="5" a="1"/>
  <c r="D28" i="5" s="1"/>
  <c r="D10" i="5" a="1"/>
  <c r="D10" i="5" s="1"/>
  <c r="D21" i="5" a="1"/>
  <c r="D21" i="5" s="1"/>
  <c r="D12" i="5" a="1"/>
  <c r="D12" i="5" s="1"/>
  <c r="D44" i="5" a="1"/>
  <c r="D44" i="5" s="1"/>
  <c r="D18" i="5" a="1"/>
  <c r="D18" i="5" s="1"/>
  <c r="D23" i="5" a="1"/>
  <c r="D23" i="5" s="1"/>
  <c r="D15" i="5" a="1"/>
  <c r="D15" i="5" s="1"/>
  <c r="D45" i="5" a="1"/>
  <c r="D45" i="5" s="1"/>
  <c r="D50" i="5" a="1"/>
  <c r="D50" i="5" s="1"/>
  <c r="D11" i="5" a="1"/>
  <c r="D11" i="5" s="1"/>
  <c r="D7" i="5" a="1"/>
  <c r="D7" i="5" s="1"/>
  <c r="D8" i="5" a="1"/>
  <c r="D8" i="5" s="1"/>
  <c r="D20" i="5" a="1"/>
  <c r="D20" i="5" s="1"/>
  <c r="D17" i="5" a="1"/>
  <c r="D17" i="5" s="1"/>
  <c r="D52" i="5" a="1"/>
  <c r="D52" i="5" s="1"/>
  <c r="D56" i="5" a="1"/>
  <c r="D56" i="5" s="1"/>
  <c r="D35" i="5" a="1"/>
  <c r="D35" i="5" s="1"/>
  <c r="D49" i="5" a="1"/>
  <c r="D49" i="5" s="1"/>
  <c r="D6" i="5" a="1"/>
  <c r="D6" i="5" s="1"/>
  <c r="D32" i="5" a="1"/>
  <c r="D32" i="5" s="1"/>
  <c r="D13" i="5" a="1"/>
  <c r="D13" i="5" s="1"/>
  <c r="D54" i="5" a="1"/>
  <c r="D54" i="5" s="1"/>
  <c r="D14" i="5" a="1"/>
  <c r="D14" i="5" s="1"/>
  <c r="D24" i="5" a="1"/>
  <c r="D24" i="5" s="1"/>
  <c r="D42" i="5" a="1"/>
  <c r="D42" i="5" s="1"/>
  <c r="D22" i="5" a="1"/>
  <c r="D22" i="5" s="1"/>
  <c r="D38" i="5" a="1"/>
  <c r="D38" i="5" s="1"/>
  <c r="G3" i="2"/>
  <c r="C10" i="3"/>
  <c r="G57" i="2"/>
  <c r="G18" i="2"/>
  <c r="G82" i="2"/>
  <c r="G51" i="2"/>
  <c r="G12" i="2"/>
  <c r="G76" i="2"/>
  <c r="G37" i="2"/>
  <c r="G101" i="2"/>
  <c r="G46" i="2"/>
  <c r="G7" i="2"/>
  <c r="G65" i="2"/>
  <c r="G26" i="2"/>
  <c r="G90" i="2"/>
  <c r="G59" i="2"/>
  <c r="G20" i="2"/>
  <c r="G84" i="2"/>
  <c r="G45" i="2"/>
  <c r="G8" i="2"/>
  <c r="G80" i="2"/>
  <c r="G54" i="2"/>
  <c r="G15" i="2"/>
  <c r="G79" i="2"/>
  <c r="G9" i="2"/>
  <c r="G73" i="2"/>
  <c r="G34" i="2"/>
  <c r="G98" i="2"/>
  <c r="G67" i="2"/>
  <c r="G28" i="2"/>
  <c r="G92" i="2"/>
  <c r="G53" i="2"/>
  <c r="G16" i="2"/>
  <c r="G88" i="2"/>
  <c r="G62" i="2"/>
  <c r="G23" i="2"/>
  <c r="G87" i="2"/>
  <c r="G17" i="2"/>
  <c r="G81" i="2"/>
  <c r="G42" i="2"/>
  <c r="G11" i="2"/>
  <c r="G75" i="2"/>
  <c r="G36" i="2"/>
  <c r="G100" i="2"/>
  <c r="G61" i="2"/>
  <c r="G24" i="2"/>
  <c r="G6" i="2"/>
  <c r="G70" i="2"/>
  <c r="G31" i="2"/>
  <c r="G95" i="2"/>
  <c r="G25" i="2"/>
  <c r="G89" i="2"/>
  <c r="G50" i="2"/>
  <c r="G19" i="2"/>
  <c r="G83" i="2"/>
  <c r="G44" i="2"/>
  <c r="G5" i="2"/>
  <c r="G69" i="2"/>
  <c r="G32" i="2"/>
  <c r="G14" i="2"/>
  <c r="G78" i="2"/>
  <c r="G39" i="2"/>
  <c r="G103" i="2"/>
  <c r="G64" i="2"/>
  <c r="G71" i="2"/>
  <c r="G33" i="2"/>
  <c r="G97" i="2"/>
  <c r="G58" i="2"/>
  <c r="G27" i="2"/>
  <c r="G91" i="2"/>
  <c r="G52" i="2"/>
  <c r="G13" i="2"/>
  <c r="G77" i="2"/>
  <c r="G40" i="2"/>
  <c r="G22" i="2"/>
  <c r="G86" i="2"/>
  <c r="G47" i="2"/>
  <c r="G72" i="2"/>
  <c r="G41" i="2"/>
  <c r="G104" i="2"/>
  <c r="G66" i="2"/>
  <c r="G35" i="2"/>
  <c r="G99" i="2"/>
  <c r="G60" i="2"/>
  <c r="G21" i="2"/>
  <c r="G85" i="2"/>
  <c r="G48" i="2"/>
  <c r="G30" i="2"/>
  <c r="G94" i="2"/>
  <c r="G55" i="2"/>
  <c r="G96" i="2"/>
  <c r="G49" i="2"/>
  <c r="G10" i="2"/>
  <c r="G74" i="2"/>
  <c r="G43" i="2"/>
  <c r="G4" i="2"/>
  <c r="G68" i="2"/>
  <c r="G29" i="2"/>
  <c r="G93" i="2"/>
  <c r="G56" i="2"/>
  <c r="G38" i="2"/>
  <c r="G102" i="2"/>
  <c r="G63" i="2"/>
  <c r="D51" i="5" a="1"/>
  <c r="D51" i="5" s="1"/>
  <c r="G18" i="5"/>
  <c r="G24" i="5"/>
  <c r="G16" i="5"/>
  <c r="G54" i="5"/>
  <c r="G28" i="5"/>
  <c r="G43" i="5"/>
  <c r="G26" i="5"/>
  <c r="G55" i="5"/>
  <c r="G12" i="5"/>
  <c r="G17" i="5"/>
  <c r="G10" i="5"/>
  <c r="G38" i="5"/>
  <c r="G20" i="5"/>
  <c r="G35" i="5"/>
  <c r="G19" i="5"/>
  <c r="G56" i="5"/>
  <c r="G47" i="5"/>
  <c r="G37" i="5"/>
  <c r="G9" i="5"/>
  <c r="G46" i="5"/>
  <c r="G7" i="5"/>
  <c r="G41" i="5"/>
  <c r="G48" i="5"/>
  <c r="G39" i="5"/>
  <c r="G29" i="5"/>
  <c r="G52" i="5"/>
  <c r="G22" i="5"/>
  <c r="G50" i="5"/>
  <c r="G33" i="5"/>
  <c r="G5" i="5"/>
  <c r="G13" i="5"/>
  <c r="G6" i="5"/>
  <c r="G45" i="5"/>
  <c r="G49" i="5"/>
  <c r="G40" i="5"/>
  <c r="G31" i="5"/>
  <c r="G21" i="5"/>
  <c r="G44" i="5"/>
  <c r="G8" i="5"/>
  <c r="G42" i="5"/>
  <c r="G25" i="5"/>
  <c r="G32" i="5"/>
  <c r="G23" i="5"/>
  <c r="G14" i="5"/>
  <c r="G36" i="5"/>
  <c r="G51" i="5"/>
  <c r="G34" i="5"/>
  <c r="G53" i="5"/>
  <c r="G30" i="5"/>
  <c r="G27" i="5"/>
  <c r="G15" i="5"/>
  <c r="G11" i="5"/>
  <c r="D5" i="5" a="1"/>
  <c r="D5" i="5" s="1"/>
  <c r="D48" i="5" a="1"/>
  <c r="D48" i="5" s="1"/>
  <c r="D19" i="5" a="1"/>
  <c r="D19" i="5" s="1"/>
  <c r="D55" i="5" a="1"/>
  <c r="D55" i="5" s="1"/>
  <c r="D41" i="5" a="1"/>
  <c r="D41" i="5" s="1"/>
  <c r="D30" i="5" a="1"/>
  <c r="D30" i="5" s="1"/>
  <c r="D27" i="5" a="1"/>
  <c r="D27" i="5" s="1"/>
  <c r="D40" i="5" a="1"/>
  <c r="D40" i="5" s="1"/>
  <c r="D26" i="5" a="1"/>
  <c r="D26" i="5" s="1"/>
  <c r="D47" i="5" a="1"/>
  <c r="D47" i="5" s="1"/>
  <c r="H3" i="5" l="1"/>
  <c r="O24" i="5" a="1"/>
  <c r="O24" i="5" s="1"/>
  <c r="O25" i="5" s="1"/>
  <c r="O30" i="5" a="1"/>
  <c r="O30" i="5" s="1"/>
  <c r="C19" i="3"/>
  <c r="I7" i="5"/>
  <c r="I39" i="5"/>
  <c r="I20" i="5"/>
  <c r="I52" i="5"/>
  <c r="I25" i="5"/>
  <c r="I6" i="5"/>
  <c r="I37" i="5"/>
  <c r="I11" i="5"/>
  <c r="I43" i="5"/>
  <c r="I24" i="5"/>
  <c r="I56" i="5"/>
  <c r="I29" i="5"/>
  <c r="I10" i="5"/>
  <c r="I42" i="5"/>
  <c r="I23" i="5"/>
  <c r="I55" i="5"/>
  <c r="I36" i="5"/>
  <c r="I9" i="5"/>
  <c r="I41" i="5"/>
  <c r="I22" i="5"/>
  <c r="I54" i="5"/>
  <c r="I18" i="5"/>
  <c r="I27" i="5"/>
  <c r="I8" i="5"/>
  <c r="I40" i="5"/>
  <c r="I13" i="5"/>
  <c r="I45" i="5"/>
  <c r="I26" i="5"/>
  <c r="I38" i="5"/>
  <c r="I15" i="5"/>
  <c r="I28" i="5"/>
  <c r="I14" i="5"/>
  <c r="I19" i="5"/>
  <c r="I5" i="5"/>
  <c r="I31" i="5"/>
  <c r="I12" i="5"/>
  <c r="I44" i="5"/>
  <c r="I17" i="5"/>
  <c r="I49" i="5"/>
  <c r="I30" i="5"/>
  <c r="I53" i="5"/>
  <c r="I47" i="5"/>
  <c r="I3" i="5"/>
  <c r="I46" i="5"/>
  <c r="I51" i="5"/>
  <c r="I50" i="5"/>
  <c r="I35" i="5"/>
  <c r="I16" i="5"/>
  <c r="I48" i="5"/>
  <c r="I21" i="5"/>
  <c r="I34" i="5"/>
  <c r="I33" i="5"/>
  <c r="I32" i="5"/>
  <c r="H42" i="5" l="1"/>
  <c r="H23" i="5"/>
  <c r="H29" i="5"/>
  <c r="H56" i="5"/>
  <c r="H21" i="5"/>
  <c r="H45" i="5"/>
  <c r="H51" i="5"/>
  <c r="H53" i="5"/>
  <c r="H18" i="5"/>
  <c r="H16" i="5"/>
  <c r="H41" i="5"/>
  <c r="H33" i="5"/>
  <c r="H40" i="5"/>
  <c r="H52" i="5"/>
  <c r="H27" i="5"/>
  <c r="H24" i="5"/>
  <c r="H54" i="5"/>
  <c r="H36" i="5"/>
  <c r="H39" i="5"/>
  <c r="H35" i="5"/>
  <c r="H14" i="5"/>
  <c r="H49" i="5"/>
  <c r="H47" i="5"/>
  <c r="H12" i="5"/>
  <c r="H10" i="5"/>
  <c r="H46" i="5"/>
  <c r="H7" i="5"/>
  <c r="H30" i="5"/>
  <c r="H25" i="5"/>
  <c r="H17" i="5"/>
  <c r="H15" i="5"/>
  <c r="H22" i="5"/>
  <c r="H38" i="5"/>
  <c r="H31" i="5"/>
  <c r="H44" i="5"/>
  <c r="H32" i="5"/>
  <c r="H34" i="5"/>
  <c r="H6" i="5"/>
  <c r="H26" i="5"/>
  <c r="C18" i="3"/>
  <c r="H55" i="5"/>
  <c r="H13" i="5"/>
  <c r="H43" i="5"/>
  <c r="H8" i="5"/>
  <c r="H48" i="5"/>
  <c r="H20" i="5"/>
  <c r="H19" i="5"/>
  <c r="H11" i="5"/>
  <c r="H28" i="5"/>
  <c r="H5" i="5"/>
  <c r="H50" i="5"/>
  <c r="H37" i="5"/>
  <c r="H9" i="5"/>
  <c r="O33" i="5"/>
  <c r="Q33" i="5"/>
  <c r="P3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 Matas</author>
  </authors>
  <commentList>
    <comment ref="N25" authorId="0" shapeId="0" xr:uid="{7925A5D0-4820-4766-B5AF-24F4F2A6E24F}">
      <text>
        <r>
          <rPr>
            <b/>
            <sz val="9"/>
            <color indexed="81"/>
            <rFont val="Tahoma"/>
            <family val="2"/>
          </rPr>
          <t xml:space="preserve">Upravená hodnota CM kritéria pro testování kompletně nespecifikované hypotézy (parametr musíme odhadnout), Bain, Engelhardth Introduction to prob and math stats </t>
        </r>
      </text>
    </comment>
    <comment ref="N33" authorId="0" shapeId="0" xr:uid="{16B5E2AC-CBD3-4C63-B612-5767AFFA44E2}">
      <text>
        <r>
          <rPr>
            <b/>
            <sz val="9"/>
            <color indexed="81"/>
            <rFont val="Tahoma"/>
            <family val="2"/>
          </rPr>
          <t>Kritické hodnoty pro kompletně nespecifikovanou hypotézu Lilliefors69</t>
        </r>
      </text>
    </comment>
  </commentList>
</comments>
</file>

<file path=xl/sharedStrings.xml><?xml version="1.0" encoding="utf-8"?>
<sst xmlns="http://schemas.openxmlformats.org/spreadsheetml/2006/main" count="299" uniqueCount="287">
  <si>
    <t>Date</t>
  </si>
  <si>
    <t>Location</t>
  </si>
  <si>
    <t>Dead</t>
  </si>
  <si>
    <t>Injured</t>
  </si>
  <si>
    <t>Total</t>
  </si>
  <si>
    <t>Atlanta, Georgia</t>
  </si>
  <si>
    <t>2021 Atlanta spa shootings: A series of mass shootings occurred at massage parlors in the Atlanta, Georgia metropolitan area. Eight people were killed in the incidents and one person was wounded.</t>
  </si>
  <si>
    <t>Buffalo, Minnesota</t>
  </si>
  <si>
    <r>
      <t>Buffalo, Minnesota clinic shooting</t>
    </r>
    <r>
      <rPr>
        <sz val="8"/>
        <color rgb="FF202122"/>
        <rFont val="Arial"/>
        <family val="2"/>
      </rPr>
      <t>: A nurse was killed and four other people were shot and seriously wounded inside of a health care clinic. The suspect, 67-year-old Gregory Paul Ulrich, was taken into police custody.</t>
    </r>
    <r>
      <rPr>
        <vertAlign val="superscript"/>
        <sz val="7"/>
        <color rgb="FF0645AD"/>
        <rFont val="Arial"/>
        <family val="2"/>
      </rPr>
      <t>[9][10]</t>
    </r>
  </si>
  <si>
    <t>Muskogee, Oklahoma</t>
  </si>
  <si>
    <r>
      <t>2021 Muskogee shooting</t>
    </r>
    <r>
      <rPr>
        <sz val="8"/>
        <color rgb="FF202122"/>
        <rFont val="Arial"/>
        <family val="2"/>
      </rPr>
      <t>: Five children and one adult were shot and killed, and one other adult suffered life-threatening injuries, after a home shooting in Oklahoma. Suspect, 25 year old Jarron Pridgeon, is currently under custody.</t>
    </r>
    <r>
      <rPr>
        <vertAlign val="superscript"/>
        <sz val="7"/>
        <color rgb="FF0645AD"/>
        <rFont val="Arial"/>
        <family val="2"/>
      </rPr>
      <t>[11]</t>
    </r>
  </si>
  <si>
    <t>Sunrise, Florida</t>
  </si>
  <si>
    <t>2021 Sunrise, Florida shootout: Two FBI agents were shot and killed and three others wounded attempting to serve a warrant. The suspect barricaded himself in his home and opened fire before shooting and killing himself.</t>
  </si>
  <si>
    <t>Rockford, Illinois</t>
  </si>
  <si>
    <t>Don Carter Lanes shooting: A man shot six people at a bowling alley, killing three of them.</t>
  </si>
  <si>
    <t>Wauwatosa, Wisconsin</t>
  </si>
  <si>
    <r>
      <t>Mayfair Mall shooting</t>
    </r>
    <r>
      <rPr>
        <sz val="8"/>
        <color rgb="FF202122"/>
        <rFont val="Arial"/>
        <family val="2"/>
      </rPr>
      <t>: Eight people were hospitalized with non-life threatening injuries after a person opened fire at the </t>
    </r>
    <r>
      <rPr>
        <sz val="8"/>
        <color rgb="FF0645AD"/>
        <rFont val="Arial"/>
        <family val="2"/>
      </rPr>
      <t>Mayfair Mall</t>
    </r>
    <r>
      <rPr>
        <sz val="8"/>
        <color rgb="FF202122"/>
        <rFont val="Arial"/>
        <family val="2"/>
      </rPr>
      <t>.</t>
    </r>
  </si>
  <si>
    <t>Rochester, New York</t>
  </si>
  <si>
    <t>Rochester shooting: Two people were killed and fourteen injured after a shooting at a party in Rochester.</t>
  </si>
  <si>
    <t>Washington, D.C.</t>
  </si>
  <si>
    <t>2020 Washington, D.C. block party shooting: A shooting at a block party left one dead and 22 injured, including an off-duty police officer</t>
  </si>
  <si>
    <r>
      <t>Milwaukee</t>
    </r>
    <r>
      <rPr>
        <sz val="8"/>
        <color rgb="FF202122"/>
        <rFont val="Arial"/>
        <family val="2"/>
      </rPr>
      <t>, </t>
    </r>
    <r>
      <rPr>
        <sz val="8"/>
        <color rgb="FF0645AD"/>
        <rFont val="Arial"/>
        <family val="2"/>
      </rPr>
      <t>Wisconsin</t>
    </r>
  </si>
  <si>
    <r>
      <t>Milwaukee brewery shooting</t>
    </r>
    <r>
      <rPr>
        <sz val="8"/>
        <color rgb="FF202122"/>
        <rFont val="Arial"/>
        <family val="2"/>
      </rPr>
      <t>: Five people were killed when a gunman opened fire at the local </t>
    </r>
    <r>
      <rPr>
        <sz val="8"/>
        <color rgb="FF0645AD"/>
        <rFont val="Arial"/>
        <family val="2"/>
      </rPr>
      <t>Molson Coors Beverage Company</t>
    </r>
    <r>
      <rPr>
        <sz val="8"/>
        <color rgb="FF202122"/>
        <rFont val="Arial"/>
        <family val="2"/>
      </rPr>
      <t> campus, where he had been employed. Afterwards, the gunman committed suicide.</t>
    </r>
  </si>
  <si>
    <t>Grantsville, Utah</t>
  </si>
  <si>
    <t>Haynie family shooting: Four members of a family were killed and one was injured after a teenager fired at his family as they returned home.</t>
  </si>
  <si>
    <t>Jersey City, New Jersey</t>
  </si>
  <si>
    <t>2019 Jersey City shooting: An officer approached a vehicle suspected of being used in a murder previously, he was shot and killed. In the resulting suspect chase and police confrontation the two suspects were killed, along with three other civilians, a civilian and two cops were wounded as well.</t>
  </si>
  <si>
    <t>Pensacola, Florida</t>
  </si>
  <si>
    <r>
      <t>Naval Air Station Pensacola shooting</t>
    </r>
    <r>
      <rPr>
        <sz val="8"/>
        <color rgb="FF202122"/>
        <rFont val="Arial"/>
        <family val="2"/>
      </rPr>
      <t>: 3 people were killed and 8 others were injured at a </t>
    </r>
    <r>
      <rPr>
        <sz val="8"/>
        <color rgb="FF0645AD"/>
        <rFont val="Arial"/>
        <family val="2"/>
      </rPr>
      <t>US Navy</t>
    </r>
    <r>
      <rPr>
        <sz val="8"/>
        <color rgb="FF202122"/>
        <rFont val="Arial"/>
        <family val="2"/>
      </rPr>
      <t> base. The suspect was killed by police.</t>
    </r>
  </si>
  <si>
    <t>Miramar, Florida</t>
  </si>
  <si>
    <r>
      <t>2019 Miramar shootout</t>
    </r>
    <r>
      <rPr>
        <sz val="8"/>
        <color rgb="FF202122"/>
        <rFont val="Arial"/>
        <family val="2"/>
      </rPr>
      <t>: Two suspects robbed a jewelry store which resulted in a police shootout that killed 2 people,</t>
    </r>
    <r>
      <rPr>
        <vertAlign val="superscript"/>
        <sz val="7"/>
        <color rgb="FF0645AD"/>
        <rFont val="Arial"/>
        <family val="2"/>
      </rPr>
      <t>[12]</t>
    </r>
    <r>
      <rPr>
        <sz val="8"/>
        <color rgb="FF202122"/>
        <rFont val="Arial"/>
        <family val="2"/>
      </rPr>
      <t> including a </t>
    </r>
    <r>
      <rPr>
        <sz val="8"/>
        <color rgb="FF0645AD"/>
        <rFont val="Arial"/>
        <family val="2"/>
      </rPr>
      <t>UPS</t>
    </r>
    <r>
      <rPr>
        <sz val="8"/>
        <color rgb="FF202122"/>
        <rFont val="Arial"/>
        <family val="2"/>
      </rPr>
      <t> truck driver which was his 1st day at his job. Both suspects were killed by police.</t>
    </r>
  </si>
  <si>
    <t>Fresno, California</t>
  </si>
  <si>
    <t>2019 Fresno shooting: Ten people were shot, four fatally, at a football watch party.</t>
  </si>
  <si>
    <t>Santa Clarita, California</t>
  </si>
  <si>
    <r>
      <t>Saugus High School shooting</t>
    </r>
    <r>
      <rPr>
        <sz val="8"/>
        <color rgb="FF202122"/>
        <rFont val="Arial"/>
        <family val="2"/>
      </rPr>
      <t>: Two people were killed and three others were injured at </t>
    </r>
    <r>
      <rPr>
        <sz val="8"/>
        <color rgb="FF0645AD"/>
        <rFont val="Arial"/>
        <family val="2"/>
      </rPr>
      <t>Saugus High School</t>
    </r>
    <r>
      <rPr>
        <sz val="8"/>
        <color rgb="FF202122"/>
        <rFont val="Arial"/>
        <family val="2"/>
      </rPr>
      <t>. The gunman then eventually committed suicide.</t>
    </r>
  </si>
  <si>
    <t>Orinda, California</t>
  </si>
  <si>
    <t>Orinda Halloween Shooting: An overnight block party attended by over 100 people ended with five people killed, and four more wounded by gunfire.</t>
  </si>
  <si>
    <t>San Juan, Puerto Rico</t>
  </si>
  <si>
    <t>2019 Río Piedras shooting: Eight people were killed after a shootout near an apartment complex.</t>
  </si>
  <si>
    <t>Midland–Odessa, Texas</t>
  </si>
  <si>
    <r>
      <t>2019 West Texas shooting</t>
    </r>
    <r>
      <rPr>
        <sz val="8"/>
        <color rgb="FF202122"/>
        <rFont val="Arial"/>
        <family val="2"/>
      </rPr>
      <t>: Seven people were killed and twenty five others were injured on the </t>
    </r>
    <r>
      <rPr>
        <sz val="8"/>
        <color rgb="FF0645AD"/>
        <rFont val="Arial"/>
        <family val="2"/>
      </rPr>
      <t>Interstate 20</t>
    </r>
    <r>
      <rPr>
        <sz val="8"/>
        <color rgb="FF202122"/>
        <rFont val="Arial"/>
        <family val="2"/>
      </rPr>
      <t>. The suspect was killed after a shoot-out with police.</t>
    </r>
  </si>
  <si>
    <t>Dayton, Ohio</t>
  </si>
  <si>
    <t>2019 Dayton shooting: Nine people were killed and 27 were injured outside of a bar. The perpetrator was killed by police.</t>
  </si>
  <si>
    <t>El Paso, Texas</t>
  </si>
  <si>
    <r>
      <t>2019 El Paso shooting</t>
    </r>
    <r>
      <rPr>
        <sz val="8"/>
        <color rgb="FF202122"/>
        <rFont val="Arial"/>
        <family val="2"/>
      </rPr>
      <t>: A gunman killed 23 people and injured 23 others at a </t>
    </r>
    <r>
      <rPr>
        <sz val="8"/>
        <color rgb="FF0645AD"/>
        <rFont val="Arial"/>
        <family val="2"/>
      </rPr>
      <t>Walmart</t>
    </r>
    <r>
      <rPr>
        <sz val="8"/>
        <color rgb="FF202122"/>
        <rFont val="Arial"/>
        <family val="2"/>
      </rPr>
      <t>. The attack was a </t>
    </r>
    <r>
      <rPr>
        <sz val="8"/>
        <color rgb="FF0645AD"/>
        <rFont val="Arial"/>
        <family val="2"/>
      </rPr>
      <t>hate crime</t>
    </r>
    <r>
      <rPr>
        <sz val="8"/>
        <color rgb="FF202122"/>
        <rFont val="Arial"/>
        <family val="2"/>
      </rPr>
      <t> targeting </t>
    </r>
    <r>
      <rPr>
        <sz val="8"/>
        <color rgb="FF0645AD"/>
        <rFont val="Arial"/>
        <family val="2"/>
      </rPr>
      <t>Hispanic</t>
    </r>
    <r>
      <rPr>
        <sz val="8"/>
        <color rgb="FF202122"/>
        <rFont val="Arial"/>
        <family val="2"/>
      </rPr>
      <t> immigration. The gunman was arrested.</t>
    </r>
  </si>
  <si>
    <t>Gilroy, California</t>
  </si>
  <si>
    <t>Gilroy Garlic Festival shooting: A gunman killed 3 people, including one 6-year-old boy, attending Gilroy's annual Garlic Festival; 12 more people were injured. The shooter killed himself.</t>
  </si>
  <si>
    <t>Virginia Beach, Virginia</t>
  </si>
  <si>
    <r>
      <t>2019 Virginia Beach shooting</t>
    </r>
    <r>
      <rPr>
        <sz val="8"/>
        <color rgb="FF202122"/>
        <rFont val="Arial"/>
        <family val="2"/>
      </rPr>
      <t>: A gunman killed 12 people and injured four others at a municipal building. The gunman died at the scene.</t>
    </r>
    <r>
      <rPr>
        <vertAlign val="superscript"/>
        <sz val="7"/>
        <color rgb="FF0645AD"/>
        <rFont val="Arial"/>
        <family val="2"/>
      </rPr>
      <t>[13]</t>
    </r>
  </si>
  <si>
    <t>Highlands Ranch, Colorado</t>
  </si>
  <si>
    <r>
      <t>STEM School Highlands Ranch shooting</t>
    </r>
    <r>
      <rPr>
        <sz val="8"/>
        <color rgb="FF202122"/>
        <rFont val="Arial"/>
        <family val="2"/>
      </rPr>
      <t>: A school shooting was reported at </t>
    </r>
    <r>
      <rPr>
        <sz val="8"/>
        <color rgb="FF0645AD"/>
        <rFont val="Arial"/>
        <family val="2"/>
      </rPr>
      <t>STEM School Highlands Ranch</t>
    </r>
    <r>
      <rPr>
        <sz val="8"/>
        <color rgb="FF202122"/>
        <rFont val="Arial"/>
        <family val="2"/>
      </rPr>
      <t>, around 1:50 p.m, two shooters targeted separate locations and killed one student and injured eight more before being arrested.</t>
    </r>
    <r>
      <rPr>
        <vertAlign val="superscript"/>
        <sz val="7"/>
        <color rgb="FF0645AD"/>
        <rFont val="Arial"/>
        <family val="2"/>
      </rPr>
      <t>[14]</t>
    </r>
  </si>
  <si>
    <t>Charlotte, North Carolina</t>
  </si>
  <si>
    <r>
      <t>University of North Carolina at Charlotte shooting</t>
    </r>
    <r>
      <rPr>
        <sz val="8"/>
        <color rgb="FF202122"/>
        <rFont val="Arial"/>
        <family val="2"/>
      </rPr>
      <t>: Six people were shot, two fatally, on the last day of classes at the </t>
    </r>
    <r>
      <rPr>
        <sz val="8"/>
        <color rgb="FF0645AD"/>
        <rFont val="Arial"/>
        <family val="2"/>
      </rPr>
      <t>University of North Carolina at Charlotte</t>
    </r>
    <r>
      <rPr>
        <sz val="8"/>
        <color rgb="FF202122"/>
        <rFont val="Arial"/>
        <family val="2"/>
      </rPr>
      <t>. The student gunman was taken into custody after he ran out of ammunition.</t>
    </r>
    <r>
      <rPr>
        <vertAlign val="superscript"/>
        <sz val="7"/>
        <color rgb="FF0645AD"/>
        <rFont val="Arial"/>
        <family val="2"/>
      </rPr>
      <t>[15]</t>
    </r>
  </si>
  <si>
    <t>Poway, California</t>
  </si>
  <si>
    <r>
      <t>Poway synagogue shooting</t>
    </r>
    <r>
      <rPr>
        <sz val="8"/>
        <color rgb="FF202122"/>
        <rFont val="Arial"/>
        <family val="2"/>
      </rPr>
      <t>: One person was killed and at least three were wounded by a shooter at the </t>
    </r>
    <r>
      <rPr>
        <sz val="8"/>
        <color rgb="FF0645AD"/>
        <rFont val="Arial"/>
        <family val="2"/>
      </rPr>
      <t>Chabad of Poway</t>
    </r>
    <r>
      <rPr>
        <sz val="8"/>
        <color rgb="FF202122"/>
        <rFont val="Arial"/>
        <family val="2"/>
      </rPr>
      <t> synagogue.</t>
    </r>
    <r>
      <rPr>
        <vertAlign val="superscript"/>
        <sz val="7"/>
        <color rgb="FF0645AD"/>
        <rFont val="Arial"/>
        <family val="2"/>
      </rPr>
      <t>[16]</t>
    </r>
  </si>
  <si>
    <t>Aurora, Illinois</t>
  </si>
  <si>
    <r>
      <t>Aurora, Illinois, shooting</t>
    </r>
    <r>
      <rPr>
        <sz val="8"/>
        <color rgb="FF202122"/>
        <rFont val="Arial"/>
        <family val="2"/>
      </rPr>
      <t>: A 45-year-old man opened fire at a </t>
    </r>
    <r>
      <rPr>
        <sz val="8"/>
        <color rgb="FF0645AD"/>
        <rFont val="Arial"/>
        <family val="2"/>
      </rPr>
      <t>Henry Pratt Company</t>
    </r>
    <r>
      <rPr>
        <sz val="8"/>
        <color rgb="FF202122"/>
        <rFont val="Arial"/>
        <family val="2"/>
      </rPr>
      <t> plant and killed five people and injured six others. He was a former worker at the plant and he was killed in a shootout with police.</t>
    </r>
  </si>
  <si>
    <r>
      <t>Ascension</t>
    </r>
    <r>
      <rPr>
        <sz val="8"/>
        <color rgb="FF202122"/>
        <rFont val="Arial"/>
        <family val="2"/>
      </rPr>
      <t> and </t>
    </r>
    <r>
      <rPr>
        <sz val="8"/>
        <color rgb="FF0645AD"/>
        <rFont val="Arial"/>
        <family val="2"/>
      </rPr>
      <t>Livingston Parish, Louisiana</t>
    </r>
  </si>
  <si>
    <r>
      <t>January 2019 Louisiana shootings</t>
    </r>
    <r>
      <rPr>
        <sz val="8"/>
        <color rgb="FF202122"/>
        <rFont val="Arial"/>
        <family val="2"/>
      </rPr>
      <t>: A 21-year-old man killed five people, including his parents, in two parishes in Louisiana.</t>
    </r>
    <r>
      <rPr>
        <vertAlign val="superscript"/>
        <sz val="7"/>
        <color rgb="FF0645AD"/>
        <rFont val="Arial"/>
        <family val="2"/>
      </rPr>
      <t>[17]</t>
    </r>
  </si>
  <si>
    <t>Sebring, Florida</t>
  </si>
  <si>
    <r>
      <t>2019 Sebring shooting</t>
    </r>
    <r>
      <rPr>
        <sz val="8"/>
        <color rgb="FF202122"/>
        <rFont val="Arial"/>
        <family val="2"/>
      </rPr>
      <t>: Five people were killed in a hostage incident and shooting at a bank. The suspect was taken into custody by police.</t>
    </r>
    <r>
      <rPr>
        <vertAlign val="superscript"/>
        <sz val="7"/>
        <color rgb="FF0645AD"/>
        <rFont val="Arial"/>
        <family val="2"/>
      </rPr>
      <t>[18]</t>
    </r>
  </si>
  <si>
    <t>Chicago, Illinois</t>
  </si>
  <si>
    <r>
      <t>Mercy Hospital shooting</t>
    </r>
    <r>
      <rPr>
        <sz val="8"/>
        <color rgb="FF202122"/>
        <rFont val="Arial"/>
        <family val="2"/>
      </rPr>
      <t>: A gunman opened fire in the </t>
    </r>
    <r>
      <rPr>
        <sz val="8"/>
        <color rgb="FF0645AD"/>
        <rFont val="Arial"/>
        <family val="2"/>
      </rPr>
      <t>Mercy Hospital and Medical Center</t>
    </r>
    <r>
      <rPr>
        <sz val="8"/>
        <color rgb="FF202122"/>
        <rFont val="Arial"/>
        <family val="2"/>
      </rPr>
      <t> in Chicago, killing a doctor at the hospital who was his former fiancée, a police officer, and one other person before being killed either by himself or by police.</t>
    </r>
    <r>
      <rPr>
        <vertAlign val="superscript"/>
        <sz val="7"/>
        <color rgb="FF0645AD"/>
        <rFont val="Arial"/>
        <family val="2"/>
      </rPr>
      <t>[19]</t>
    </r>
  </si>
  <si>
    <t>Robbins, Illinois</t>
  </si>
  <si>
    <r>
      <t>Shooting of Jemel Roberson</t>
    </r>
    <r>
      <rPr>
        <sz val="8"/>
        <color rgb="FF202122"/>
        <rFont val="Arial"/>
        <family val="2"/>
      </rPr>
      <t>: A man re-entered a bar after being ejected and began to fire, wounding three people and becoming injured himself. Armed security guards apprehended the suspect. Responding officers saw one of the security guards with a gun, and shot and killed him.</t>
    </r>
    <r>
      <rPr>
        <vertAlign val="superscript"/>
        <sz val="7"/>
        <color rgb="FF0645AD"/>
        <rFont val="Arial"/>
        <family val="2"/>
      </rPr>
      <t>[20]</t>
    </r>
  </si>
  <si>
    <t>Thousand Oaks, California</t>
  </si>
  <si>
    <t>12+</t>
  </si>
  <si>
    <t>25+</t>
  </si>
  <si>
    <r>
      <t>Thousand Oaks shooting</t>
    </r>
    <r>
      <rPr>
        <sz val="8"/>
        <color rgb="FF202122"/>
        <rFont val="Arial"/>
        <family val="2"/>
      </rPr>
      <t>: A man entered a bar hosting a student line-dancing event and killed twelve people, including a police officer. At least twelve other people were injured. The gunman then killed himself.</t>
    </r>
    <r>
      <rPr>
        <vertAlign val="superscript"/>
        <sz val="7"/>
        <color rgb="FF0645AD"/>
        <rFont val="Arial"/>
        <family val="2"/>
      </rPr>
      <t>[21]</t>
    </r>
  </si>
  <si>
    <t>Tallahassee, Florida</t>
  </si>
  <si>
    <r>
      <t>2018 Tallahassee shooting</t>
    </r>
    <r>
      <rPr>
        <sz val="8"/>
        <color rgb="FF202122"/>
        <rFont val="Arial"/>
        <family val="2"/>
      </rPr>
      <t>: A man entered a yoga studio and killed two women and injured five others; four by gunshots and one by </t>
    </r>
    <r>
      <rPr>
        <sz val="8"/>
        <color rgb="FF0645AD"/>
        <rFont val="Arial"/>
        <family val="2"/>
      </rPr>
      <t>pistol-whipping</t>
    </r>
    <r>
      <rPr>
        <sz val="8"/>
        <color rgb="FF202122"/>
        <rFont val="Arial"/>
        <family val="2"/>
      </rPr>
      <t>, before committing suicide.</t>
    </r>
    <r>
      <rPr>
        <vertAlign val="superscript"/>
        <sz val="7"/>
        <color rgb="FF0645AD"/>
        <rFont val="Arial"/>
        <family val="2"/>
      </rPr>
      <t>[22]</t>
    </r>
  </si>
  <si>
    <t>Pittsburgh, Pennsylvania</t>
  </si>
  <si>
    <r>
      <t>Pittsburgh synagogue shooting</t>
    </r>
    <r>
      <rPr>
        <sz val="8"/>
        <color rgb="FF202122"/>
        <rFont val="Arial"/>
        <family val="2"/>
      </rPr>
      <t>: A man opened fire in the Tree of Life synagogue in an </t>
    </r>
    <r>
      <rPr>
        <sz val="8"/>
        <color rgb="FF0645AD"/>
        <rFont val="Arial"/>
        <family val="2"/>
      </rPr>
      <t>antisemitic</t>
    </r>
    <r>
      <rPr>
        <sz val="8"/>
        <color rgb="FF202122"/>
        <rFont val="Arial"/>
        <family val="2"/>
      </rPr>
      <t> attack, killing eleven people and injuring six others (including four police officers). The suspect was taken into custody by police.</t>
    </r>
    <r>
      <rPr>
        <vertAlign val="superscript"/>
        <sz val="7"/>
        <color rgb="FF0645AD"/>
        <rFont val="Arial"/>
        <family val="2"/>
      </rPr>
      <t>[23][24]</t>
    </r>
  </si>
  <si>
    <t>Florence, South Carolina</t>
  </si>
  <si>
    <r>
      <t>Florence shooting</t>
    </r>
    <r>
      <rPr>
        <sz val="8"/>
        <color rgb="FF202122"/>
        <rFont val="Arial"/>
        <family val="2"/>
      </rPr>
      <t>: Officers were shot at during a two-hour standoff while attempting to execute a search warrant. The perpetrator held children hostage, killing one and wounding seven before being arrested.</t>
    </r>
    <r>
      <rPr>
        <vertAlign val="superscript"/>
        <sz val="7"/>
        <color rgb="FF0645AD"/>
        <rFont val="Arial"/>
        <family val="2"/>
      </rPr>
      <t>[25]</t>
    </r>
  </si>
  <si>
    <t>Aberdeen, Maryland</t>
  </si>
  <si>
    <r>
      <t>Aberdeen shooting</t>
    </r>
    <r>
      <rPr>
        <sz val="8"/>
        <color rgb="FF202122"/>
        <rFont val="Arial"/>
        <family val="2"/>
      </rPr>
      <t>: An employee of the </t>
    </r>
    <r>
      <rPr>
        <sz val="8"/>
        <color rgb="FF0645AD"/>
        <rFont val="Arial"/>
        <family val="2"/>
      </rPr>
      <t>Rite Aid</t>
    </r>
    <r>
      <rPr>
        <sz val="8"/>
        <color rgb="FF202122"/>
        <rFont val="Arial"/>
        <family val="2"/>
      </rPr>
      <t> Distribution facility killed three victims before wounding herself. The shooter died later in the hospital.</t>
    </r>
    <r>
      <rPr>
        <vertAlign val="superscript"/>
        <sz val="7"/>
        <color rgb="FF0645AD"/>
        <rFont val="Arial"/>
        <family val="2"/>
      </rPr>
      <t>[26]</t>
    </r>
  </si>
  <si>
    <t>Cincinnati, Ohio</t>
  </si>
  <si>
    <r>
      <t>Fifth Third Center shooting</t>
    </r>
    <r>
      <rPr>
        <sz val="8"/>
        <color rgb="FF202122"/>
        <rFont val="Arial"/>
        <family val="2"/>
      </rPr>
      <t>: A gunman entered a loading dock at the </t>
    </r>
    <r>
      <rPr>
        <sz val="8"/>
        <color rgb="FF0645AD"/>
        <rFont val="Arial"/>
        <family val="2"/>
      </rPr>
      <t>Fifth Third Center</t>
    </r>
    <r>
      <rPr>
        <sz val="8"/>
        <color rgb="FF202122"/>
        <rFont val="Arial"/>
        <family val="2"/>
      </rPr>
      <t> skyscraper and opened fire before entering the lobby of a building. Four people, including the shooter, were killed and two were injured.</t>
    </r>
    <r>
      <rPr>
        <vertAlign val="superscript"/>
        <sz val="7"/>
        <color rgb="FF0645AD"/>
        <rFont val="Arial"/>
        <family val="2"/>
      </rPr>
      <t>[27]</t>
    </r>
  </si>
  <si>
    <t>Jacksonville, Florida</t>
  </si>
  <si>
    <r>
      <t>Jacksonville Landing shooting</t>
    </r>
    <r>
      <rPr>
        <sz val="8"/>
        <color rgb="FF202122"/>
        <rFont val="Arial"/>
        <family val="2"/>
      </rPr>
      <t>: A gunman killed two people and wounded eleven more (nine with gunshot wounds) at a </t>
    </r>
    <r>
      <rPr>
        <i/>
        <sz val="8"/>
        <color rgb="FF0645AD"/>
        <rFont val="Arial"/>
        <family val="2"/>
      </rPr>
      <t>Madden NFL 19</t>
    </r>
    <r>
      <rPr>
        <sz val="8"/>
        <color rgb="FF202122"/>
        <rFont val="Arial"/>
        <family val="2"/>
      </rPr>
      <t> competition before killing himself. The shooter was identified as </t>
    </r>
    <r>
      <rPr>
        <sz val="8"/>
        <color rgb="FF0645AD"/>
        <rFont val="Arial"/>
        <family val="2"/>
      </rPr>
      <t>David Katz</t>
    </r>
    <r>
      <rPr>
        <sz val="8"/>
        <color rgb="FF202122"/>
        <rFont val="Arial"/>
        <family val="2"/>
      </rPr>
      <t>, an individual who had reportedly been eliminated from the competition before the shooting.</t>
    </r>
    <r>
      <rPr>
        <vertAlign val="superscript"/>
        <sz val="7"/>
        <color rgb="FF0645AD"/>
        <rFont val="Arial"/>
        <family val="2"/>
      </rPr>
      <t>[28][29][30]</t>
    </r>
  </si>
  <si>
    <t>Annapolis, Maryland</t>
  </si>
  <si>
    <r>
      <t>Capital Gazette</t>
    </r>
    <r>
      <rPr>
        <sz val="8"/>
        <color rgb="FF0645AD"/>
        <rFont val="Arial"/>
        <family val="2"/>
      </rPr>
      <t> shooting</t>
    </r>
    <r>
      <rPr>
        <sz val="8"/>
        <color rgb="FF202122"/>
        <rFont val="Arial"/>
        <family val="2"/>
      </rPr>
      <t>: A gunman entered the offices of </t>
    </r>
    <r>
      <rPr>
        <i/>
        <sz val="8"/>
        <color rgb="FF0645AD"/>
        <rFont val="Arial"/>
        <family val="2"/>
      </rPr>
      <t>The Capital Gazette</t>
    </r>
    <r>
      <rPr>
        <sz val="8"/>
        <color rgb="FF202122"/>
        <rFont val="Arial"/>
        <family val="2"/>
      </rPr>
      <t> and killed five employees and wounded two others.</t>
    </r>
    <r>
      <rPr>
        <vertAlign val="superscript"/>
        <sz val="7"/>
        <color rgb="FF0645AD"/>
        <rFont val="Arial"/>
        <family val="2"/>
      </rPr>
      <t>[31][32]</t>
    </r>
  </si>
  <si>
    <t>Trenton, New Jersey</t>
  </si>
  <si>
    <r>
      <t>Art All Night shooting</t>
    </r>
    <r>
      <rPr>
        <sz val="8"/>
        <color rgb="FF202122"/>
        <rFont val="Arial"/>
        <family val="2"/>
      </rPr>
      <t>: Several gunmen wounded seventeen people at the Art All Night festival. Five others were wounded when they were trampled by people around them. One of the suspected gunmen was shot and killed by police. Police suspect the shooting was gang-related.</t>
    </r>
    <r>
      <rPr>
        <vertAlign val="superscript"/>
        <sz val="7"/>
        <color rgb="FF0645AD"/>
        <rFont val="Arial"/>
        <family val="2"/>
      </rPr>
      <t>[33]</t>
    </r>
  </si>
  <si>
    <t>Scottsdale, Arizona</t>
  </si>
  <si>
    <r>
      <t>2018 Scottsdale shootings</t>
    </r>
    <r>
      <rPr>
        <sz val="8"/>
        <color rgb="FF202122"/>
        <rFont val="Arial"/>
        <family val="2"/>
      </rPr>
      <t>: Over the course of several days, a man killed a forensic psychiatrist, two paralegals, a counselor, and a couple from whom he took a handgun. The suspect killed himself when police began closing in on him.</t>
    </r>
    <r>
      <rPr>
        <vertAlign val="superscript"/>
        <sz val="7"/>
        <color rgb="FF0645AD"/>
        <rFont val="Arial"/>
        <family val="2"/>
      </rPr>
      <t>[34][35]</t>
    </r>
  </si>
  <si>
    <t>Santa Fe, Texas</t>
  </si>
  <si>
    <r>
      <t>Santa Fe High School shooting</t>
    </r>
    <r>
      <rPr>
        <sz val="8"/>
        <color rgb="FF202122"/>
        <rFont val="Arial"/>
        <family val="2"/>
      </rPr>
      <t>: A student at </t>
    </r>
    <r>
      <rPr>
        <sz val="8"/>
        <color rgb="FF0645AD"/>
        <rFont val="Arial"/>
        <family val="2"/>
      </rPr>
      <t>Santa Fe High School</t>
    </r>
    <r>
      <rPr>
        <sz val="8"/>
        <color rgb="FF202122"/>
        <rFont val="Arial"/>
        <family val="2"/>
      </rPr>
      <t> shot and killed ten people and wounded fourteen others. Explosive devices were also found, but they were not detonated. The suspect was taken into custody by police.</t>
    </r>
    <r>
      <rPr>
        <vertAlign val="superscript"/>
        <sz val="7"/>
        <color rgb="FF0645AD"/>
        <rFont val="Arial"/>
        <family val="2"/>
      </rPr>
      <t>[36]</t>
    </r>
  </si>
  <si>
    <t>Nashville, Tennessee</t>
  </si>
  <si>
    <r>
      <t>Nashville Waffle House shooting</t>
    </r>
    <r>
      <rPr>
        <sz val="8"/>
        <color rgb="FF202122"/>
        <rFont val="Arial"/>
        <family val="2"/>
      </rPr>
      <t>: A gunman entered a </t>
    </r>
    <r>
      <rPr>
        <sz val="8"/>
        <color rgb="FF0645AD"/>
        <rFont val="Arial"/>
        <family val="2"/>
      </rPr>
      <t>Waffle House</t>
    </r>
    <r>
      <rPr>
        <sz val="8"/>
        <color rgb="FF202122"/>
        <rFont val="Arial"/>
        <family val="2"/>
      </rPr>
      <t>, where he killed four people and injured two others. He was later taken into custody.</t>
    </r>
    <r>
      <rPr>
        <vertAlign val="superscript"/>
        <sz val="7"/>
        <color rgb="FF0645AD"/>
        <rFont val="Arial"/>
        <family val="2"/>
      </rPr>
      <t>[37]</t>
    </r>
  </si>
  <si>
    <t>San Bruno, California</t>
  </si>
  <si>
    <r>
      <t>YouTube headquarters shooting</t>
    </r>
    <r>
      <rPr>
        <sz val="8"/>
        <color rgb="FF202122"/>
        <rFont val="Arial"/>
        <family val="2"/>
      </rPr>
      <t>: A woman approached an outdoor patio at </t>
    </r>
    <r>
      <rPr>
        <sz val="8"/>
        <color rgb="FF0645AD"/>
        <rFont val="Arial"/>
        <family val="2"/>
      </rPr>
      <t>YouTube</t>
    </r>
    <r>
      <rPr>
        <sz val="8"/>
        <color rgb="FF202122"/>
        <rFont val="Arial"/>
        <family val="2"/>
      </rPr>
      <t> Headquarters and wounded three people before committing suicide, a fourth person was injured in the evacuation.</t>
    </r>
    <r>
      <rPr>
        <vertAlign val="superscript"/>
        <sz val="7"/>
        <color rgb="FF0645AD"/>
        <rFont val="Arial"/>
        <family val="2"/>
      </rPr>
      <t>[38]</t>
    </r>
  </si>
  <si>
    <t>Yountville, California</t>
  </si>
  <si>
    <r>
      <t>Yountville shooting</t>
    </r>
    <r>
      <rPr>
        <sz val="8"/>
        <color rgb="FF202122"/>
        <rFont val="Arial"/>
        <family val="2"/>
      </rPr>
      <t>: A man entered the </t>
    </r>
    <r>
      <rPr>
        <sz val="8"/>
        <color rgb="FF0645AD"/>
        <rFont val="Arial"/>
        <family val="2"/>
      </rPr>
      <t>Veterans Home of California</t>
    </r>
    <r>
      <rPr>
        <sz val="8"/>
        <color rgb="FF202122"/>
        <rFont val="Arial"/>
        <family val="2"/>
      </rPr>
      <t> and held three staff members hostage. He killed the three staff members (and the unborn child of one of the staff members, who was pregnant) before killing himself in a murder–suicide.</t>
    </r>
    <r>
      <rPr>
        <vertAlign val="superscript"/>
        <sz val="7"/>
        <color rgb="FF0645AD"/>
        <rFont val="Arial"/>
        <family val="2"/>
      </rPr>
      <t>[39]</t>
    </r>
  </si>
  <si>
    <t>Parkland, Florida</t>
  </si>
  <si>
    <r>
      <t>Stoneman Douglas High School shooting</t>
    </r>
    <r>
      <rPr>
        <sz val="8"/>
        <color rgb="FF202122"/>
        <rFont val="Arial"/>
        <family val="2"/>
      </rPr>
      <t>: A former student of </t>
    </r>
    <r>
      <rPr>
        <sz val="8"/>
        <color rgb="FF0645AD"/>
        <rFont val="Arial"/>
        <family val="2"/>
      </rPr>
      <t>Marjory Stoneman Douglas High School</t>
    </r>
    <r>
      <rPr>
        <sz val="8"/>
        <color rgb="FF202122"/>
        <rFont val="Arial"/>
        <family val="2"/>
      </rPr>
      <t> entered the school, killed seventeen people, and wounded seventeen others. He was taken into custody by police.</t>
    </r>
    <r>
      <rPr>
        <vertAlign val="superscript"/>
        <sz val="7"/>
        <color rgb="FF0645AD"/>
        <rFont val="Arial"/>
        <family val="2"/>
      </rPr>
      <t>[40][41]</t>
    </r>
  </si>
  <si>
    <t>Melcroft, Pennsylvania</t>
  </si>
  <si>
    <t>Melcroft shooting: A man shot and killed four people and wounded one other at a gas station before he committed suicide.</t>
  </si>
  <si>
    <t>Benton, Kentucky</t>
  </si>
  <si>
    <r>
      <t>Marshall County High School shooting</t>
    </r>
    <r>
      <rPr>
        <sz val="8"/>
        <color rgb="FF202122"/>
        <rFont val="Arial"/>
        <family val="2"/>
      </rPr>
      <t>: A fifteen-year-old student killed two other students and injured sixteen others before discarding his weapon and attempting to hide among other students. He was apprehended by police.</t>
    </r>
    <r>
      <rPr>
        <vertAlign val="superscript"/>
        <sz val="7"/>
        <color rgb="FF0645AD"/>
        <rFont val="Arial"/>
        <family val="2"/>
      </rPr>
      <t>[42]</t>
    </r>
  </si>
  <si>
    <r>
      <t>Copper Canyon Apartment Homes shooting</t>
    </r>
    <r>
      <rPr>
        <sz val="8"/>
        <color rgb="FF202122"/>
        <rFont val="Arial"/>
        <family val="2"/>
      </rPr>
      <t>: After being called to a home for a report of a disturbance, five police officers were shot in an "ambush-style" attack. One officer was killed and the other four were wounded. Two other people were also wounded in a neighboring apartment. Officers later re-entered the apartment with a </t>
    </r>
    <r>
      <rPr>
        <sz val="8"/>
        <color rgb="FF0645AD"/>
        <rFont val="Arial"/>
        <family val="2"/>
      </rPr>
      <t>SWAT team</t>
    </r>
    <r>
      <rPr>
        <sz val="8"/>
        <color rgb="FF202122"/>
        <rFont val="Arial"/>
        <family val="2"/>
      </rPr>
      <t> and killed the suspect; another officer was injured in this exchange.</t>
    </r>
    <r>
      <rPr>
        <vertAlign val="superscript"/>
        <sz val="7"/>
        <color rgb="FF0645AD"/>
        <rFont val="Arial"/>
        <family val="2"/>
      </rPr>
      <t>[43]</t>
    </r>
  </si>
  <si>
    <t>Aztec, New Mexico</t>
  </si>
  <si>
    <r>
      <t>Aztec High School shooting</t>
    </r>
    <r>
      <rPr>
        <sz val="8"/>
        <color rgb="FF202122"/>
        <rFont val="Arial"/>
        <family val="2"/>
      </rPr>
      <t>: A man walked into </t>
    </r>
    <r>
      <rPr>
        <sz val="8"/>
        <color rgb="FF0645AD"/>
        <rFont val="Arial"/>
        <family val="2"/>
      </rPr>
      <t>Aztec High School</t>
    </r>
    <r>
      <rPr>
        <sz val="8"/>
        <color rgb="FF202122"/>
        <rFont val="Arial"/>
        <family val="2"/>
      </rPr>
      <t> disguised as a student and killed two before killing himself.</t>
    </r>
  </si>
  <si>
    <t>Tehama County, California</t>
  </si>
  <si>
    <r>
      <t>Rancho Tehama Reserve shootings</t>
    </r>
    <r>
      <rPr>
        <sz val="8"/>
        <color rgb="FF202122"/>
        <rFont val="Arial"/>
        <family val="2"/>
      </rPr>
      <t>: A man killed his wife and hid her body under the floorboards of their home before killing two neighbors, firing at random at people, and then ramming his truck through the gates of an elementary school and firing at those inside. He then drove away and targeted other random victims before being rammed by police and shooting himself. He killed five people and injured twelve others (some with bullet wounds, others were injured by flying glass) before committing suicide.</t>
    </r>
    <r>
      <rPr>
        <vertAlign val="superscript"/>
        <sz val="7"/>
        <color rgb="FF0645AD"/>
        <rFont val="Arial"/>
        <family val="2"/>
      </rPr>
      <t>[44]</t>
    </r>
  </si>
  <si>
    <t>Sutherland Springs, Texas</t>
  </si>
  <si>
    <r>
      <t>Sutherland Springs church shooting</t>
    </r>
    <r>
      <rPr>
        <sz val="8"/>
        <color rgb="FF202122"/>
        <rFont val="Arial"/>
        <family val="2"/>
      </rPr>
      <t>: A gunman approached the First Baptist Church in Sutherland Springs and killed two people outside before entering and shooting at the congregation, killing 26 people (including an unborn child) and injuring twenty. He was confronted by a local man with a gun, and they exchanged gunfire before entering a vehicle. The man flagged down another person and they began a high-speed chase of the gunman, which ended when the gunman went off the road and was found dead from a self-inflicted gunshot wound.</t>
    </r>
    <r>
      <rPr>
        <vertAlign val="superscript"/>
        <sz val="7"/>
        <color rgb="FF0645AD"/>
        <rFont val="Arial"/>
        <family val="2"/>
      </rPr>
      <t>[45][46]</t>
    </r>
  </si>
  <si>
    <t>Las Vegas, Nevada</t>
  </si>
  <si>
    <r>
      <t>2017 Las Vegas shooting</t>
    </r>
    <r>
      <rPr>
        <sz val="8"/>
        <color rgb="FF202122"/>
        <rFont val="Arial"/>
        <family val="2"/>
      </rPr>
      <t>: A man on the 32nd floor of a hotel opened fire on a country music festival happening outside, killing 60 people and injuring 867 others, with 411 of them suffering from gunshot wounds. The man then shot himself.</t>
    </r>
    <r>
      <rPr>
        <vertAlign val="superscript"/>
        <sz val="7"/>
        <color rgb="FF0645AD"/>
        <rFont val="Arial"/>
        <family val="2"/>
      </rPr>
      <t>[47][48][49][50][51]</t>
    </r>
  </si>
  <si>
    <t>Antioch, Tennessee</t>
  </si>
  <si>
    <r>
      <t>Burnette Chapel shooting</t>
    </r>
    <r>
      <rPr>
        <sz val="8"/>
        <color rgb="FF202122"/>
        <rFont val="Arial"/>
        <family val="2"/>
      </rPr>
      <t>: A man killed a woman outside the Burnette Chapel Church of Christ before entering the chapel and wounding seven others. During a struggle with an usher, the man shot himself in the chest. The usher ran to his car to get his own pistol and held the man at gunpoint until police arrived to arrest him.</t>
    </r>
    <r>
      <rPr>
        <vertAlign val="superscript"/>
        <sz val="7"/>
        <color rgb="FF0645AD"/>
        <rFont val="Arial"/>
        <family val="2"/>
      </rPr>
      <t>[52]</t>
    </r>
  </si>
  <si>
    <t>Plano, Texas</t>
  </si>
  <si>
    <r>
      <t>2017 Plano shooting</t>
    </r>
    <r>
      <rPr>
        <sz val="8"/>
        <color rgb="FF202122"/>
        <rFont val="Arial"/>
        <family val="2"/>
      </rPr>
      <t>: A man entered his ex-wife's home while she was hosting a football-watching party and killed her and seven others, and wounded one other. He was killed by police.</t>
    </r>
    <r>
      <rPr>
        <vertAlign val="superscript"/>
        <sz val="7"/>
        <color rgb="FF0645AD"/>
        <rFont val="Arial"/>
        <family val="2"/>
      </rPr>
      <t>[53]</t>
    </r>
  </si>
  <si>
    <t>Clovis, New Mexico</t>
  </si>
  <si>
    <r>
      <t>Clovis library shooting</t>
    </r>
    <r>
      <rPr>
        <sz val="8"/>
        <color rgb="FF202122"/>
        <rFont val="Arial"/>
        <family val="2"/>
      </rPr>
      <t>: A sixteen-year-old killed two people and wounded four others at a public library before surrendering to police.</t>
    </r>
    <r>
      <rPr>
        <vertAlign val="superscript"/>
        <sz val="7"/>
        <color rgb="FF0645AD"/>
        <rFont val="Arial"/>
        <family val="2"/>
      </rPr>
      <t>[54]</t>
    </r>
  </si>
  <si>
    <t>Little Rock, Arkansas</t>
  </si>
  <si>
    <r>
      <t>Little Rock nightclub shooting</t>
    </r>
    <r>
      <rPr>
        <sz val="8"/>
        <color rgb="FF202122"/>
        <rFont val="Arial"/>
        <family val="2"/>
      </rPr>
      <t>: Twenty-eight people were injured (twenty-five directly by gunfire) when shooting broke out in a nightclub where rapper Finese 2Tymes was performing.</t>
    </r>
    <r>
      <rPr>
        <vertAlign val="superscript"/>
        <sz val="7"/>
        <color rgb="FF0645AD"/>
        <rFont val="Arial"/>
        <family val="2"/>
      </rPr>
      <t>[55]</t>
    </r>
  </si>
  <si>
    <t>New York City, New York</t>
  </si>
  <si>
    <t>Bronx-Lebanon Hospital attack: A former hospital employee killed a doctor and wounded six others before he committed suicide.</t>
  </si>
  <si>
    <t>San Francisco, California</t>
  </si>
  <si>
    <r>
      <t>San Francisco UPS shooting</t>
    </r>
    <r>
      <rPr>
        <sz val="8"/>
        <color rgb="FF202122"/>
        <rFont val="Arial"/>
        <family val="2"/>
      </rPr>
      <t>: A gunman entered his workplace and singled out coworkers, killing three and wounding five, before committing suicide.</t>
    </r>
    <r>
      <rPr>
        <vertAlign val="superscript"/>
        <sz val="7"/>
        <color rgb="FF0645AD"/>
        <rFont val="Arial"/>
        <family val="2"/>
      </rPr>
      <t>[56]</t>
    </r>
  </si>
  <si>
    <t>Alexandria, Virginia</t>
  </si>
  <si>
    <r>
      <t>2017 Congressional baseball shooting</t>
    </r>
    <r>
      <rPr>
        <sz val="8"/>
        <color rgb="FF202122"/>
        <rFont val="Arial"/>
        <family val="2"/>
      </rPr>
      <t>: A gunman shot and wounded four people, including Republican Congressman and House Majority Whip </t>
    </r>
    <r>
      <rPr>
        <sz val="8"/>
        <color rgb="FF0645AD"/>
        <rFont val="Arial"/>
        <family val="2"/>
      </rPr>
      <t>Steve Scalise</t>
    </r>
    <r>
      <rPr>
        <sz val="8"/>
        <color rgb="FF202122"/>
        <rFont val="Arial"/>
        <family val="2"/>
      </rPr>
      <t>, while they were practicing for the </t>
    </r>
    <r>
      <rPr>
        <sz val="8"/>
        <color rgb="FF0645AD"/>
        <rFont val="Arial"/>
        <family val="2"/>
      </rPr>
      <t>Congressional Baseball Game</t>
    </r>
    <r>
      <rPr>
        <sz val="8"/>
        <color rgb="FF202122"/>
        <rFont val="Arial"/>
        <family val="2"/>
      </rPr>
      <t>. Two others were also injured in other ways. The gunman was killed after being engaged by </t>
    </r>
    <r>
      <rPr>
        <sz val="8"/>
        <color rgb="FF0645AD"/>
        <rFont val="Arial"/>
        <family val="2"/>
      </rPr>
      <t>Capitol police officers</t>
    </r>
    <r>
      <rPr>
        <sz val="8"/>
        <color rgb="FF202122"/>
        <rFont val="Arial"/>
        <family val="2"/>
      </rPr>
      <t> assigned to protect Scalise and by police officers responding to the scene.</t>
    </r>
    <r>
      <rPr>
        <vertAlign val="superscript"/>
        <sz val="7"/>
        <color rgb="FF0645AD"/>
        <rFont val="Arial"/>
        <family val="2"/>
      </rPr>
      <t>[57]</t>
    </r>
  </si>
  <si>
    <t>Eaton Township, Pennsylvania</t>
  </si>
  <si>
    <r>
      <t>Eaton Township Weis Markets shooting</t>
    </r>
    <r>
      <rPr>
        <sz val="8"/>
        <color rgb="FF202122"/>
        <rFont val="Arial"/>
        <family val="2"/>
      </rPr>
      <t>: An employee of a </t>
    </r>
    <r>
      <rPr>
        <sz val="8"/>
        <color rgb="FF0645AD"/>
        <rFont val="Arial"/>
        <family val="2"/>
      </rPr>
      <t>Weis Markets</t>
    </r>
    <r>
      <rPr>
        <sz val="8"/>
        <color rgb="FF202122"/>
        <rFont val="Arial"/>
        <family val="2"/>
      </rPr>
      <t> supermarket who was working a night shift barricaded the exits and killed three coworkers before killing himself.</t>
    </r>
    <r>
      <rPr>
        <vertAlign val="superscript"/>
        <sz val="7"/>
        <color rgb="FF0645AD"/>
        <rFont val="Arial"/>
        <family val="2"/>
      </rPr>
      <t>[58]</t>
    </r>
  </si>
  <si>
    <t>Sandy, Utah</t>
  </si>
  <si>
    <r>
      <t>Sandy, Utah attack</t>
    </r>
    <r>
      <rPr>
        <sz val="8"/>
        <color rgb="FF202122"/>
        <rFont val="Arial"/>
        <family val="2"/>
      </rPr>
      <t>: A man rammed a vehicle containing his ex-girlfriend, three children and one other adult, opened fire, killing two and wounding two, then committed suicide.</t>
    </r>
    <r>
      <rPr>
        <vertAlign val="superscript"/>
        <sz val="7"/>
        <color rgb="FF0645AD"/>
        <rFont val="Arial"/>
        <family val="2"/>
      </rPr>
      <t>[59]</t>
    </r>
  </si>
  <si>
    <t>Orlando, Florida</t>
  </si>
  <si>
    <r>
      <t>Orlando factory shooting</t>
    </r>
    <r>
      <rPr>
        <sz val="8"/>
        <color rgb="FF202122"/>
        <rFont val="Arial"/>
        <family val="2"/>
      </rPr>
      <t>: A former employee entered the factory through a rear exit and killed five employees and then himself.</t>
    </r>
    <r>
      <rPr>
        <vertAlign val="superscript"/>
        <sz val="7"/>
        <color rgb="FF0645AD"/>
        <rFont val="Arial"/>
        <family val="2"/>
      </rPr>
      <t>[60]</t>
    </r>
  </si>
  <si>
    <t>Lincoln County, Mississippi</t>
  </si>
  <si>
    <r>
      <t>2017 Mississippi shootings</t>
    </r>
    <r>
      <rPr>
        <sz val="8"/>
        <color rgb="FF202122"/>
        <rFont val="Arial"/>
        <family val="2"/>
      </rPr>
      <t>: A man killed eight people, including several family members and a sheriff's deputy, at three separate houses. He was injured by police and then arrested. The shooter later said he had intended to commit </t>
    </r>
    <r>
      <rPr>
        <sz val="8"/>
        <color rgb="FF0645AD"/>
        <rFont val="Arial"/>
        <family val="2"/>
      </rPr>
      <t>suicide by cop</t>
    </r>
    <r>
      <rPr>
        <sz val="8"/>
        <color rgb="FF202122"/>
        <rFont val="Arial"/>
        <family val="2"/>
      </rPr>
      <t>.</t>
    </r>
    <r>
      <rPr>
        <vertAlign val="superscript"/>
        <sz val="7"/>
        <color rgb="FF0645AD"/>
        <rFont val="Arial"/>
        <family val="2"/>
      </rPr>
      <t>[61]</t>
    </r>
  </si>
  <si>
    <t>Kirkersville, Ohio</t>
  </si>
  <si>
    <t>Kirkersville shooting: After taking two people hostage, a man shot and killed a police officer and two nurses at a nursing home before he killed himself.</t>
  </si>
  <si>
    <r>
      <t>2017 Fresno shootings</t>
    </r>
    <r>
      <rPr>
        <sz val="8"/>
        <color rgb="FF202122"/>
        <rFont val="Arial"/>
        <family val="2"/>
      </rPr>
      <t>: A man killed a security guard at a hotel, then killed three other people five days later. The attacks, committed against white people by a black suspect, are believed to have been racially motivated and the suspect believed there was a </t>
    </r>
    <r>
      <rPr>
        <sz val="8"/>
        <color rgb="FF0645AD"/>
        <rFont val="Arial"/>
        <family val="2"/>
      </rPr>
      <t>race war</t>
    </r>
    <r>
      <rPr>
        <sz val="8"/>
        <color rgb="FF202122"/>
        <rFont val="Arial"/>
        <family val="2"/>
      </rPr>
      <t> taking place between white and black people. He was taken into custody by police.</t>
    </r>
    <r>
      <rPr>
        <vertAlign val="superscript"/>
        <sz val="7"/>
        <color rgb="FF0645AD"/>
        <rFont val="Arial"/>
        <family val="2"/>
      </rPr>
      <t>[62]</t>
    </r>
  </si>
  <si>
    <t>San Bernardino, California</t>
  </si>
  <si>
    <r>
      <t>North Park Elementary School shooting</t>
    </r>
    <r>
      <rPr>
        <sz val="8"/>
        <color rgb="FF202122"/>
        <rFont val="Arial"/>
        <family val="2"/>
      </rPr>
      <t>: A man entered an elementary school, telling school administrators he needed to drop something off for his wife. He entered the classroom where she was teaching and killed her, also killing a student and wounding another who were standing nearby. He then killed himself.</t>
    </r>
    <r>
      <rPr>
        <vertAlign val="superscript"/>
        <sz val="7"/>
        <color rgb="FF0645AD"/>
        <rFont val="Arial"/>
        <family val="2"/>
      </rPr>
      <t>[63]</t>
    </r>
  </si>
  <si>
    <r>
      <t>Cincinnati</t>
    </r>
    <r>
      <rPr>
        <sz val="8"/>
        <color rgb="FF202122"/>
        <rFont val="Arial"/>
        <family val="2"/>
      </rPr>
      <t>, </t>
    </r>
    <r>
      <rPr>
        <sz val="8"/>
        <color rgb="FF0645AD"/>
        <rFont val="Arial"/>
        <family val="2"/>
      </rPr>
      <t>Ohio</t>
    </r>
  </si>
  <si>
    <r>
      <t>Cincinnati nightclub shooting</t>
    </r>
    <r>
      <rPr>
        <sz val="8"/>
        <color rgb="FF202122"/>
        <rFont val="Arial"/>
        <family val="2"/>
      </rPr>
      <t>: Two men were killed and sixteen people were wounded after a fight escalated into a shooting at a crowded nightclub. One person was arrested.</t>
    </r>
    <r>
      <rPr>
        <vertAlign val="superscript"/>
        <sz val="7"/>
        <color rgb="FF0645AD"/>
        <rFont val="Arial"/>
        <family val="2"/>
      </rPr>
      <t>[64]</t>
    </r>
  </si>
  <si>
    <r>
      <t>Schofield</t>
    </r>
    <r>
      <rPr>
        <sz val="8"/>
        <color rgb="FF202122"/>
        <rFont val="Arial"/>
        <family val="2"/>
      </rPr>
      <t> and </t>
    </r>
    <r>
      <rPr>
        <sz val="8"/>
        <color rgb="FF0645AD"/>
        <rFont val="Arial"/>
        <family val="2"/>
      </rPr>
      <t>Rothschild, Wisconsin</t>
    </r>
  </si>
  <si>
    <r>
      <t>2017 Schofield/Rothschild shootings</t>
    </r>
    <r>
      <rPr>
        <sz val="8"/>
        <color rgb="FF202122"/>
        <rFont val="Arial"/>
        <family val="2"/>
      </rPr>
      <t>: A man demanded his wife sign divorce papers and after a confrontation, returned to her place of work and shot and killed four people before being killed by the police.</t>
    </r>
    <r>
      <rPr>
        <vertAlign val="superscript"/>
        <sz val="7"/>
        <color rgb="FF0645AD"/>
        <rFont val="Arial"/>
        <family val="2"/>
      </rPr>
      <t>[65]</t>
    </r>
  </si>
  <si>
    <t>Broward County, Florida</t>
  </si>
  <si>
    <r>
      <t>Fort Lauderdale airport shooting</t>
    </r>
    <r>
      <rPr>
        <sz val="8"/>
        <color rgb="FF202122"/>
        <rFont val="Arial"/>
        <family val="2"/>
      </rPr>
      <t>: A man killed five people and injured six in a shooting at </t>
    </r>
    <r>
      <rPr>
        <sz val="8"/>
        <color rgb="FF0645AD"/>
        <rFont val="Arial"/>
        <family val="2"/>
      </rPr>
      <t>Fort Lauderdale–Hollywood International Airport</t>
    </r>
    <r>
      <rPr>
        <sz val="8"/>
        <color rgb="FF202122"/>
        <rFont val="Arial"/>
        <family val="2"/>
      </rPr>
      <t> before running out of ammunition and laying on the ground to surrender to police. Thirty to forty other people were also hurt, with injuries not directly caused by gunfire.</t>
    </r>
    <r>
      <rPr>
        <vertAlign val="superscript"/>
        <sz val="7"/>
        <color rgb="FF0645AD"/>
        <rFont val="Arial"/>
        <family val="2"/>
      </rPr>
      <t>[66]</t>
    </r>
  </si>
  <si>
    <t>Townville, South Carolina</t>
  </si>
  <si>
    <r>
      <t>Townville Elementary School shooting</t>
    </r>
    <r>
      <rPr>
        <sz val="8"/>
        <color rgb="FF202122"/>
        <rFont val="Arial"/>
        <family val="2"/>
      </rPr>
      <t>: A fourteen-year-old shot and killed his father before driving to the local elementary school and injuring three students and a teacher. One student later died of his injuries. The shooter was later arrested.</t>
    </r>
    <r>
      <rPr>
        <vertAlign val="superscript"/>
        <sz val="7"/>
        <color rgb="FF0645AD"/>
        <rFont val="Arial"/>
        <family val="2"/>
      </rPr>
      <t>[67]</t>
    </r>
  </si>
  <si>
    <t>Burlington, Washington</t>
  </si>
  <si>
    <r>
      <t>Cascade Mall shooting</t>
    </r>
    <r>
      <rPr>
        <sz val="8"/>
        <color rgb="FF202122"/>
        <rFont val="Arial"/>
        <family val="2"/>
      </rPr>
      <t>: A man killed five people at the </t>
    </r>
    <r>
      <rPr>
        <sz val="8"/>
        <color rgb="FF0645AD"/>
        <rFont val="Arial"/>
        <family val="2"/>
      </rPr>
      <t>Cascade Mall</t>
    </r>
    <r>
      <rPr>
        <sz val="8"/>
        <color rgb="FF202122"/>
        <rFont val="Arial"/>
        <family val="2"/>
      </rPr>
      <t>. He was arrested a day later. The shooter later killed himself while in jail.</t>
    </r>
    <r>
      <rPr>
        <vertAlign val="superscript"/>
        <sz val="7"/>
        <color rgb="FF0645AD"/>
        <rFont val="Arial"/>
        <family val="2"/>
      </rPr>
      <t>[68]</t>
    </r>
  </si>
  <si>
    <t>Citronelle, Alabama</t>
  </si>
  <si>
    <r>
      <t>2016 Citronelle homicides</t>
    </r>
    <r>
      <rPr>
        <sz val="8"/>
        <color rgb="FF202122"/>
        <rFont val="Arial"/>
        <family val="2"/>
      </rPr>
      <t>: A man killed six people (including an unborn child) while they were sleeping in a home. He was arrested by police.</t>
    </r>
    <r>
      <rPr>
        <vertAlign val="superscript"/>
        <sz val="7"/>
        <color rgb="FF0645AD"/>
        <rFont val="Arial"/>
        <family val="2"/>
      </rPr>
      <t>[69]</t>
    </r>
  </si>
  <si>
    <t>Mukilteo, Washington</t>
  </si>
  <si>
    <r>
      <t>2016 Mukilteo shooting</t>
    </r>
    <r>
      <rPr>
        <sz val="8"/>
        <color rgb="FF202122"/>
        <rFont val="Arial"/>
        <family val="2"/>
      </rPr>
      <t>: A student at the </t>
    </r>
    <r>
      <rPr>
        <sz val="8"/>
        <color rgb="FF0645AD"/>
        <rFont val="Arial"/>
        <family val="2"/>
      </rPr>
      <t>University of Washington</t>
    </r>
    <r>
      <rPr>
        <sz val="8"/>
        <color rgb="FF202122"/>
        <rFont val="Arial"/>
        <family val="2"/>
      </rPr>
      <t> killed three people and injured one other in a shooting at a party. One of the people he killed was his ex-girlfriend. The shooter was arrested and sentenced to life in prison.</t>
    </r>
    <r>
      <rPr>
        <vertAlign val="superscript"/>
        <sz val="7"/>
        <color rgb="FF0645AD"/>
        <rFont val="Arial"/>
        <family val="2"/>
      </rPr>
      <t>[70]</t>
    </r>
  </si>
  <si>
    <t>Baton Rouge, Louisiana</t>
  </si>
  <si>
    <r>
      <t>2016 shooting of Baton Rouge police officers</t>
    </r>
    <r>
      <rPr>
        <sz val="8"/>
        <color rgb="FF202122"/>
        <rFont val="Arial"/>
        <family val="2"/>
      </rPr>
      <t>: A gunman killed three law enforcement officers and injured three others. The gunman was killed by a member of the SWAT team that responded to the shooting. The shooting is believed to have been related to the unrest in Baton Rouge following the </t>
    </r>
    <r>
      <rPr>
        <sz val="8"/>
        <color rgb="FF0645AD"/>
        <rFont val="Arial"/>
        <family val="2"/>
      </rPr>
      <t>shooting of Alton Sterling</t>
    </r>
    <r>
      <rPr>
        <sz val="8"/>
        <color rgb="FF202122"/>
        <rFont val="Arial"/>
        <family val="2"/>
      </rPr>
      <t>, and the gunman was involved with </t>
    </r>
    <r>
      <rPr>
        <sz val="8"/>
        <color rgb="FF0645AD"/>
        <rFont val="Arial"/>
        <family val="2"/>
      </rPr>
      <t>black separatist</t>
    </r>
    <r>
      <rPr>
        <sz val="8"/>
        <color rgb="FF202122"/>
        <rFont val="Arial"/>
        <family val="2"/>
      </rPr>
      <t> and </t>
    </r>
    <r>
      <rPr>
        <sz val="8"/>
        <color rgb="FF0645AD"/>
        <rFont val="Arial"/>
        <family val="2"/>
      </rPr>
      <t>sovereign citizen</t>
    </r>
    <r>
      <rPr>
        <sz val="8"/>
        <color rgb="FF202122"/>
        <rFont val="Arial"/>
        <family val="2"/>
      </rPr>
      <t> organizations.</t>
    </r>
    <r>
      <rPr>
        <vertAlign val="superscript"/>
        <sz val="7"/>
        <color rgb="FF0645AD"/>
        <rFont val="Arial"/>
        <family val="2"/>
      </rPr>
      <t>[71][72]</t>
    </r>
  </si>
  <si>
    <t>St. Joseph, Michigan</t>
  </si>
  <si>
    <r>
      <t>St. Joseph courthouse shooting</t>
    </r>
    <r>
      <rPr>
        <sz val="8"/>
        <color rgb="FF202122"/>
        <rFont val="Arial"/>
        <family val="2"/>
      </rPr>
      <t>: A handcuffed inmate killed two </t>
    </r>
    <r>
      <rPr>
        <sz val="8"/>
        <color rgb="FF0645AD"/>
        <rFont val="Arial"/>
        <family val="2"/>
      </rPr>
      <t>bailiffs</t>
    </r>
    <r>
      <rPr>
        <sz val="8"/>
        <color rgb="FF202122"/>
        <rFont val="Arial"/>
        <family val="2"/>
      </rPr>
      <t> and injured a deputy and another woman after taking a deputy's gun in a courthouse. The inmate was killed by two other bailiffs.</t>
    </r>
    <r>
      <rPr>
        <vertAlign val="superscript"/>
        <sz val="7"/>
        <color rgb="FF0645AD"/>
        <rFont val="Arial"/>
        <family val="2"/>
      </rPr>
      <t>[73]</t>
    </r>
  </si>
  <si>
    <t>Dallas, Texas</t>
  </si>
  <si>
    <r>
      <t>2016 shooting of Dallas police officers</t>
    </r>
    <r>
      <rPr>
        <sz val="8"/>
        <color rgb="FF202122"/>
        <rFont val="Arial"/>
        <family val="2"/>
      </rPr>
      <t>: A shooter killed five police officers and wounded nine other officers and two civilians at a protest over the police shootings of </t>
    </r>
    <r>
      <rPr>
        <sz val="8"/>
        <color rgb="FF0645AD"/>
        <rFont val="Arial"/>
        <family val="2"/>
      </rPr>
      <t>Alton Sterling</t>
    </r>
    <r>
      <rPr>
        <sz val="8"/>
        <color rgb="FF202122"/>
        <rFont val="Arial"/>
        <family val="2"/>
      </rPr>
      <t> and </t>
    </r>
    <r>
      <rPr>
        <sz val="8"/>
        <color rgb="FF0645AD"/>
        <rFont val="Arial"/>
        <family val="2"/>
      </rPr>
      <t>Philando Castile</t>
    </r>
    <r>
      <rPr>
        <sz val="8"/>
        <color rgb="FF202122"/>
        <rFont val="Arial"/>
        <family val="2"/>
      </rPr>
      <t>. The shooter was killed by a bomb delivered by a remote control vehicle. He is believed to have been motivated by retribution for black men killed by police.</t>
    </r>
    <r>
      <rPr>
        <vertAlign val="superscript"/>
        <sz val="7"/>
        <color rgb="FF0645AD"/>
        <rFont val="Arial"/>
        <family val="2"/>
      </rPr>
      <t>[74]</t>
    </r>
  </si>
  <si>
    <r>
      <t>Orlando nightclub shooting</t>
    </r>
    <r>
      <rPr>
        <sz val="8"/>
        <color rgb="FF202122"/>
        <rFont val="Arial"/>
        <family val="2"/>
      </rPr>
      <t>: A gunman killed 49 people and wounded 53 others in a shooting at Pulse, a </t>
    </r>
    <r>
      <rPr>
        <sz val="8"/>
        <color rgb="FF0645AD"/>
        <rFont val="Arial"/>
        <family val="2"/>
      </rPr>
      <t>gay nightclub</t>
    </r>
    <r>
      <rPr>
        <sz val="8"/>
        <color rgb="FF202122"/>
        <rFont val="Arial"/>
        <family val="2"/>
      </rPr>
      <t>. The gunman was killed in a shootout with the police.</t>
    </r>
    <r>
      <rPr>
        <vertAlign val="superscript"/>
        <sz val="7"/>
        <color rgb="FF0645AD"/>
        <rFont val="Arial"/>
        <family val="2"/>
      </rPr>
      <t>[75]</t>
    </r>
  </si>
  <si>
    <r>
      <t>Beltsville</t>
    </r>
    <r>
      <rPr>
        <sz val="8"/>
        <color rgb="FF202122"/>
        <rFont val="Arial"/>
        <family val="2"/>
      </rPr>
      <t> and </t>
    </r>
    <r>
      <rPr>
        <sz val="8"/>
        <color rgb="FF0645AD"/>
        <rFont val="Arial"/>
        <family val="2"/>
      </rPr>
      <t>Bethesda, Maryland</t>
    </r>
  </si>
  <si>
    <r>
      <t>Eulalio Tordil shootings</t>
    </r>
    <r>
      <rPr>
        <sz val="8"/>
        <color rgb="FF202122"/>
        <rFont val="Arial"/>
        <family val="2"/>
      </rPr>
      <t>: A federal officer shot and killed three people and injured three others in an attack that began with him killing his estranged wife.</t>
    </r>
    <r>
      <rPr>
        <vertAlign val="superscript"/>
        <sz val="7"/>
        <color rgb="FF0645AD"/>
        <rFont val="Arial"/>
        <family val="2"/>
      </rPr>
      <t>[76]</t>
    </r>
  </si>
  <si>
    <t>Pike County, Ohio</t>
  </si>
  <si>
    <r>
      <t>Pike County shootings</t>
    </r>
    <r>
      <rPr>
        <sz val="8"/>
        <color rgb="FF202122"/>
        <rFont val="Arial"/>
        <family val="2"/>
      </rPr>
      <t>: Eight people, all members of the same family, were killed. Bodies were found in four separate locations.</t>
    </r>
    <r>
      <rPr>
        <vertAlign val="superscript"/>
        <sz val="7"/>
        <color rgb="FF0645AD"/>
        <rFont val="Arial"/>
        <family val="2"/>
      </rPr>
      <t>[77]</t>
    </r>
  </si>
  <si>
    <t>Wilkinsburg, Pennsylvania</t>
  </si>
  <si>
    <r>
      <t>2016 Wilkinsburg mass shooting</t>
    </r>
    <r>
      <rPr>
        <sz val="8"/>
        <color rgb="FF202122"/>
        <rFont val="Arial"/>
        <family val="2"/>
      </rPr>
      <t>: Six people (including an unborn child) were killed and three were injured by two gunmen in an attack during a backyard party. One person with a handgun drove the partygoers toward a backyard porch, where the second shot at them with an assault-style rifle.</t>
    </r>
    <r>
      <rPr>
        <vertAlign val="superscript"/>
        <sz val="7"/>
        <color rgb="FF0645AD"/>
        <rFont val="Arial"/>
        <family val="2"/>
      </rPr>
      <t>[78]</t>
    </r>
  </si>
  <si>
    <r>
      <t>Kansas City, Kansas</t>
    </r>
    <r>
      <rPr>
        <sz val="8"/>
        <color rgb="FF202122"/>
        <rFont val="Arial"/>
        <family val="2"/>
      </rPr>
      <t> and </t>
    </r>
    <r>
      <rPr>
        <sz val="8"/>
        <color rgb="FF0645AD"/>
        <rFont val="Arial"/>
        <family val="2"/>
      </rPr>
      <t>Montgomery County, Missouri</t>
    </r>
  </si>
  <si>
    <t>2016 Kansas-Missouri murder spree: Four people were killed at a home and another was shot and killed the following day. The perpetrator was arrested the next day.</t>
  </si>
  <si>
    <r>
      <t>Hesston</t>
    </r>
    <r>
      <rPr>
        <sz val="8"/>
        <color rgb="FF202122"/>
        <rFont val="Arial"/>
        <family val="2"/>
      </rPr>
      <t> and </t>
    </r>
    <r>
      <rPr>
        <sz val="8"/>
        <color rgb="FF0645AD"/>
        <rFont val="Arial"/>
        <family val="2"/>
      </rPr>
      <t>Newton, Kansas</t>
    </r>
  </si>
  <si>
    <r>
      <t>Hesston shooting</t>
    </r>
    <r>
      <rPr>
        <sz val="8"/>
        <color rgb="FF202122"/>
        <rFont val="Arial"/>
        <family val="2"/>
      </rPr>
      <t>: A man killed three people and injured fourteen others in an attack at his workplace. He had been served with a temporary </t>
    </r>
    <r>
      <rPr>
        <sz val="8"/>
        <color rgb="FF0645AD"/>
        <rFont val="Arial"/>
        <family val="2"/>
      </rPr>
      <t>order of protection</t>
    </r>
    <r>
      <rPr>
        <sz val="8"/>
        <color rgb="FF202122"/>
        <rFont val="Arial"/>
        <family val="2"/>
      </rPr>
      <t> shortly before he began shooting. He was killed by police who responded to the scene.</t>
    </r>
    <r>
      <rPr>
        <vertAlign val="superscript"/>
        <sz val="7"/>
        <color rgb="FF0645AD"/>
        <rFont val="Arial"/>
        <family val="2"/>
      </rPr>
      <t>[79]</t>
    </r>
  </si>
  <si>
    <t>Kalamazoo, Michigan</t>
  </si>
  <si>
    <r>
      <t>2016 Kalamazoo shootings</t>
    </r>
    <r>
      <rPr>
        <sz val="8"/>
        <color rgb="FF202122"/>
        <rFont val="Arial"/>
        <family val="2"/>
      </rPr>
      <t>: An </t>
    </r>
    <r>
      <rPr>
        <sz val="8"/>
        <color rgb="FF0645AD"/>
        <rFont val="Arial"/>
        <family val="2"/>
      </rPr>
      <t>Uber</t>
    </r>
    <r>
      <rPr>
        <sz val="8"/>
        <color rgb="FF202122"/>
        <rFont val="Arial"/>
        <family val="2"/>
      </rPr>
      <t> driver is suspected to have killed six people and wounded two others in a series of shootings targeting random people.</t>
    </r>
    <r>
      <rPr>
        <vertAlign val="superscript"/>
        <sz val="7"/>
        <color rgb="FF0645AD"/>
        <rFont val="Arial"/>
        <family val="2"/>
      </rPr>
      <t>[80]</t>
    </r>
  </si>
  <si>
    <r>
      <t>2015 San Bernardino attack</t>
    </r>
    <r>
      <rPr>
        <sz val="8"/>
        <color rgb="FF202122"/>
        <rFont val="Arial"/>
        <family val="2"/>
      </rPr>
      <t>: A married couple opened fire on the husband's colleagues at a work training event. They killed fourteen people and injured twenty-two before being killed in a shootout with police. </t>
    </r>
    <r>
      <rPr>
        <sz val="8"/>
        <color rgb="FF0645AD"/>
        <rFont val="Arial"/>
        <family val="2"/>
      </rPr>
      <t>Pipe bombs</t>
    </r>
    <r>
      <rPr>
        <sz val="8"/>
        <color rgb="FF202122"/>
        <rFont val="Arial"/>
        <family val="2"/>
      </rPr>
      <t> set at their residence failed to detonate. The two perpetrators are believed to have been </t>
    </r>
    <r>
      <rPr>
        <sz val="8"/>
        <color rgb="FF0645AD"/>
        <rFont val="Arial"/>
        <family val="2"/>
      </rPr>
      <t>radicalized</t>
    </r>
    <r>
      <rPr>
        <sz val="8"/>
        <color rgb="FF202122"/>
        <rFont val="Arial"/>
        <family val="2"/>
      </rPr>
      <t>, though not believed to have been directly connected to a specific foreign terrorist organization.</t>
    </r>
    <r>
      <rPr>
        <vertAlign val="superscript"/>
        <sz val="7"/>
        <color rgb="FF0645AD"/>
        <rFont val="Arial"/>
        <family val="2"/>
      </rPr>
      <t>[81]</t>
    </r>
  </si>
  <si>
    <t>Colorado Springs, Colorado</t>
  </si>
  <si>
    <r>
      <t>Colorado Springs Planned Parenthood shooting</t>
    </r>
    <r>
      <rPr>
        <sz val="8"/>
        <color rgb="FF202122"/>
        <rFont val="Arial"/>
        <family val="2"/>
      </rPr>
      <t>: A man killed two civilians and a police officer and wounded nine others inside a </t>
    </r>
    <r>
      <rPr>
        <sz val="8"/>
        <color rgb="FF0645AD"/>
        <rFont val="Arial"/>
        <family val="2"/>
      </rPr>
      <t>Planned Parenthood</t>
    </r>
    <r>
      <rPr>
        <sz val="8"/>
        <color rgb="FF202122"/>
        <rFont val="Arial"/>
        <family val="2"/>
      </rPr>
      <t> clinic before surrendering to police. The shootings are suspected to have been motivated by the suspect's </t>
    </r>
    <r>
      <rPr>
        <sz val="8"/>
        <color rgb="FF0645AD"/>
        <rFont val="Arial"/>
        <family val="2"/>
      </rPr>
      <t>anti-abortion</t>
    </r>
    <r>
      <rPr>
        <sz val="8"/>
        <color rgb="FF202122"/>
        <rFont val="Arial"/>
        <family val="2"/>
      </rPr>
      <t> views.</t>
    </r>
    <r>
      <rPr>
        <vertAlign val="superscript"/>
        <sz val="7"/>
        <color rgb="FF0645AD"/>
        <rFont val="Arial"/>
        <family val="2"/>
      </rPr>
      <t>[82]</t>
    </r>
  </si>
  <si>
    <t>Minneapolis, Minnesota</t>
  </si>
  <si>
    <r>
      <t>Shooting of protesters at a Black Lives Matter protest</t>
    </r>
    <r>
      <rPr>
        <sz val="8"/>
        <color rgb="FF202122"/>
        <rFont val="Arial"/>
        <family val="2"/>
      </rPr>
      <t>: During a </t>
    </r>
    <r>
      <rPr>
        <sz val="8"/>
        <color rgb="FF0645AD"/>
        <rFont val="Arial"/>
        <family val="2"/>
      </rPr>
      <t>Black Lives Matter</t>
    </r>
    <r>
      <rPr>
        <sz val="8"/>
        <color rgb="FF202122"/>
        <rFont val="Arial"/>
        <family val="2"/>
      </rPr>
      <t> protest related to the </t>
    </r>
    <r>
      <rPr>
        <sz val="8"/>
        <color rgb="FF0645AD"/>
        <rFont val="Arial"/>
        <family val="2"/>
      </rPr>
      <t>shooting of Jamar Clark</t>
    </r>
    <r>
      <rPr>
        <sz val="8"/>
        <color rgb="FF202122"/>
        <rFont val="Arial"/>
        <family val="2"/>
      </rPr>
      <t>, a man opened fire and injured five protestors. The perpetrator was later arrested.</t>
    </r>
    <r>
      <rPr>
        <vertAlign val="superscript"/>
        <sz val="7"/>
        <color rgb="FF0645AD"/>
        <rFont val="Arial"/>
        <family val="2"/>
      </rPr>
      <t>[83]</t>
    </r>
  </si>
  <si>
    <r>
      <t>Halloween 2015 Colorado Springs shooting</t>
    </r>
    <r>
      <rPr>
        <sz val="8"/>
        <color rgb="FF202122"/>
        <rFont val="Arial"/>
        <family val="2"/>
      </rPr>
      <t>. Noah Harpham killed three. Harpham was [[open carrying] with his rifle for some time, before randomly opening fire on random people on the street </t>
    </r>
    <r>
      <rPr>
        <vertAlign val="superscript"/>
        <sz val="7"/>
        <color rgb="FF0645AD"/>
        <rFont val="Arial"/>
        <family val="2"/>
      </rPr>
      <t>[84]</t>
    </r>
  </si>
  <si>
    <t>Roseburg, Oregon</t>
  </si>
  <si>
    <r>
      <t>Umpqua Community College shooting</t>
    </r>
    <r>
      <rPr>
        <sz val="8"/>
        <color rgb="FF202122"/>
        <rFont val="Arial"/>
        <family val="2"/>
      </rPr>
      <t>: A student at </t>
    </r>
    <r>
      <rPr>
        <sz val="8"/>
        <color rgb="FF0645AD"/>
        <rFont val="Arial"/>
        <family val="2"/>
      </rPr>
      <t>Umpqua Community College</t>
    </r>
    <r>
      <rPr>
        <sz val="8"/>
        <color rgb="FF202122"/>
        <rFont val="Arial"/>
        <family val="2"/>
      </rPr>
      <t> killed nine people and injured eight others on the college campus. After being wounded by police officers, he killed himself.</t>
    </r>
    <r>
      <rPr>
        <vertAlign val="superscript"/>
        <sz val="7"/>
        <color rgb="FF0645AD"/>
        <rFont val="Arial"/>
        <family val="2"/>
      </rPr>
      <t>[85]</t>
    </r>
  </si>
  <si>
    <t>Moneta, Virginia</t>
  </si>
  <si>
    <r>
      <t>Murders of Alison Parker and Adam Ward</t>
    </r>
    <r>
      <rPr>
        <sz val="8"/>
        <color rgb="FF202122"/>
        <rFont val="Arial"/>
        <family val="2"/>
      </rPr>
      <t>: An enraged former employee for </t>
    </r>
    <r>
      <rPr>
        <sz val="8"/>
        <color rgb="FF0645AD"/>
        <rFont val="Arial"/>
        <family val="2"/>
      </rPr>
      <t>WDBJ</t>
    </r>
    <r>
      <rPr>
        <sz val="8"/>
        <color rgb="FF202122"/>
        <rFont val="Arial"/>
        <family val="2"/>
      </rPr>
      <t> (Bryce Williams) carried out a preplanned shooting targeting 3 reporters, conducting a live T.V. interview near </t>
    </r>
    <r>
      <rPr>
        <sz val="8"/>
        <color rgb="FF0645AD"/>
        <rFont val="Arial"/>
        <family val="2"/>
      </rPr>
      <t>Smith Mountain Lake</t>
    </r>
    <r>
      <rPr>
        <sz val="8"/>
        <color rgb="FF202122"/>
        <rFont val="Arial"/>
        <family val="2"/>
      </rPr>
      <t>. Alison Parker was fatally shot, and the cameraman Adam Ward was also killed. Vicki Gardner was also shot, but survived. He fled the scene in his car then took off on foot while a massive </t>
    </r>
    <r>
      <rPr>
        <sz val="8"/>
        <color rgb="FF0645AD"/>
        <rFont val="Arial"/>
        <family val="2"/>
      </rPr>
      <t>manhunt</t>
    </r>
    <r>
      <rPr>
        <sz val="8"/>
        <color rgb="FF202122"/>
        <rFont val="Arial"/>
        <family val="2"/>
      </rPr>
      <t> was underway. Before police could approach Williams, he committed </t>
    </r>
    <r>
      <rPr>
        <sz val="8"/>
        <color rgb="FF0645AD"/>
        <rFont val="Arial"/>
        <family val="2"/>
      </rPr>
      <t>suicide</t>
    </r>
    <r>
      <rPr>
        <sz val="8"/>
        <color rgb="FF202122"/>
        <rFont val="Arial"/>
        <family val="2"/>
      </rPr>
      <t> by shooting himself. He stated that the motive was the </t>
    </r>
    <r>
      <rPr>
        <sz val="8"/>
        <color rgb="FF0645AD"/>
        <rFont val="Arial"/>
        <family val="2"/>
      </rPr>
      <t>Charleston church shooting</t>
    </r>
    <r>
      <rPr>
        <sz val="8"/>
        <color rgb="FF202122"/>
        <rFont val="Arial"/>
        <family val="2"/>
      </rPr>
      <t> and possible discrimination at his workplace.</t>
    </r>
    <r>
      <rPr>
        <vertAlign val="superscript"/>
        <sz val="7"/>
        <color rgb="FF0645AD"/>
        <rFont val="Arial"/>
        <family val="2"/>
      </rPr>
      <t>[86]</t>
    </r>
  </si>
  <si>
    <t>Harris County, Texas</t>
  </si>
  <si>
    <r>
      <t>2015 Harris County shooting</t>
    </r>
    <r>
      <rPr>
        <sz val="8"/>
        <color rgb="FF202122"/>
        <rFont val="Arial"/>
        <family val="2"/>
      </rPr>
      <t>: A man broke into his ex-girlfriend's home and held her hostage along with her husband and six children, one of whom was his son. Over the course of nine hours, he killed everyone in the home. After a shootout with police, he surrendered and was taken into custody.</t>
    </r>
    <r>
      <rPr>
        <vertAlign val="superscript"/>
        <sz val="7"/>
        <color rgb="FF0645AD"/>
        <rFont val="Arial"/>
        <family val="2"/>
      </rPr>
      <t>[87]</t>
    </r>
  </si>
  <si>
    <t>Lafayette, Louisiana</t>
  </si>
  <si>
    <r>
      <t>2015 Lafayette shooting</t>
    </r>
    <r>
      <rPr>
        <sz val="8"/>
        <color rgb="FF202122"/>
        <rFont val="Arial"/>
        <family val="2"/>
      </rPr>
      <t>: A gunman killed two people and injured nine in a shooting at a movie theater. After trying to blend into the crowd leaving the theater, the gunman heard sirens, returned to the theater, and killed himself.</t>
    </r>
    <r>
      <rPr>
        <vertAlign val="superscript"/>
        <sz val="7"/>
        <color rgb="FF0645AD"/>
        <rFont val="Arial"/>
        <family val="2"/>
      </rPr>
      <t>[88]</t>
    </r>
  </si>
  <si>
    <t>Chattanooga, Tennessee</t>
  </si>
  <si>
    <r>
      <t>2015 Chattanooga shootings</t>
    </r>
    <r>
      <rPr>
        <sz val="8"/>
        <color rgb="FF202122"/>
        <rFont val="Arial"/>
        <family val="2"/>
      </rPr>
      <t>: A man committed a drive-by shooting at a military recruitment center in a strip mall, wounding one </t>
    </r>
    <r>
      <rPr>
        <sz val="8"/>
        <color rgb="FF0645AD"/>
        <rFont val="Arial"/>
        <family val="2"/>
      </rPr>
      <t>Marine</t>
    </r>
    <r>
      <rPr>
        <sz val="8"/>
        <color rgb="FF202122"/>
        <rFont val="Arial"/>
        <family val="2"/>
      </rPr>
      <t>. With police in pursuit, he drove to a </t>
    </r>
    <r>
      <rPr>
        <sz val="8"/>
        <color rgb="FF0645AD"/>
        <rFont val="Arial"/>
        <family val="2"/>
      </rPr>
      <t>U.S. Navy Reserve center</t>
    </r>
    <r>
      <rPr>
        <sz val="8"/>
        <color rgb="FF202122"/>
        <rFont val="Arial"/>
        <family val="2"/>
      </rPr>
      <t> and rammed his vehicle through a gate. He fatally wounded a </t>
    </r>
    <r>
      <rPr>
        <sz val="8"/>
        <color rgb="FF0645AD"/>
        <rFont val="Arial"/>
        <family val="2"/>
      </rPr>
      <t>Navy</t>
    </r>
    <r>
      <rPr>
        <sz val="8"/>
        <color rgb="FF202122"/>
        <rFont val="Arial"/>
        <family val="2"/>
      </rPr>
      <t> sailor, killed four Marines, and wounded a police officer before being killed by a naval commander.</t>
    </r>
    <r>
      <rPr>
        <vertAlign val="superscript"/>
        <sz val="7"/>
        <color rgb="FF0645AD"/>
        <rFont val="Arial"/>
        <family val="2"/>
      </rPr>
      <t>[89]</t>
    </r>
    <r>
      <rPr>
        <sz val="8"/>
        <color rgb="FF202122"/>
        <rFont val="Arial"/>
        <family val="2"/>
      </rPr>
      <t> The FBI later determined the gunman had been motivated by propaganda published by terrorist organizations.</t>
    </r>
    <r>
      <rPr>
        <vertAlign val="superscript"/>
        <sz val="7"/>
        <color rgb="FF0645AD"/>
        <rFont val="Arial"/>
        <family val="2"/>
      </rPr>
      <t>[90]</t>
    </r>
  </si>
  <si>
    <t>Charleston, South Carolina</t>
  </si>
  <si>
    <r>
      <t>Charleston church shooting</t>
    </r>
    <r>
      <rPr>
        <sz val="8"/>
        <color rgb="FF202122"/>
        <rFont val="Arial"/>
        <family val="2"/>
      </rPr>
      <t>: A </t>
    </r>
    <r>
      <rPr>
        <sz val="8"/>
        <color rgb="FF0645AD"/>
        <rFont val="Arial"/>
        <family val="2"/>
      </rPr>
      <t>white supremacist</t>
    </r>
    <r>
      <rPr>
        <sz val="8"/>
        <color rgb="FF202122"/>
        <rFont val="Arial"/>
        <family val="2"/>
      </rPr>
      <t> killed nine black people during a prayer service at the </t>
    </r>
    <r>
      <rPr>
        <sz val="8"/>
        <color rgb="FF0645AD"/>
        <rFont val="Arial"/>
        <family val="2"/>
      </rPr>
      <t>Emanuel African Methodist Episcopal Church</t>
    </r>
    <r>
      <rPr>
        <sz val="8"/>
        <color rgb="FF202122"/>
        <rFont val="Arial"/>
        <family val="2"/>
      </rPr>
      <t>, wounding one other. He was taken into custody by police, and later said that he committed the shootings in an attempt to start a "race war".</t>
    </r>
    <r>
      <rPr>
        <vertAlign val="superscript"/>
        <sz val="7"/>
        <color rgb="FF0645AD"/>
        <rFont val="Arial"/>
        <family val="2"/>
      </rPr>
      <t>[91][92]</t>
    </r>
  </si>
  <si>
    <t>Waco, Texas</t>
  </si>
  <si>
    <r>
      <t>2015 Waco shootout</t>
    </r>
    <r>
      <rPr>
        <sz val="8"/>
        <color rgb="FF202122"/>
        <rFont val="Arial"/>
        <family val="2"/>
      </rPr>
      <t>: Gunfire broke out at a restaurant where members of several </t>
    </r>
    <r>
      <rPr>
        <sz val="8"/>
        <color rgb="FF0645AD"/>
        <rFont val="Arial"/>
        <family val="2"/>
      </rPr>
      <t>motorcycle clubs</t>
    </r>
    <r>
      <rPr>
        <sz val="8"/>
        <color rgb="FF202122"/>
        <rFont val="Arial"/>
        <family val="2"/>
      </rPr>
      <t> had gathered to discuss political rights for motorcyclists. Members of the clubs and police were both involved in the gunfire. Nine people were killed and eighteen were injured in the shootout, all members of the motorcycle clubs. The shooting may have resulted from a territorial dispute between two of the motorcycle clubs.</t>
    </r>
    <r>
      <rPr>
        <vertAlign val="superscript"/>
        <sz val="7"/>
        <color rgb="FF0645AD"/>
        <rFont val="Arial"/>
        <family val="2"/>
      </rPr>
      <t>[93]</t>
    </r>
  </si>
  <si>
    <t>Menasha, Wisconsin</t>
  </si>
  <si>
    <t>A lone gunman, Sergio Daniel Valencia del Toro, 27, opens fire on random pedestrian while on the Trestle Trail Bridge, a bridge a part of a popular local recreational park trail, and shortly afterwards commits suicide [94]</t>
  </si>
  <si>
    <t>Tyrone, Missouri</t>
  </si>
  <si>
    <r>
      <t>2015 Tyrone shooting</t>
    </r>
    <r>
      <rPr>
        <sz val="8"/>
        <color rgb="FF202122"/>
        <rFont val="Arial"/>
        <family val="2"/>
      </rPr>
      <t>: A man killed seven people and wounded one after going door-to-door and shooting people in four separate homes. Four of the people he killed were family members. The man then killed himself. The shooting was possibly motivated by the man finding his mother dead from natural causes.</t>
    </r>
    <r>
      <rPr>
        <vertAlign val="superscript"/>
        <sz val="7"/>
        <color rgb="FF0645AD"/>
        <rFont val="Arial"/>
        <family val="2"/>
      </rPr>
      <t>[95]</t>
    </r>
  </si>
  <si>
    <t>Montgomery County, Pennsylvania</t>
  </si>
  <si>
    <r>
      <t>2014 Montgomery County shootings</t>
    </r>
    <r>
      <rPr>
        <sz val="8"/>
        <color rgb="FF202122"/>
        <rFont val="Arial"/>
        <family val="2"/>
      </rPr>
      <t>: Six people were found dead and one wounded in three locations across Montgomery County. The shooter was found dead the next day after committing suicide by overdose. One of the victims was the shooter's ex-wife, the others were her relatives.</t>
    </r>
    <r>
      <rPr>
        <vertAlign val="superscript"/>
        <sz val="7"/>
        <color rgb="FF0645AD"/>
        <rFont val="Arial"/>
        <family val="2"/>
      </rPr>
      <t>[96]</t>
    </r>
  </si>
  <si>
    <t>Portland, Oregon</t>
  </si>
  <si>
    <r>
      <t>Rosemary Anderson High School shooting</t>
    </r>
    <r>
      <rPr>
        <sz val="8"/>
        <color rgb="FF202122"/>
        <rFont val="Arial"/>
        <family val="2"/>
      </rPr>
      <t>: A perpetrator shot and injured three students and an adult outside of the school.</t>
    </r>
    <r>
      <rPr>
        <vertAlign val="superscript"/>
        <sz val="7"/>
        <color rgb="FF0645AD"/>
        <rFont val="Arial"/>
        <family val="2"/>
      </rPr>
      <t>[97]</t>
    </r>
  </si>
  <si>
    <t>Marysville, Washington</t>
  </si>
  <si>
    <r>
      <t>Marysville Pilchuck High School shooting</t>
    </r>
    <r>
      <rPr>
        <sz val="8"/>
        <color rgb="FF202122"/>
        <rFont val="Arial"/>
        <family val="2"/>
      </rPr>
      <t>: A fifteen-year-old killed four people and injured one other in the cafeteria of </t>
    </r>
    <r>
      <rPr>
        <sz val="8"/>
        <color rgb="FF0645AD"/>
        <rFont val="Arial"/>
        <family val="2"/>
      </rPr>
      <t>Marysville Pilchuck High School</t>
    </r>
    <r>
      <rPr>
        <sz val="8"/>
        <color rgb="FF202122"/>
        <rFont val="Arial"/>
        <family val="2"/>
      </rPr>
      <t> before killing himself.</t>
    </r>
    <r>
      <rPr>
        <vertAlign val="superscript"/>
        <sz val="7"/>
        <color rgb="FF0645AD"/>
        <rFont val="Arial"/>
        <family val="2"/>
      </rPr>
      <t>[98]</t>
    </r>
  </si>
  <si>
    <t>Spring, Texas</t>
  </si>
  <si>
    <r>
      <t>2014 Harris County shooting</t>
    </r>
    <r>
      <rPr>
        <sz val="8"/>
        <color rgb="FF202122"/>
        <rFont val="Arial"/>
        <family val="2"/>
      </rPr>
      <t>: A man is suspected of killing six of his family members and wounding a seventh. He was arrested after a brief chase and a standoff that lasted several hours.</t>
    </r>
    <r>
      <rPr>
        <vertAlign val="superscript"/>
        <sz val="7"/>
        <color rgb="FF0645AD"/>
        <rFont val="Arial"/>
        <family val="2"/>
      </rPr>
      <t>[99]</t>
    </r>
  </si>
  <si>
    <t>Isla Vista, California</t>
  </si>
  <si>
    <r>
      <t>2014 Isla Vista killings</t>
    </r>
    <r>
      <rPr>
        <sz val="8"/>
        <color rgb="FF202122"/>
        <rFont val="Arial"/>
        <family val="2"/>
      </rPr>
      <t>: Several hours after stabbing and killing his three roommates, a man drove to a sorority house near the </t>
    </r>
    <r>
      <rPr>
        <sz val="8"/>
        <color rgb="FF0645AD"/>
        <rFont val="Arial"/>
        <family val="2"/>
      </rPr>
      <t>University of California, Santa Barbara</t>
    </r>
    <r>
      <rPr>
        <sz val="8"/>
        <color rgb="FF202122"/>
        <rFont val="Arial"/>
        <family val="2"/>
      </rPr>
      <t> and knocked on the door. After receiving no answer, he began shooting at people nearby, killing two members of another sorority and injuring a third. He then returned to his car and continued to shoot at and ram people with his vehicle before killing himself with a gunshot.</t>
    </r>
    <r>
      <rPr>
        <vertAlign val="superscript"/>
        <sz val="7"/>
        <color rgb="FF0645AD"/>
        <rFont val="Arial"/>
        <family val="2"/>
      </rPr>
      <t>[100]</t>
    </r>
    <r>
      <rPr>
        <sz val="8"/>
        <color rgb="FF202122"/>
        <rFont val="Arial"/>
        <family val="2"/>
      </rPr>
      <t> The attack is believed to have been motivated by the killer's hatred of women and frustration with his dating and family life.</t>
    </r>
    <r>
      <rPr>
        <vertAlign val="superscript"/>
        <sz val="7"/>
        <color rgb="FF0645AD"/>
        <rFont val="Arial"/>
        <family val="2"/>
      </rPr>
      <t>[101]</t>
    </r>
  </si>
  <si>
    <t>Fort Hood, Texas</t>
  </si>
  <si>
    <r>
      <t>2014 Fort Hood shooting</t>
    </r>
    <r>
      <rPr>
        <sz val="8"/>
        <color rgb="FF202122"/>
        <rFont val="Arial"/>
        <family val="2"/>
      </rPr>
      <t>: After being denied leave from the Fort Hood military base where he was stationed, a man killed three people and injured fourteen before killing himself.</t>
    </r>
    <r>
      <rPr>
        <vertAlign val="superscript"/>
        <sz val="7"/>
        <color rgb="FF0645AD"/>
        <rFont val="Arial"/>
        <family val="2"/>
      </rPr>
      <t>[102]</t>
    </r>
  </si>
  <si>
    <t>Dnů to dalšího incidentu</t>
  </si>
  <si>
    <t>Minimum</t>
  </si>
  <si>
    <t>Maximum</t>
  </si>
  <si>
    <t>ECDF</t>
  </si>
  <si>
    <t>x sorted</t>
  </si>
  <si>
    <t>ECDF(x)</t>
  </si>
  <si>
    <t>x</t>
  </si>
  <si>
    <t>pocent &lt; x</t>
  </si>
  <si>
    <t>Distinct</t>
  </si>
  <si>
    <t>Exponenciální model</t>
  </si>
  <si>
    <t>tau</t>
  </si>
  <si>
    <t>CDF(x)</t>
  </si>
  <si>
    <t>CM</t>
  </si>
  <si>
    <t>CM_adj</t>
  </si>
  <si>
    <t>KS test</t>
  </si>
  <si>
    <t>D</t>
  </si>
  <si>
    <t>N</t>
  </si>
  <si>
    <t>alpha</t>
  </si>
  <si>
    <t>CDF(x; tau_dol)</t>
  </si>
  <si>
    <t>CDF(x; tau_hor)</t>
  </si>
  <si>
    <t>Cramer - Von Mises test</t>
  </si>
  <si>
    <t>beta_2</t>
  </si>
  <si>
    <t>beta</t>
  </si>
  <si>
    <t>gamma</t>
  </si>
  <si>
    <t>1 - beta_1</t>
  </si>
  <si>
    <t>Kritická hodn.</t>
  </si>
  <si>
    <t>Row Labels</t>
  </si>
  <si>
    <t>Grand Total</t>
  </si>
  <si>
    <t>Column Labels</t>
  </si>
  <si>
    <t>Count of Injured</t>
  </si>
  <si>
    <t>P[T &lt;= s+t| T&gt;s]</t>
  </si>
  <si>
    <t>Model</t>
  </si>
  <si>
    <t>Last Update</t>
  </si>
  <si>
    <t>Model Overview</t>
  </si>
  <si>
    <t>Main Worksheets:</t>
  </si>
  <si>
    <t>Contents</t>
  </si>
  <si>
    <t>Workbook Key</t>
  </si>
  <si>
    <t>User Inputs</t>
  </si>
  <si>
    <t>Value from Another Sheet</t>
  </si>
  <si>
    <t>Calculation</t>
  </si>
  <si>
    <t>Project</t>
  </si>
  <si>
    <t>Personal</t>
  </si>
  <si>
    <t>Probabilistic Model of the Time Between Mass Shootings in the USA</t>
  </si>
  <si>
    <t>Fitting and validation of the exponential model to a data set about mass shootings</t>
  </si>
  <si>
    <t>Description</t>
  </si>
  <si>
    <t>Source: https://en.wikipedia.org/wiki/List_of_mass_shootings_in_the_United_States</t>
  </si>
  <si>
    <t>1. Raw Data</t>
  </si>
  <si>
    <t>Order</t>
  </si>
  <si>
    <t>Number of days to next incident</t>
  </si>
  <si>
    <t>Number of days cumulative</t>
  </si>
  <si>
    <t>Year</t>
  </si>
  <si>
    <t>Number of Incidents</t>
  </si>
  <si>
    <t>Average</t>
  </si>
  <si>
    <t>Median</t>
  </si>
  <si>
    <t>Standard devidation</t>
  </si>
  <si>
    <t>Sample size</t>
  </si>
  <si>
    <t>Month</t>
  </si>
  <si>
    <t>Incidents</t>
  </si>
  <si>
    <t>2. Data and Exploration</t>
  </si>
  <si>
    <t>Data preparation and exploratory analysis, ECDF, histogram</t>
  </si>
  <si>
    <t>3. Exp Model</t>
  </si>
  <si>
    <t>Point estimation of tau</t>
  </si>
  <si>
    <t>Interval estimation of tau: 100(1-alpha)% confidence interval</t>
  </si>
  <si>
    <t>Sample size: n</t>
  </si>
  <si>
    <t>Tolerance Interval</t>
  </si>
  <si>
    <t>Lower bound: x_d</t>
  </si>
  <si>
    <t>Upper bound: x_h</t>
  </si>
  <si>
    <t>Lower bound: tau_d</t>
  </si>
  <si>
    <t>Upper bound: tau_h</t>
  </si>
  <si>
    <t>Last incident</t>
  </si>
  <si>
    <t>Today</t>
  </si>
  <si>
    <t>Number of days from the last incident: s</t>
  </si>
  <si>
    <t>The probability that the population is "covered" by the interval (x_d, x_h) is beta. The probability of this statement is gamma.</t>
  </si>
  <si>
    <t>4. Validation</t>
  </si>
  <si>
    <t>Validation of the model using CM test and KS test</t>
  </si>
  <si>
    <t>Estimation of the parameter of the exponential model, confidence interval, and tolerance interval, probability of next incident</t>
  </si>
  <si>
    <t>Author</t>
  </si>
  <si>
    <t>Jan Matas</t>
  </si>
  <si>
    <t>In other words, the next incident will occur between x_d and x_h days with probability beta. The probability of this statemnt is gamma.</t>
  </si>
  <si>
    <t>Number of days from today: t</t>
  </si>
  <si>
    <t>Probability that the next incident happens in next t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</si>
</sst>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00"/>
  </numFmts>
  <fonts count="21" x14ac:knownFonts="1">
    <font>
      <sz val="11"/>
      <color theme="1"/>
      <name val="Calibri"/>
      <family val="2"/>
      <scheme val="minor"/>
    </font>
    <font>
      <i/>
      <sz val="8"/>
      <color rgb="FF0645AD"/>
      <name val="Arial"/>
      <family val="2"/>
    </font>
    <font>
      <b/>
      <sz val="8"/>
      <color rgb="FF202122"/>
      <name val="Arial"/>
      <family val="2"/>
    </font>
    <font>
      <sz val="8"/>
      <color rgb="FF202122"/>
      <name val="Arial"/>
      <family val="2"/>
    </font>
    <font>
      <sz val="8"/>
      <color rgb="FF0645AD"/>
      <name val="Arial"/>
      <family val="2"/>
    </font>
    <font>
      <vertAlign val="superscript"/>
      <sz val="7"/>
      <color rgb="FF0645AD"/>
      <name val="Arial"/>
      <family val="2"/>
    </font>
    <font>
      <u/>
      <sz val="11"/>
      <color theme="10"/>
      <name val="Calibri"/>
      <family val="2"/>
      <scheme val="minor"/>
    </font>
    <font>
      <sz val="11"/>
      <color rgb="FF202122"/>
      <name val="Arial"/>
      <family val="2"/>
    </font>
    <font>
      <b/>
      <sz val="11"/>
      <name val="Times New Roman"/>
      <family val="1"/>
      <charset val="238"/>
    </font>
    <font>
      <sz val="8"/>
      <name val="Calibri"/>
      <family val="2"/>
      <scheme val="minor"/>
    </font>
    <font>
      <b/>
      <sz val="9"/>
      <color indexed="81"/>
      <name val="Tahoma"/>
      <family val="2"/>
    </font>
    <font>
      <b/>
      <sz val="11"/>
      <color theme="1"/>
      <name val="Calibri"/>
      <family val="2"/>
      <scheme val="minor"/>
    </font>
    <font>
      <b/>
      <sz val="10"/>
      <color theme="1"/>
      <name val="Calibri"/>
      <family val="2"/>
      <scheme val="minor"/>
    </font>
    <font>
      <sz val="10"/>
      <color theme="1"/>
      <name val="Calibri"/>
      <family val="2"/>
      <scheme val="minor"/>
    </font>
    <font>
      <i/>
      <sz val="10"/>
      <color rgb="FF000000"/>
      <name val="Calibri"/>
      <family val="2"/>
      <scheme val="minor"/>
    </font>
    <font>
      <b/>
      <sz val="10"/>
      <color rgb="FF002060"/>
      <name val="Calibri"/>
      <family val="2"/>
      <scheme val="minor"/>
    </font>
    <font>
      <b/>
      <sz val="10"/>
      <color rgb="FF00B050"/>
      <name val="Calibri"/>
      <family val="2"/>
      <scheme val="minor"/>
    </font>
    <font>
      <b/>
      <sz val="10"/>
      <name val="Calibri"/>
      <family val="2"/>
      <scheme val="minor"/>
    </font>
    <font>
      <sz val="10"/>
      <name val="Calibri"/>
      <family val="2"/>
      <scheme val="minor"/>
    </font>
    <font>
      <b/>
      <sz val="11"/>
      <color rgb="FF002060"/>
      <name val="Calibri"/>
      <family val="2"/>
      <scheme val="minor"/>
    </font>
    <font>
      <sz val="11"/>
      <color rgb="FF00B050"/>
      <name val="Calibri"/>
      <family val="2"/>
      <scheme val="minor"/>
    </font>
  </fonts>
  <fills count="8">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indexed="22"/>
        <bgColor indexed="64"/>
      </patternFill>
    </fill>
    <fill>
      <patternFill patternType="solid">
        <fgColor theme="0"/>
        <bgColor indexed="64"/>
      </patternFill>
    </fill>
    <fill>
      <patternFill patternType="solid">
        <fgColor theme="1" tint="0.249977111117893"/>
        <bgColor indexed="64"/>
      </patternFill>
    </fill>
    <fill>
      <patternFill patternType="solid">
        <fgColor theme="0" tint="-0.249977111117893"/>
        <bgColor indexed="64"/>
      </patternFill>
    </fill>
  </fills>
  <borders count="41">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98">
    <xf numFmtId="0" fontId="0" fillId="0" borderId="0" xfId="0"/>
    <xf numFmtId="0" fontId="2" fillId="3" borderId="1" xfId="0" applyFont="1" applyFill="1" applyBorder="1" applyAlignment="1">
      <alignment horizontal="center" vertical="center"/>
    </xf>
    <xf numFmtId="15" fontId="3" fillId="2" borderId="1" xfId="0" applyNumberFormat="1" applyFont="1" applyFill="1" applyBorder="1" applyAlignment="1">
      <alignment vertical="center"/>
    </xf>
    <xf numFmtId="0" fontId="6" fillId="2" borderId="1" xfId="1" applyFill="1" applyBorder="1" applyAlignment="1">
      <alignment vertical="center"/>
    </xf>
    <xf numFmtId="0" fontId="3" fillId="2" borderId="1" xfId="0" applyFont="1" applyFill="1" applyBorder="1" applyAlignment="1">
      <alignment vertical="center"/>
    </xf>
    <xf numFmtId="0" fontId="2" fillId="2" borderId="1" xfId="0" applyFont="1" applyFill="1" applyBorder="1" applyAlignment="1">
      <alignment vertical="center"/>
    </xf>
    <xf numFmtId="0" fontId="4" fillId="2" borderId="1" xfId="0" applyFont="1" applyFill="1" applyBorder="1" applyAlignment="1">
      <alignment vertical="center"/>
    </xf>
    <xf numFmtId="0" fontId="3" fillId="2" borderId="2" xfId="0" applyFont="1" applyFill="1" applyBorder="1" applyAlignment="1">
      <alignment vertical="center"/>
    </xf>
    <xf numFmtId="0" fontId="2" fillId="2" borderId="2" xfId="0" applyFont="1" applyFill="1" applyBorder="1" applyAlignment="1">
      <alignment vertical="center"/>
    </xf>
    <xf numFmtId="15" fontId="7" fillId="0" borderId="0" xfId="0" applyNumberFormat="1" applyFont="1" applyFill="1" applyBorder="1" applyAlignment="1">
      <alignment vertical="center"/>
    </xf>
    <xf numFmtId="0" fontId="8" fillId="4" borderId="4" xfId="0" applyFont="1" applyFill="1" applyBorder="1" applyAlignment="1">
      <alignment horizontal="left" vertical="center"/>
    </xf>
    <xf numFmtId="0" fontId="0" fillId="0" borderId="5" xfId="0" applyBorder="1"/>
    <xf numFmtId="0" fontId="0" fillId="0" borderId="6" xfId="0" applyBorder="1"/>
    <xf numFmtId="0" fontId="0" fillId="0" borderId="7" xfId="0" applyBorder="1"/>
    <xf numFmtId="0" fontId="0" fillId="0" borderId="8" xfId="0" applyBorder="1"/>
    <xf numFmtId="0" fontId="8" fillId="4" borderId="9" xfId="0" applyFont="1" applyFill="1" applyBorder="1" applyAlignment="1">
      <alignment horizontal="left" vertical="center"/>
    </xf>
    <xf numFmtId="0" fontId="8" fillId="4" borderId="10" xfId="0" applyFont="1" applyFill="1" applyBorder="1" applyAlignment="1">
      <alignment horizontal="left" vertical="center"/>
    </xf>
    <xf numFmtId="164" fontId="0" fillId="0" borderId="0" xfId="0" applyNumberFormat="1"/>
    <xf numFmtId="0" fontId="0" fillId="0" borderId="11" xfId="0" applyBorder="1"/>
    <xf numFmtId="0" fontId="8" fillId="4" borderId="12" xfId="0" applyFont="1" applyFill="1" applyBorder="1" applyAlignment="1">
      <alignment horizontal="left" vertical="center"/>
    </xf>
    <xf numFmtId="2" fontId="0" fillId="0" borderId="6" xfId="0" applyNumberFormat="1" applyBorder="1"/>
    <xf numFmtId="0" fontId="8" fillId="4" borderId="12" xfId="0" applyFont="1" applyFill="1" applyBorder="1" applyAlignment="1">
      <alignment horizontal="left"/>
    </xf>
    <xf numFmtId="0" fontId="8" fillId="4" borderId="13" xfId="0" applyFont="1" applyFill="1" applyBorder="1" applyAlignment="1">
      <alignment horizontal="left"/>
    </xf>
    <xf numFmtId="0" fontId="8" fillId="4" borderId="3" xfId="0" applyFont="1" applyFill="1" applyBorder="1" applyAlignment="1">
      <alignment horizontal="left" vertical="center"/>
    </xf>
    <xf numFmtId="3" fontId="0" fillId="0" borderId="8" xfId="0" applyNumberFormat="1" applyBorder="1"/>
    <xf numFmtId="2" fontId="0" fillId="0" borderId="0" xfId="0" applyNumberFormat="1"/>
    <xf numFmtId="0" fontId="8" fillId="4" borderId="14" xfId="0" applyFont="1" applyFill="1" applyBorder="1" applyAlignment="1">
      <alignment horizontal="left" vertical="center"/>
    </xf>
    <xf numFmtId="0" fontId="8" fillId="4" borderId="15" xfId="0" applyFont="1" applyFill="1" applyBorder="1" applyAlignment="1">
      <alignment horizontal="left" vertical="center"/>
    </xf>
    <xf numFmtId="0" fontId="8" fillId="4" borderId="11" xfId="0" applyFont="1" applyFill="1" applyBorder="1" applyAlignment="1">
      <alignment horizontal="left" vertical="center"/>
    </xf>
    <xf numFmtId="0" fontId="8" fillId="4" borderId="7" xfId="0" applyFont="1" applyFill="1" applyBorder="1" applyAlignment="1">
      <alignment horizontal="left" vertical="center"/>
    </xf>
    <xf numFmtId="0" fontId="8" fillId="4" borderId="16" xfId="0" applyFont="1" applyFill="1" applyBorder="1" applyAlignment="1">
      <alignment horizontal="left" vertical="center"/>
    </xf>
    <xf numFmtId="0" fontId="8" fillId="4" borderId="8" xfId="0" applyFont="1" applyFill="1" applyBorder="1" applyAlignment="1">
      <alignment horizontal="left" vertical="center"/>
    </xf>
    <xf numFmtId="4" fontId="0" fillId="0" borderId="0" xfId="0" applyNumberFormat="1"/>
    <xf numFmtId="2" fontId="8" fillId="4" borderId="16" xfId="0" applyNumberFormat="1" applyFont="1" applyFill="1" applyBorder="1" applyAlignment="1">
      <alignment horizontal="left" vertical="center"/>
    </xf>
    <xf numFmtId="2" fontId="8" fillId="4" borderId="8" xfId="0" applyNumberFormat="1" applyFont="1" applyFill="1" applyBorder="1" applyAlignment="1">
      <alignment horizontal="left" vertical="center"/>
    </xf>
    <xf numFmtId="0" fontId="0" fillId="0" borderId="14" xfId="0" applyBorder="1"/>
    <xf numFmtId="0" fontId="8" fillId="4" borderId="17" xfId="0" applyFont="1" applyFill="1" applyBorder="1" applyAlignment="1">
      <alignment horizontal="left" vertical="center"/>
    </xf>
    <xf numFmtId="0" fontId="8" fillId="4" borderId="18" xfId="0" applyFont="1" applyFill="1" applyBorder="1" applyAlignment="1">
      <alignment horizontal="left" vertical="center"/>
    </xf>
    <xf numFmtId="0" fontId="8" fillId="4" borderId="19" xfId="0" applyFont="1" applyFill="1" applyBorder="1" applyAlignment="1">
      <alignment horizontal="left" vertical="center"/>
    </xf>
    <xf numFmtId="0" fontId="8" fillId="4" borderId="20" xfId="0" applyFont="1" applyFill="1" applyBorder="1" applyAlignment="1">
      <alignment horizontal="left" vertical="center"/>
    </xf>
    <xf numFmtId="0" fontId="8" fillId="4" borderId="21" xfId="0" applyFont="1" applyFill="1" applyBorder="1" applyAlignment="1">
      <alignment horizontal="left" vertical="center"/>
    </xf>
    <xf numFmtId="0" fontId="0" fillId="0" borderId="17" xfId="0" applyBorder="1" applyAlignment="1">
      <alignment horizontal="left"/>
    </xf>
    <xf numFmtId="2" fontId="0" fillId="0" borderId="17" xfId="0" applyNumberFormat="1" applyBorder="1" applyAlignment="1">
      <alignment horizontal="left"/>
    </xf>
    <xf numFmtId="0" fontId="0" fillId="0" borderId="0" xfId="0" applyAlignment="1">
      <alignment horizontal="left"/>
    </xf>
    <xf numFmtId="0" fontId="0" fillId="0" borderId="0" xfId="0" applyFill="1" applyBorder="1"/>
    <xf numFmtId="0" fontId="4" fillId="0" borderId="0" xfId="0" applyFont="1" applyFill="1" applyBorder="1" applyAlignment="1">
      <alignment vertical="center"/>
    </xf>
    <xf numFmtId="0" fontId="0" fillId="0" borderId="0" xfId="0" pivotButton="1"/>
    <xf numFmtId="0" fontId="0" fillId="0" borderId="0" xfId="0" applyNumberFormat="1"/>
    <xf numFmtId="0" fontId="8" fillId="4" borderId="13" xfId="0" applyFont="1" applyFill="1" applyBorder="1" applyAlignment="1">
      <alignment horizontal="left" vertical="center"/>
    </xf>
    <xf numFmtId="15" fontId="0" fillId="0" borderId="6" xfId="0" applyNumberFormat="1" applyBorder="1"/>
    <xf numFmtId="10" fontId="0" fillId="0" borderId="8" xfId="0" applyNumberFormat="1" applyBorder="1"/>
    <xf numFmtId="0" fontId="12" fillId="5" borderId="21" xfId="0" applyFont="1" applyFill="1" applyBorder="1"/>
    <xf numFmtId="0" fontId="13" fillId="6" borderId="0" xfId="0" applyFont="1" applyFill="1"/>
    <xf numFmtId="0" fontId="13" fillId="5" borderId="0" xfId="0" applyFont="1" applyFill="1"/>
    <xf numFmtId="0" fontId="14" fillId="5" borderId="6" xfId="0" applyFont="1" applyFill="1" applyBorder="1"/>
    <xf numFmtId="0" fontId="13" fillId="5" borderId="6" xfId="0" applyFont="1" applyFill="1" applyBorder="1"/>
    <xf numFmtId="0" fontId="15" fillId="5" borderId="31" xfId="0" applyFont="1" applyFill="1" applyBorder="1"/>
    <xf numFmtId="0" fontId="16" fillId="5" borderId="32" xfId="0" applyFont="1" applyFill="1" applyBorder="1"/>
    <xf numFmtId="0" fontId="12" fillId="5" borderId="33" xfId="0" applyFont="1" applyFill="1" applyBorder="1"/>
    <xf numFmtId="0" fontId="17" fillId="7" borderId="3" xfId="0" applyFont="1" applyFill="1" applyBorder="1"/>
    <xf numFmtId="0" fontId="17" fillId="7" borderId="30" xfId="0" applyFont="1" applyFill="1" applyBorder="1"/>
    <xf numFmtId="0" fontId="17" fillId="7" borderId="28" xfId="0" applyFont="1" applyFill="1" applyBorder="1"/>
    <xf numFmtId="0" fontId="18" fillId="6" borderId="0" xfId="0" applyFont="1" applyFill="1"/>
    <xf numFmtId="0" fontId="12" fillId="5" borderId="0" xfId="0" applyFont="1" applyFill="1" applyBorder="1"/>
    <xf numFmtId="0" fontId="12" fillId="5" borderId="20" xfId="0" applyFont="1" applyFill="1" applyBorder="1"/>
    <xf numFmtId="15" fontId="12" fillId="5" borderId="20" xfId="0" applyNumberFormat="1" applyFont="1" applyFill="1" applyBorder="1" applyAlignment="1">
      <alignment horizontal="left"/>
    </xf>
    <xf numFmtId="0" fontId="13" fillId="5" borderId="0" xfId="0" applyFont="1" applyFill="1" applyAlignment="1">
      <alignment horizontal="left"/>
    </xf>
    <xf numFmtId="0" fontId="8" fillId="4" borderId="3" xfId="0" applyFont="1" applyFill="1" applyBorder="1" applyAlignment="1">
      <alignment horizontal="left" vertical="center" wrapText="1"/>
    </xf>
    <xf numFmtId="2" fontId="0" fillId="0" borderId="21" xfId="0" applyNumberFormat="1" applyBorder="1"/>
    <xf numFmtId="0" fontId="8" fillId="4" borderId="34" xfId="0" applyFont="1" applyFill="1" applyBorder="1" applyAlignment="1">
      <alignment horizontal="left" vertical="center"/>
    </xf>
    <xf numFmtId="0" fontId="8" fillId="4" borderId="35" xfId="0" applyFont="1" applyFill="1" applyBorder="1" applyAlignment="1">
      <alignment horizontal="left" vertical="center"/>
    </xf>
    <xf numFmtId="0" fontId="8" fillId="4" borderId="36" xfId="0" applyFont="1" applyFill="1" applyBorder="1" applyAlignment="1">
      <alignment horizontal="left" vertical="center"/>
    </xf>
    <xf numFmtId="0" fontId="20" fillId="0" borderId="6" xfId="0" applyFont="1" applyBorder="1"/>
    <xf numFmtId="15" fontId="19" fillId="0" borderId="6" xfId="0" applyNumberFormat="1" applyFont="1" applyBorder="1"/>
    <xf numFmtId="0" fontId="8" fillId="4" borderId="37" xfId="0" applyFont="1" applyFill="1" applyBorder="1" applyAlignment="1">
      <alignment horizontal="left" vertical="center"/>
    </xf>
    <xf numFmtId="4" fontId="19" fillId="5" borderId="17" xfId="0" applyNumberFormat="1" applyFont="1" applyFill="1" applyBorder="1"/>
    <xf numFmtId="0" fontId="8" fillId="4" borderId="38" xfId="0" applyFont="1" applyFill="1" applyBorder="1" applyAlignment="1">
      <alignment horizontal="left" vertical="center"/>
    </xf>
    <xf numFmtId="4" fontId="19" fillId="5" borderId="39" xfId="0" applyNumberFormat="1" applyFont="1" applyFill="1" applyBorder="1"/>
    <xf numFmtId="0" fontId="0" fillId="0" borderId="39" xfId="0" applyBorder="1"/>
    <xf numFmtId="2" fontId="0" fillId="0" borderId="39" xfId="0" applyNumberFormat="1" applyBorder="1"/>
    <xf numFmtId="166" fontId="0" fillId="0" borderId="40" xfId="0" applyNumberFormat="1" applyBorder="1"/>
    <xf numFmtId="0" fontId="0" fillId="7" borderId="20" xfId="0" applyFill="1" applyBorder="1"/>
    <xf numFmtId="0" fontId="0" fillId="7" borderId="21" xfId="0" applyFill="1" applyBorder="1"/>
    <xf numFmtId="0" fontId="11" fillId="7" borderId="19" xfId="0" applyFont="1" applyFill="1" applyBorder="1"/>
    <xf numFmtId="3" fontId="19" fillId="5" borderId="39" xfId="0" applyNumberFormat="1" applyFont="1" applyFill="1" applyBorder="1"/>
    <xf numFmtId="0" fontId="17" fillId="7" borderId="29" xfId="0" applyFont="1" applyFill="1" applyBorder="1" applyAlignment="1">
      <alignment vertical="center"/>
    </xf>
    <xf numFmtId="165" fontId="0" fillId="0" borderId="22" xfId="0" applyNumberFormat="1" applyBorder="1" applyAlignment="1">
      <alignment horizontal="left"/>
    </xf>
    <xf numFmtId="165" fontId="0" fillId="0" borderId="23" xfId="0" applyNumberFormat="1" applyBorder="1" applyAlignment="1">
      <alignment horizontal="left"/>
    </xf>
    <xf numFmtId="165" fontId="0" fillId="0" borderId="24" xfId="0" applyNumberFormat="1" applyBorder="1" applyAlignment="1">
      <alignment horizontal="left"/>
    </xf>
    <xf numFmtId="165" fontId="0" fillId="0" borderId="25" xfId="0" applyNumberFormat="1" applyBorder="1" applyAlignment="1">
      <alignment horizontal="left"/>
    </xf>
    <xf numFmtId="165" fontId="0" fillId="0" borderId="26" xfId="0" applyNumberFormat="1" applyBorder="1" applyAlignment="1">
      <alignment horizontal="left"/>
    </xf>
    <xf numFmtId="165" fontId="0" fillId="0" borderId="27" xfId="0" applyNumberFormat="1"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27"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ECFD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 Data and Exploration'!$G$2</c:f>
              <c:strCache>
                <c:ptCount val="1"/>
                <c:pt idx="0">
                  <c:v>ECDF(x)</c:v>
                </c:pt>
              </c:strCache>
            </c:strRef>
          </c:tx>
          <c:spPr>
            <a:ln w="19050" cap="rnd">
              <a:noFill/>
              <a:round/>
            </a:ln>
            <a:effectLst/>
          </c:spPr>
          <c:marker>
            <c:symbol val="circle"/>
            <c:size val="5"/>
            <c:spPr>
              <a:solidFill>
                <a:schemeClr val="accent1"/>
              </a:solidFill>
              <a:ln w="9525">
                <a:solidFill>
                  <a:schemeClr val="accent1"/>
                </a:solidFill>
              </a:ln>
              <a:effectLst/>
            </c:spPr>
          </c:marker>
          <c:xVal>
            <c:numRef>
              <c:f>'2. Data and Exploration'!$F$3:$F$104</c:f>
              <c:numCache>
                <c:formatCode>General</c:formatCode>
                <c:ptCount val="102"/>
                <c:pt idx="0">
                  <c:v>0</c:v>
                </c:pt>
                <c:pt idx="1">
                  <c:v>0</c:v>
                </c:pt>
                <c:pt idx="2">
                  <c:v>0</c:v>
                </c:pt>
                <c:pt idx="3">
                  <c:v>1</c:v>
                </c:pt>
                <c:pt idx="4">
                  <c:v>1</c:v>
                </c:pt>
                <c:pt idx="5">
                  <c:v>1</c:v>
                </c:pt>
                <c:pt idx="6">
                  <c:v>1</c:v>
                </c:pt>
                <c:pt idx="7">
                  <c:v>2</c:v>
                </c:pt>
                <c:pt idx="8">
                  <c:v>2</c:v>
                </c:pt>
                <c:pt idx="9">
                  <c:v>3</c:v>
                </c:pt>
                <c:pt idx="10">
                  <c:v>3</c:v>
                </c:pt>
                <c:pt idx="11">
                  <c:v>3</c:v>
                </c:pt>
                <c:pt idx="12">
                  <c:v>3</c:v>
                </c:pt>
                <c:pt idx="13">
                  <c:v>3</c:v>
                </c:pt>
                <c:pt idx="14">
                  <c:v>4</c:v>
                </c:pt>
                <c:pt idx="15">
                  <c:v>4</c:v>
                </c:pt>
                <c:pt idx="16">
                  <c:v>4</c:v>
                </c:pt>
                <c:pt idx="17">
                  <c:v>4</c:v>
                </c:pt>
                <c:pt idx="18">
                  <c:v>4</c:v>
                </c:pt>
                <c:pt idx="19">
                  <c:v>5</c:v>
                </c:pt>
                <c:pt idx="20">
                  <c:v>5</c:v>
                </c:pt>
                <c:pt idx="21">
                  <c:v>5</c:v>
                </c:pt>
                <c:pt idx="22">
                  <c:v>5</c:v>
                </c:pt>
                <c:pt idx="23">
                  <c:v>5</c:v>
                </c:pt>
                <c:pt idx="24">
                  <c:v>6</c:v>
                </c:pt>
                <c:pt idx="25">
                  <c:v>6</c:v>
                </c:pt>
                <c:pt idx="26">
                  <c:v>6</c:v>
                </c:pt>
                <c:pt idx="27">
                  <c:v>6</c:v>
                </c:pt>
                <c:pt idx="28">
                  <c:v>7</c:v>
                </c:pt>
                <c:pt idx="29">
                  <c:v>7</c:v>
                </c:pt>
                <c:pt idx="30">
                  <c:v>7</c:v>
                </c:pt>
                <c:pt idx="31">
                  <c:v>7</c:v>
                </c:pt>
                <c:pt idx="32">
                  <c:v>8</c:v>
                </c:pt>
                <c:pt idx="33">
                  <c:v>8</c:v>
                </c:pt>
                <c:pt idx="34">
                  <c:v>9</c:v>
                </c:pt>
                <c:pt idx="35">
                  <c:v>11</c:v>
                </c:pt>
                <c:pt idx="36">
                  <c:v>11</c:v>
                </c:pt>
                <c:pt idx="37">
                  <c:v>11</c:v>
                </c:pt>
                <c:pt idx="38">
                  <c:v>12</c:v>
                </c:pt>
                <c:pt idx="39">
                  <c:v>13</c:v>
                </c:pt>
                <c:pt idx="40">
                  <c:v>13</c:v>
                </c:pt>
                <c:pt idx="41">
                  <c:v>13</c:v>
                </c:pt>
                <c:pt idx="42">
                  <c:v>14</c:v>
                </c:pt>
                <c:pt idx="43">
                  <c:v>14</c:v>
                </c:pt>
                <c:pt idx="44">
                  <c:v>14</c:v>
                </c:pt>
                <c:pt idx="45">
                  <c:v>14</c:v>
                </c:pt>
                <c:pt idx="46">
                  <c:v>14</c:v>
                </c:pt>
                <c:pt idx="47">
                  <c:v>15</c:v>
                </c:pt>
                <c:pt idx="48">
                  <c:v>15</c:v>
                </c:pt>
                <c:pt idx="49">
                  <c:v>16</c:v>
                </c:pt>
                <c:pt idx="50">
                  <c:v>16</c:v>
                </c:pt>
                <c:pt idx="51">
                  <c:v>17</c:v>
                </c:pt>
                <c:pt idx="52">
                  <c:v>17</c:v>
                </c:pt>
                <c:pt idx="53">
                  <c:v>18</c:v>
                </c:pt>
                <c:pt idx="54">
                  <c:v>18</c:v>
                </c:pt>
                <c:pt idx="55">
                  <c:v>18</c:v>
                </c:pt>
                <c:pt idx="56">
                  <c:v>19</c:v>
                </c:pt>
                <c:pt idx="57">
                  <c:v>20</c:v>
                </c:pt>
                <c:pt idx="58">
                  <c:v>21</c:v>
                </c:pt>
                <c:pt idx="59">
                  <c:v>23</c:v>
                </c:pt>
                <c:pt idx="60">
                  <c:v>23</c:v>
                </c:pt>
                <c:pt idx="61">
                  <c:v>23</c:v>
                </c:pt>
                <c:pt idx="62">
                  <c:v>24</c:v>
                </c:pt>
                <c:pt idx="63">
                  <c:v>24</c:v>
                </c:pt>
                <c:pt idx="64">
                  <c:v>24</c:v>
                </c:pt>
                <c:pt idx="65">
                  <c:v>24</c:v>
                </c:pt>
                <c:pt idx="66">
                  <c:v>25</c:v>
                </c:pt>
                <c:pt idx="67">
                  <c:v>25</c:v>
                </c:pt>
                <c:pt idx="68">
                  <c:v>26</c:v>
                </c:pt>
                <c:pt idx="69">
                  <c:v>27</c:v>
                </c:pt>
                <c:pt idx="70">
                  <c:v>29</c:v>
                </c:pt>
                <c:pt idx="71">
                  <c:v>29</c:v>
                </c:pt>
                <c:pt idx="72">
                  <c:v>30</c:v>
                </c:pt>
                <c:pt idx="73">
                  <c:v>31</c:v>
                </c:pt>
                <c:pt idx="74">
                  <c:v>34</c:v>
                </c:pt>
                <c:pt idx="75">
                  <c:v>35</c:v>
                </c:pt>
                <c:pt idx="76">
                  <c:v>35</c:v>
                </c:pt>
                <c:pt idx="77">
                  <c:v>36</c:v>
                </c:pt>
                <c:pt idx="78">
                  <c:v>36</c:v>
                </c:pt>
                <c:pt idx="79">
                  <c:v>38</c:v>
                </c:pt>
                <c:pt idx="80">
                  <c:v>38</c:v>
                </c:pt>
                <c:pt idx="81">
                  <c:v>38</c:v>
                </c:pt>
                <c:pt idx="82">
                  <c:v>40</c:v>
                </c:pt>
                <c:pt idx="83">
                  <c:v>41</c:v>
                </c:pt>
                <c:pt idx="84">
                  <c:v>43</c:v>
                </c:pt>
                <c:pt idx="85">
                  <c:v>44</c:v>
                </c:pt>
                <c:pt idx="86">
                  <c:v>47</c:v>
                </c:pt>
                <c:pt idx="87">
                  <c:v>49</c:v>
                </c:pt>
                <c:pt idx="88">
                  <c:v>51</c:v>
                </c:pt>
                <c:pt idx="89">
                  <c:v>58</c:v>
                </c:pt>
                <c:pt idx="90">
                  <c:v>58</c:v>
                </c:pt>
                <c:pt idx="91">
                  <c:v>59</c:v>
                </c:pt>
                <c:pt idx="92">
                  <c:v>62</c:v>
                </c:pt>
                <c:pt idx="93">
                  <c:v>65</c:v>
                </c:pt>
                <c:pt idx="94">
                  <c:v>66</c:v>
                </c:pt>
                <c:pt idx="95">
                  <c:v>71</c:v>
                </c:pt>
                <c:pt idx="96">
                  <c:v>73</c:v>
                </c:pt>
                <c:pt idx="97">
                  <c:v>75</c:v>
                </c:pt>
                <c:pt idx="98">
                  <c:v>80</c:v>
                </c:pt>
                <c:pt idx="99">
                  <c:v>100</c:v>
                </c:pt>
                <c:pt idx="100">
                  <c:v>107</c:v>
                </c:pt>
                <c:pt idx="101">
                  <c:v>165</c:v>
                </c:pt>
              </c:numCache>
            </c:numRef>
          </c:xVal>
          <c:yVal>
            <c:numRef>
              <c:f>'2. Data and Exploration'!$G$3:$G$104</c:f>
              <c:numCache>
                <c:formatCode>0.000</c:formatCode>
                <c:ptCount val="102"/>
                <c:pt idx="0">
                  <c:v>9.9009900990099011E-3</c:v>
                </c:pt>
                <c:pt idx="1">
                  <c:v>1.9801980198019802E-2</c:v>
                </c:pt>
                <c:pt idx="2">
                  <c:v>2.9702970297029702E-2</c:v>
                </c:pt>
                <c:pt idx="3">
                  <c:v>3.9603960396039604E-2</c:v>
                </c:pt>
                <c:pt idx="4">
                  <c:v>4.9504950495049507E-2</c:v>
                </c:pt>
                <c:pt idx="5">
                  <c:v>5.9405940594059403E-2</c:v>
                </c:pt>
                <c:pt idx="6">
                  <c:v>6.9306930693069313E-2</c:v>
                </c:pt>
                <c:pt idx="7">
                  <c:v>7.9207920792079209E-2</c:v>
                </c:pt>
                <c:pt idx="8">
                  <c:v>8.9108910891089105E-2</c:v>
                </c:pt>
                <c:pt idx="9">
                  <c:v>9.9009900990099015E-2</c:v>
                </c:pt>
                <c:pt idx="10">
                  <c:v>0.10891089108910891</c:v>
                </c:pt>
                <c:pt idx="11">
                  <c:v>0.11881188118811881</c:v>
                </c:pt>
                <c:pt idx="12">
                  <c:v>0.12871287128712872</c:v>
                </c:pt>
                <c:pt idx="13">
                  <c:v>0.13861386138613863</c:v>
                </c:pt>
                <c:pt idx="14">
                  <c:v>0.14851485148514851</c:v>
                </c:pt>
                <c:pt idx="15">
                  <c:v>0.15841584158415842</c:v>
                </c:pt>
                <c:pt idx="16">
                  <c:v>0.16831683168316833</c:v>
                </c:pt>
                <c:pt idx="17">
                  <c:v>0.17821782178217821</c:v>
                </c:pt>
                <c:pt idx="18">
                  <c:v>0.18811881188118812</c:v>
                </c:pt>
                <c:pt idx="19">
                  <c:v>0.19801980198019803</c:v>
                </c:pt>
                <c:pt idx="20">
                  <c:v>0.20792079207920791</c:v>
                </c:pt>
                <c:pt idx="21">
                  <c:v>0.21782178217821782</c:v>
                </c:pt>
                <c:pt idx="22">
                  <c:v>0.22772277227722773</c:v>
                </c:pt>
                <c:pt idx="23">
                  <c:v>0.23762376237623761</c:v>
                </c:pt>
                <c:pt idx="24">
                  <c:v>0.24752475247524752</c:v>
                </c:pt>
                <c:pt idx="25">
                  <c:v>0.25742574257425743</c:v>
                </c:pt>
                <c:pt idx="26">
                  <c:v>0.26732673267326734</c:v>
                </c:pt>
                <c:pt idx="27">
                  <c:v>0.27722772277227725</c:v>
                </c:pt>
                <c:pt idx="28">
                  <c:v>0.28712871287128711</c:v>
                </c:pt>
                <c:pt idx="29">
                  <c:v>0.29702970297029702</c:v>
                </c:pt>
                <c:pt idx="30">
                  <c:v>0.30693069306930693</c:v>
                </c:pt>
                <c:pt idx="31">
                  <c:v>0.31683168316831684</c:v>
                </c:pt>
                <c:pt idx="32">
                  <c:v>0.32673267326732675</c:v>
                </c:pt>
                <c:pt idx="33">
                  <c:v>0.33663366336633666</c:v>
                </c:pt>
                <c:pt idx="34">
                  <c:v>0.34653465346534651</c:v>
                </c:pt>
                <c:pt idx="35">
                  <c:v>0.35643564356435642</c:v>
                </c:pt>
                <c:pt idx="36">
                  <c:v>0.36633663366336633</c:v>
                </c:pt>
                <c:pt idx="37">
                  <c:v>0.37623762376237624</c:v>
                </c:pt>
                <c:pt idx="38">
                  <c:v>0.38613861386138615</c:v>
                </c:pt>
                <c:pt idx="39">
                  <c:v>0.39603960396039606</c:v>
                </c:pt>
                <c:pt idx="40">
                  <c:v>0.40594059405940597</c:v>
                </c:pt>
                <c:pt idx="41">
                  <c:v>0.41584158415841582</c:v>
                </c:pt>
                <c:pt idx="42">
                  <c:v>0.42574257425742573</c:v>
                </c:pt>
                <c:pt idx="43">
                  <c:v>0.43564356435643564</c:v>
                </c:pt>
                <c:pt idx="44">
                  <c:v>0.44554455445544555</c:v>
                </c:pt>
                <c:pt idx="45">
                  <c:v>0.45544554455445546</c:v>
                </c:pt>
                <c:pt idx="46">
                  <c:v>0.46534653465346537</c:v>
                </c:pt>
                <c:pt idx="47">
                  <c:v>0.47524752475247523</c:v>
                </c:pt>
                <c:pt idx="48">
                  <c:v>0.48514851485148514</c:v>
                </c:pt>
                <c:pt idx="49">
                  <c:v>0.49504950495049505</c:v>
                </c:pt>
                <c:pt idx="50">
                  <c:v>0.50495049504950495</c:v>
                </c:pt>
                <c:pt idx="51">
                  <c:v>0.51485148514851486</c:v>
                </c:pt>
                <c:pt idx="52">
                  <c:v>0.52475247524752477</c:v>
                </c:pt>
                <c:pt idx="53">
                  <c:v>0.53465346534653468</c:v>
                </c:pt>
                <c:pt idx="54">
                  <c:v>0.54455445544554459</c:v>
                </c:pt>
                <c:pt idx="55">
                  <c:v>0.5544554455445545</c:v>
                </c:pt>
                <c:pt idx="56">
                  <c:v>0.5643564356435643</c:v>
                </c:pt>
                <c:pt idx="57">
                  <c:v>0.57425742574257421</c:v>
                </c:pt>
                <c:pt idx="58">
                  <c:v>0.58415841584158412</c:v>
                </c:pt>
                <c:pt idx="59">
                  <c:v>0.59405940594059403</c:v>
                </c:pt>
                <c:pt idx="60">
                  <c:v>0.60396039603960394</c:v>
                </c:pt>
                <c:pt idx="61">
                  <c:v>0.61386138613861385</c:v>
                </c:pt>
                <c:pt idx="62">
                  <c:v>0.62376237623762376</c:v>
                </c:pt>
                <c:pt idx="63">
                  <c:v>0.63366336633663367</c:v>
                </c:pt>
                <c:pt idx="64">
                  <c:v>0.64356435643564358</c:v>
                </c:pt>
                <c:pt idx="65">
                  <c:v>0.65346534653465349</c:v>
                </c:pt>
                <c:pt idx="66">
                  <c:v>0.6633663366336634</c:v>
                </c:pt>
                <c:pt idx="67">
                  <c:v>0.67326732673267331</c:v>
                </c:pt>
                <c:pt idx="68">
                  <c:v>0.68316831683168322</c:v>
                </c:pt>
                <c:pt idx="69">
                  <c:v>0.69306930693069302</c:v>
                </c:pt>
                <c:pt idx="70">
                  <c:v>0.70297029702970293</c:v>
                </c:pt>
                <c:pt idx="71">
                  <c:v>0.71287128712871284</c:v>
                </c:pt>
                <c:pt idx="72">
                  <c:v>0.72277227722772275</c:v>
                </c:pt>
                <c:pt idx="73">
                  <c:v>0.73267326732673266</c:v>
                </c:pt>
                <c:pt idx="74">
                  <c:v>0.74257425742574257</c:v>
                </c:pt>
                <c:pt idx="75">
                  <c:v>0.75247524752475248</c:v>
                </c:pt>
                <c:pt idx="76">
                  <c:v>0.76237623762376239</c:v>
                </c:pt>
                <c:pt idx="77">
                  <c:v>0.7722772277227723</c:v>
                </c:pt>
                <c:pt idx="78">
                  <c:v>0.78217821782178221</c:v>
                </c:pt>
                <c:pt idx="79">
                  <c:v>0.79207920792079212</c:v>
                </c:pt>
                <c:pt idx="80">
                  <c:v>0.80198019801980203</c:v>
                </c:pt>
                <c:pt idx="81">
                  <c:v>0.81188118811881194</c:v>
                </c:pt>
                <c:pt idx="82">
                  <c:v>0.82178217821782173</c:v>
                </c:pt>
                <c:pt idx="83">
                  <c:v>0.83168316831683164</c:v>
                </c:pt>
                <c:pt idx="84">
                  <c:v>0.84158415841584155</c:v>
                </c:pt>
                <c:pt idx="85">
                  <c:v>0.85148514851485146</c:v>
                </c:pt>
                <c:pt idx="86">
                  <c:v>0.86138613861386137</c:v>
                </c:pt>
                <c:pt idx="87">
                  <c:v>0.87128712871287128</c:v>
                </c:pt>
                <c:pt idx="88">
                  <c:v>0.88118811881188119</c:v>
                </c:pt>
                <c:pt idx="89">
                  <c:v>0.8910891089108911</c:v>
                </c:pt>
                <c:pt idx="90">
                  <c:v>0.90099009900990101</c:v>
                </c:pt>
                <c:pt idx="91">
                  <c:v>0.91089108910891092</c:v>
                </c:pt>
                <c:pt idx="92">
                  <c:v>0.92079207920792083</c:v>
                </c:pt>
                <c:pt idx="93">
                  <c:v>0.93069306930693074</c:v>
                </c:pt>
                <c:pt idx="94">
                  <c:v>0.94059405940594054</c:v>
                </c:pt>
                <c:pt idx="95">
                  <c:v>0.95049504950495045</c:v>
                </c:pt>
                <c:pt idx="96">
                  <c:v>0.96039603960396036</c:v>
                </c:pt>
                <c:pt idx="97">
                  <c:v>0.97029702970297027</c:v>
                </c:pt>
                <c:pt idx="98">
                  <c:v>0.98019801980198018</c:v>
                </c:pt>
                <c:pt idx="99">
                  <c:v>0.99009900990099009</c:v>
                </c:pt>
                <c:pt idx="100">
                  <c:v>1</c:v>
                </c:pt>
                <c:pt idx="101">
                  <c:v>1.0099009900990099</c:v>
                </c:pt>
              </c:numCache>
            </c:numRef>
          </c:yVal>
          <c:smooth val="0"/>
          <c:extLst>
            <c:ext xmlns:c16="http://schemas.microsoft.com/office/drawing/2014/chart" uri="{C3380CC4-5D6E-409C-BE32-E72D297353CC}">
              <c16:uniqueId val="{00000000-D311-42A5-ACDF-2BDF3A2FEEA9}"/>
            </c:ext>
          </c:extLst>
        </c:ser>
        <c:dLbls>
          <c:showLegendKey val="0"/>
          <c:showVal val="0"/>
          <c:showCatName val="0"/>
          <c:showSerName val="0"/>
          <c:showPercent val="0"/>
          <c:showBubbleSize val="0"/>
        </c:dLbls>
        <c:axId val="649851600"/>
        <c:axId val="649851920"/>
      </c:scatterChart>
      <c:valAx>
        <c:axId val="649851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851920"/>
        <c:crosses val="autoZero"/>
        <c:crossBetween val="midCat"/>
      </c:valAx>
      <c:valAx>
        <c:axId val="64985192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8516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'4. Validation'!$D$4</c:f>
              <c:strCache>
                <c:ptCount val="1"/>
                <c:pt idx="0">
                  <c:v>ECDF(x)</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'4. Validation'!$B$5:$B$56</c:f>
              <c:numCache>
                <c:formatCode>General</c:formatCode>
                <c:ptCount val="52"/>
                <c:pt idx="0">
                  <c:v>0</c:v>
                </c:pt>
                <c:pt idx="1">
                  <c:v>1</c:v>
                </c:pt>
                <c:pt idx="2">
                  <c:v>2</c:v>
                </c:pt>
                <c:pt idx="3">
                  <c:v>3</c:v>
                </c:pt>
                <c:pt idx="4">
                  <c:v>4</c:v>
                </c:pt>
                <c:pt idx="5">
                  <c:v>5</c:v>
                </c:pt>
                <c:pt idx="6">
                  <c:v>6</c:v>
                </c:pt>
                <c:pt idx="7">
                  <c:v>7</c:v>
                </c:pt>
                <c:pt idx="8">
                  <c:v>8</c:v>
                </c:pt>
                <c:pt idx="9">
                  <c:v>9</c:v>
                </c:pt>
                <c:pt idx="10">
                  <c:v>11</c:v>
                </c:pt>
                <c:pt idx="11">
                  <c:v>12</c:v>
                </c:pt>
                <c:pt idx="12">
                  <c:v>13</c:v>
                </c:pt>
                <c:pt idx="13">
                  <c:v>14</c:v>
                </c:pt>
                <c:pt idx="14">
                  <c:v>15</c:v>
                </c:pt>
                <c:pt idx="15">
                  <c:v>16</c:v>
                </c:pt>
                <c:pt idx="16">
                  <c:v>17</c:v>
                </c:pt>
                <c:pt idx="17">
                  <c:v>18</c:v>
                </c:pt>
                <c:pt idx="18">
                  <c:v>19</c:v>
                </c:pt>
                <c:pt idx="19">
                  <c:v>20</c:v>
                </c:pt>
                <c:pt idx="20">
                  <c:v>21</c:v>
                </c:pt>
                <c:pt idx="21">
                  <c:v>23</c:v>
                </c:pt>
                <c:pt idx="22">
                  <c:v>24</c:v>
                </c:pt>
                <c:pt idx="23">
                  <c:v>25</c:v>
                </c:pt>
                <c:pt idx="24">
                  <c:v>26</c:v>
                </c:pt>
                <c:pt idx="25">
                  <c:v>27</c:v>
                </c:pt>
                <c:pt idx="26">
                  <c:v>29</c:v>
                </c:pt>
                <c:pt idx="27">
                  <c:v>30</c:v>
                </c:pt>
                <c:pt idx="28">
                  <c:v>31</c:v>
                </c:pt>
                <c:pt idx="29">
                  <c:v>34</c:v>
                </c:pt>
                <c:pt idx="30">
                  <c:v>35</c:v>
                </c:pt>
                <c:pt idx="31">
                  <c:v>36</c:v>
                </c:pt>
                <c:pt idx="32">
                  <c:v>38</c:v>
                </c:pt>
                <c:pt idx="33">
                  <c:v>40</c:v>
                </c:pt>
                <c:pt idx="34">
                  <c:v>41</c:v>
                </c:pt>
                <c:pt idx="35">
                  <c:v>43</c:v>
                </c:pt>
                <c:pt idx="36">
                  <c:v>44</c:v>
                </c:pt>
                <c:pt idx="37">
                  <c:v>47</c:v>
                </c:pt>
                <c:pt idx="38">
                  <c:v>49</c:v>
                </c:pt>
                <c:pt idx="39">
                  <c:v>51</c:v>
                </c:pt>
                <c:pt idx="40">
                  <c:v>58</c:v>
                </c:pt>
                <c:pt idx="41">
                  <c:v>59</c:v>
                </c:pt>
                <c:pt idx="42">
                  <c:v>62</c:v>
                </c:pt>
                <c:pt idx="43">
                  <c:v>65</c:v>
                </c:pt>
                <c:pt idx="44">
                  <c:v>66</c:v>
                </c:pt>
                <c:pt idx="45">
                  <c:v>71</c:v>
                </c:pt>
                <c:pt idx="46">
                  <c:v>73</c:v>
                </c:pt>
                <c:pt idx="47">
                  <c:v>75</c:v>
                </c:pt>
                <c:pt idx="48">
                  <c:v>80</c:v>
                </c:pt>
                <c:pt idx="49">
                  <c:v>100</c:v>
                </c:pt>
                <c:pt idx="50">
                  <c:v>107</c:v>
                </c:pt>
                <c:pt idx="51">
                  <c:v>165</c:v>
                </c:pt>
              </c:numCache>
            </c:numRef>
          </c:xVal>
          <c:yVal>
            <c:numRef>
              <c:f>'4. Validation'!$D$5:$D$56</c:f>
              <c:numCache>
                <c:formatCode>0.00</c:formatCode>
                <c:ptCount val="52"/>
                <c:pt idx="0">
                  <c:v>1.9801980198019802E-2</c:v>
                </c:pt>
                <c:pt idx="1">
                  <c:v>5.9405940594059403E-2</c:v>
                </c:pt>
                <c:pt idx="2">
                  <c:v>7.9207920792079209E-2</c:v>
                </c:pt>
                <c:pt idx="3">
                  <c:v>0.12871287128712872</c:v>
                </c:pt>
                <c:pt idx="4">
                  <c:v>0.17821782178217821</c:v>
                </c:pt>
                <c:pt idx="5">
                  <c:v>0.22772277227722773</c:v>
                </c:pt>
                <c:pt idx="6">
                  <c:v>0.26732673267326734</c:v>
                </c:pt>
                <c:pt idx="7">
                  <c:v>0.30693069306930693</c:v>
                </c:pt>
                <c:pt idx="8">
                  <c:v>0.32673267326732675</c:v>
                </c:pt>
                <c:pt idx="9">
                  <c:v>0.33663366336633666</c:v>
                </c:pt>
                <c:pt idx="10">
                  <c:v>0.36633663366336633</c:v>
                </c:pt>
                <c:pt idx="11">
                  <c:v>0.37623762376237624</c:v>
                </c:pt>
                <c:pt idx="12">
                  <c:v>0.40594059405940597</c:v>
                </c:pt>
                <c:pt idx="13">
                  <c:v>0.45544554455445546</c:v>
                </c:pt>
                <c:pt idx="14">
                  <c:v>0.47524752475247523</c:v>
                </c:pt>
                <c:pt idx="15">
                  <c:v>0.49504950495049505</c:v>
                </c:pt>
                <c:pt idx="16">
                  <c:v>0.51485148514851486</c:v>
                </c:pt>
                <c:pt idx="17">
                  <c:v>0.54455445544554459</c:v>
                </c:pt>
                <c:pt idx="18">
                  <c:v>0.5544554455445545</c:v>
                </c:pt>
                <c:pt idx="19">
                  <c:v>0.5643564356435643</c:v>
                </c:pt>
                <c:pt idx="20">
                  <c:v>0.57425742574257421</c:v>
                </c:pt>
                <c:pt idx="21">
                  <c:v>0.60396039603960394</c:v>
                </c:pt>
                <c:pt idx="22">
                  <c:v>0.64356435643564358</c:v>
                </c:pt>
                <c:pt idx="23">
                  <c:v>0.6633663366336634</c:v>
                </c:pt>
                <c:pt idx="24">
                  <c:v>0.67326732673267331</c:v>
                </c:pt>
                <c:pt idx="25">
                  <c:v>0.68316831683168322</c:v>
                </c:pt>
                <c:pt idx="26">
                  <c:v>0.70297029702970293</c:v>
                </c:pt>
                <c:pt idx="27">
                  <c:v>0.71287128712871284</c:v>
                </c:pt>
                <c:pt idx="28">
                  <c:v>0.72277227722772275</c:v>
                </c:pt>
                <c:pt idx="29">
                  <c:v>0.73267326732673266</c:v>
                </c:pt>
                <c:pt idx="30">
                  <c:v>0.75247524752475248</c:v>
                </c:pt>
                <c:pt idx="31">
                  <c:v>0.7722772277227723</c:v>
                </c:pt>
                <c:pt idx="32">
                  <c:v>0.80198019801980203</c:v>
                </c:pt>
                <c:pt idx="33">
                  <c:v>0.81188118811881194</c:v>
                </c:pt>
                <c:pt idx="34">
                  <c:v>0.82178217821782173</c:v>
                </c:pt>
                <c:pt idx="35">
                  <c:v>0.83168316831683164</c:v>
                </c:pt>
                <c:pt idx="36">
                  <c:v>0.84158415841584155</c:v>
                </c:pt>
                <c:pt idx="37">
                  <c:v>0.85148514851485146</c:v>
                </c:pt>
                <c:pt idx="38">
                  <c:v>0.86138613861386137</c:v>
                </c:pt>
                <c:pt idx="39">
                  <c:v>0.87128712871287128</c:v>
                </c:pt>
                <c:pt idx="40">
                  <c:v>0.8910891089108911</c:v>
                </c:pt>
                <c:pt idx="41">
                  <c:v>0.90099009900990101</c:v>
                </c:pt>
                <c:pt idx="42">
                  <c:v>0.91089108910891092</c:v>
                </c:pt>
                <c:pt idx="43">
                  <c:v>0.92079207920792083</c:v>
                </c:pt>
                <c:pt idx="44">
                  <c:v>0.93069306930693074</c:v>
                </c:pt>
                <c:pt idx="45">
                  <c:v>0.94059405940594054</c:v>
                </c:pt>
                <c:pt idx="46">
                  <c:v>0.95049504950495045</c:v>
                </c:pt>
                <c:pt idx="47">
                  <c:v>0.96039603960396036</c:v>
                </c:pt>
                <c:pt idx="48">
                  <c:v>0.97029702970297027</c:v>
                </c:pt>
                <c:pt idx="49">
                  <c:v>0.98019801980198018</c:v>
                </c:pt>
                <c:pt idx="50">
                  <c:v>0.99009900990099009</c:v>
                </c:pt>
                <c:pt idx="51">
                  <c:v>1</c:v>
                </c:pt>
              </c:numCache>
            </c:numRef>
          </c:yVal>
          <c:smooth val="0"/>
          <c:extLst>
            <c:ext xmlns:c16="http://schemas.microsoft.com/office/drawing/2014/chart" uri="{C3380CC4-5D6E-409C-BE32-E72D297353CC}">
              <c16:uniqueId val="{00000000-5872-49C7-BF25-9F944CDB391F}"/>
            </c:ext>
          </c:extLst>
        </c:ser>
        <c:ser>
          <c:idx val="1"/>
          <c:order val="1"/>
          <c:tx>
            <c:strRef>
              <c:f>'4. Validation'!$G$4</c:f>
              <c:strCache>
                <c:ptCount val="1"/>
                <c:pt idx="0">
                  <c:v>CDF(x)</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'4. Validation'!$B$5:$B$56</c:f>
              <c:numCache>
                <c:formatCode>General</c:formatCode>
                <c:ptCount val="52"/>
                <c:pt idx="0">
                  <c:v>0</c:v>
                </c:pt>
                <c:pt idx="1">
                  <c:v>1</c:v>
                </c:pt>
                <c:pt idx="2">
                  <c:v>2</c:v>
                </c:pt>
                <c:pt idx="3">
                  <c:v>3</c:v>
                </c:pt>
                <c:pt idx="4">
                  <c:v>4</c:v>
                </c:pt>
                <c:pt idx="5">
                  <c:v>5</c:v>
                </c:pt>
                <c:pt idx="6">
                  <c:v>6</c:v>
                </c:pt>
                <c:pt idx="7">
                  <c:v>7</c:v>
                </c:pt>
                <c:pt idx="8">
                  <c:v>8</c:v>
                </c:pt>
                <c:pt idx="9">
                  <c:v>9</c:v>
                </c:pt>
                <c:pt idx="10">
                  <c:v>11</c:v>
                </c:pt>
                <c:pt idx="11">
                  <c:v>12</c:v>
                </c:pt>
                <c:pt idx="12">
                  <c:v>13</c:v>
                </c:pt>
                <c:pt idx="13">
                  <c:v>14</c:v>
                </c:pt>
                <c:pt idx="14">
                  <c:v>15</c:v>
                </c:pt>
                <c:pt idx="15">
                  <c:v>16</c:v>
                </c:pt>
                <c:pt idx="16">
                  <c:v>17</c:v>
                </c:pt>
                <c:pt idx="17">
                  <c:v>18</c:v>
                </c:pt>
                <c:pt idx="18">
                  <c:v>19</c:v>
                </c:pt>
                <c:pt idx="19">
                  <c:v>20</c:v>
                </c:pt>
                <c:pt idx="20">
                  <c:v>21</c:v>
                </c:pt>
                <c:pt idx="21">
                  <c:v>23</c:v>
                </c:pt>
                <c:pt idx="22">
                  <c:v>24</c:v>
                </c:pt>
                <c:pt idx="23">
                  <c:v>25</c:v>
                </c:pt>
                <c:pt idx="24">
                  <c:v>26</c:v>
                </c:pt>
                <c:pt idx="25">
                  <c:v>27</c:v>
                </c:pt>
                <c:pt idx="26">
                  <c:v>29</c:v>
                </c:pt>
                <c:pt idx="27">
                  <c:v>30</c:v>
                </c:pt>
                <c:pt idx="28">
                  <c:v>31</c:v>
                </c:pt>
                <c:pt idx="29">
                  <c:v>34</c:v>
                </c:pt>
                <c:pt idx="30">
                  <c:v>35</c:v>
                </c:pt>
                <c:pt idx="31">
                  <c:v>36</c:v>
                </c:pt>
                <c:pt idx="32">
                  <c:v>38</c:v>
                </c:pt>
                <c:pt idx="33">
                  <c:v>40</c:v>
                </c:pt>
                <c:pt idx="34">
                  <c:v>41</c:v>
                </c:pt>
                <c:pt idx="35">
                  <c:v>43</c:v>
                </c:pt>
                <c:pt idx="36">
                  <c:v>44</c:v>
                </c:pt>
                <c:pt idx="37">
                  <c:v>47</c:v>
                </c:pt>
                <c:pt idx="38">
                  <c:v>49</c:v>
                </c:pt>
                <c:pt idx="39">
                  <c:v>51</c:v>
                </c:pt>
                <c:pt idx="40">
                  <c:v>58</c:v>
                </c:pt>
                <c:pt idx="41">
                  <c:v>59</c:v>
                </c:pt>
                <c:pt idx="42">
                  <c:v>62</c:v>
                </c:pt>
                <c:pt idx="43">
                  <c:v>65</c:v>
                </c:pt>
                <c:pt idx="44">
                  <c:v>66</c:v>
                </c:pt>
                <c:pt idx="45">
                  <c:v>71</c:v>
                </c:pt>
                <c:pt idx="46">
                  <c:v>73</c:v>
                </c:pt>
                <c:pt idx="47">
                  <c:v>75</c:v>
                </c:pt>
                <c:pt idx="48">
                  <c:v>80</c:v>
                </c:pt>
                <c:pt idx="49">
                  <c:v>100</c:v>
                </c:pt>
                <c:pt idx="50">
                  <c:v>107</c:v>
                </c:pt>
                <c:pt idx="51">
                  <c:v>165</c:v>
                </c:pt>
              </c:numCache>
            </c:numRef>
          </c:xVal>
          <c:yVal>
            <c:numRef>
              <c:f>'4. Validation'!$G$5:$G$56</c:f>
              <c:numCache>
                <c:formatCode>#,##0.00</c:formatCode>
                <c:ptCount val="52"/>
                <c:pt idx="0">
                  <c:v>0</c:v>
                </c:pt>
                <c:pt idx="1">
                  <c:v>3.8983575904254164E-2</c:v>
                </c:pt>
                <c:pt idx="2">
                  <c:v>7.6447432618225508E-2</c:v>
                </c:pt>
                <c:pt idx="3">
                  <c:v>0.11245081423032177</c:v>
                </c:pt>
                <c:pt idx="4">
                  <c:v>0.14705065528253303</c:v>
                </c:pt>
                <c:pt idx="5">
                  <c:v>0.18030167080481019</c:v>
                </c:pt>
                <c:pt idx="6">
                  <c:v>0.21225644283958123</c:v>
                </c:pt>
                <c:pt idx="7">
                  <c:v>0.24296550359323155</c:v>
                </c:pt>
                <c:pt idx="8">
                  <c:v>0.27247741534604364</c:v>
                </c:pt>
                <c:pt idx="9">
                  <c:v>0.30083884724696031</c:v>
                </c:pt>
                <c:pt idx="10">
                  <c:v>0.35428792236132922</c:v>
                </c:pt>
                <c:pt idx="11">
                  <c:v>0.37946008815224996</c:v>
                </c:pt>
                <c:pt idx="12">
                  <c:v>0.40365095290738595</c:v>
                </c:pt>
                <c:pt idx="13">
                  <c:v>0.42689877125015041</c:v>
                </c:pt>
                <c:pt idx="14">
                  <c:v>0.44924030650194158</c:v>
                </c:pt>
                <c:pt idx="15">
                  <c:v>0.47071088881842682</c:v>
                </c:pt>
                <c:pt idx="16">
                  <c:v>0.49134447105946888</c:v>
                </c:pt>
                <c:pt idx="17">
                  <c:v>0.51117368248104067</c:v>
                </c:pt>
                <c:pt idx="18">
                  <c:v>0.53022988033403806</c:v>
                </c:pt>
                <c:pt idx="19">
                  <c:v>0.54854319945158658</c:v>
                </c:pt>
                <c:pt idx="20">
                  <c:v>0.56614259990325744</c:v>
                </c:pt>
                <c:pt idx="21">
                  <c:v>0.59930988426307175</c:v>
                </c:pt>
                <c:pt idx="22">
                  <c:v>0.6149302178039866</c:v>
                </c:pt>
                <c:pt idx="23">
                  <c:v>0.62994161488665956</c:v>
                </c:pt>
                <c:pt idx="24">
                  <c:v>0.64436781403173116</c:v>
                </c:pt>
                <c:pt idx="25">
                  <c:v>0.65823162834742099</c:v>
                </c:pt>
                <c:pt idx="26">
                  <c:v>0.68435894291037225</c:v>
                </c:pt>
                <c:pt idx="27">
                  <c:v>0.69666376001792463</c:v>
                </c:pt>
                <c:pt idx="28">
                  <c:v>0.70848889135377702</c:v>
                </c:pt>
                <c:pt idx="29">
                  <c:v>0.74126955287822849</c:v>
                </c:pt>
                <c:pt idx="30">
                  <c:v>0.75135579090234184</c:v>
                </c:pt>
                <c:pt idx="31">
                  <c:v>0.76104883130085355</c:v>
                </c:pt>
                <c:pt idx="32">
                  <c:v>0.77931603466902777</c:v>
                </c:pt>
                <c:pt idx="33">
                  <c:v>0.79618675723859011</c:v>
                </c:pt>
                <c:pt idx="34">
                  <c:v>0.80413212625807173</c:v>
                </c:pt>
                <c:pt idx="35">
                  <c:v>0.81910572233803292</c:v>
                </c:pt>
                <c:pt idx="36">
                  <c:v>0.8261576281419134</c:v>
                </c:pt>
                <c:pt idx="37">
                  <c:v>0.84570634440508563</c:v>
                </c:pt>
                <c:pt idx="38">
                  <c:v>0.85750169824459754</c:v>
                </c:pt>
                <c:pt idx="39">
                  <c:v>0.86839532756625526</c:v>
                </c:pt>
                <c:pt idx="40">
                  <c:v>0.90037072307934229</c:v>
                </c:pt>
                <c:pt idx="41">
                  <c:v>0.90425462855846472</c:v>
                </c:pt>
                <c:pt idx="42">
                  <c:v>0.91502127353584994</c:v>
                </c:pt>
                <c:pt idx="43">
                  <c:v>0.92457720051899939</c:v>
                </c:pt>
                <c:pt idx="44">
                  <c:v>0.92751745094747839</c:v>
                </c:pt>
                <c:pt idx="45">
                  <c:v>0.94058617564583968</c:v>
                </c:pt>
                <c:pt idx="46">
                  <c:v>0.94512820997974534</c:v>
                </c:pt>
                <c:pt idx="47">
                  <c:v>0.94932301744996028</c:v>
                </c:pt>
                <c:pt idx="48">
                  <c:v>0.95846016207507856</c:v>
                </c:pt>
                <c:pt idx="49">
                  <c:v>0.98124655767511537</c:v>
                </c:pt>
                <c:pt idx="50">
                  <c:v>0.98580299723368758</c:v>
                </c:pt>
                <c:pt idx="51">
                  <c:v>0.9985855628799517</c:v>
                </c:pt>
              </c:numCache>
            </c:numRef>
          </c:yVal>
          <c:smooth val="0"/>
          <c:extLst>
            <c:ext xmlns:c16="http://schemas.microsoft.com/office/drawing/2014/chart" uri="{C3380CC4-5D6E-409C-BE32-E72D297353CC}">
              <c16:uniqueId val="{00000003-5872-49C7-BF25-9F944CDB391F}"/>
            </c:ext>
          </c:extLst>
        </c:ser>
        <c:dLbls>
          <c:showLegendKey val="0"/>
          <c:showVal val="0"/>
          <c:showCatName val="0"/>
          <c:showSerName val="0"/>
          <c:showPercent val="0"/>
          <c:showBubbleSize val="0"/>
        </c:dLbls>
        <c:axId val="563089488"/>
        <c:axId val="563091728"/>
      </c:scatterChart>
      <c:valAx>
        <c:axId val="563089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91728"/>
        <c:crosses val="autoZero"/>
        <c:crossBetween val="midCat"/>
      </c:valAx>
      <c:valAx>
        <c:axId val="5630917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894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'4. Validation'!$G$4</c:f>
              <c:strCache>
                <c:ptCount val="1"/>
                <c:pt idx="0">
                  <c:v>CDF(x)</c:v>
                </c:pt>
              </c:strCache>
            </c:strRef>
          </c:tx>
          <c:spPr>
            <a:ln w="34925" cap="rnd">
              <a:solidFill>
                <a:srgbClr val="C00000"/>
              </a:solidFill>
              <a:round/>
            </a:ln>
            <a:effectLst/>
          </c:spPr>
          <c:marker>
            <c:symbol val="none"/>
          </c:marker>
          <c:xVal>
            <c:numRef>
              <c:f>'4. Validation'!$B$5:$B$56</c:f>
              <c:numCache>
                <c:formatCode>General</c:formatCode>
                <c:ptCount val="52"/>
                <c:pt idx="0">
                  <c:v>0</c:v>
                </c:pt>
                <c:pt idx="1">
                  <c:v>1</c:v>
                </c:pt>
                <c:pt idx="2">
                  <c:v>2</c:v>
                </c:pt>
                <c:pt idx="3">
                  <c:v>3</c:v>
                </c:pt>
                <c:pt idx="4">
                  <c:v>4</c:v>
                </c:pt>
                <c:pt idx="5">
                  <c:v>5</c:v>
                </c:pt>
                <c:pt idx="6">
                  <c:v>6</c:v>
                </c:pt>
                <c:pt idx="7">
                  <c:v>7</c:v>
                </c:pt>
                <c:pt idx="8">
                  <c:v>8</c:v>
                </c:pt>
                <c:pt idx="9">
                  <c:v>9</c:v>
                </c:pt>
                <c:pt idx="10">
                  <c:v>11</c:v>
                </c:pt>
                <c:pt idx="11">
                  <c:v>12</c:v>
                </c:pt>
                <c:pt idx="12">
                  <c:v>13</c:v>
                </c:pt>
                <c:pt idx="13">
                  <c:v>14</c:v>
                </c:pt>
                <c:pt idx="14">
                  <c:v>15</c:v>
                </c:pt>
                <c:pt idx="15">
                  <c:v>16</c:v>
                </c:pt>
                <c:pt idx="16">
                  <c:v>17</c:v>
                </c:pt>
                <c:pt idx="17">
                  <c:v>18</c:v>
                </c:pt>
                <c:pt idx="18">
                  <c:v>19</c:v>
                </c:pt>
                <c:pt idx="19">
                  <c:v>20</c:v>
                </c:pt>
                <c:pt idx="20">
                  <c:v>21</c:v>
                </c:pt>
                <c:pt idx="21">
                  <c:v>23</c:v>
                </c:pt>
                <c:pt idx="22">
                  <c:v>24</c:v>
                </c:pt>
                <c:pt idx="23">
                  <c:v>25</c:v>
                </c:pt>
                <c:pt idx="24">
                  <c:v>26</c:v>
                </c:pt>
                <c:pt idx="25">
                  <c:v>27</c:v>
                </c:pt>
                <c:pt idx="26">
                  <c:v>29</c:v>
                </c:pt>
                <c:pt idx="27">
                  <c:v>30</c:v>
                </c:pt>
                <c:pt idx="28">
                  <c:v>31</c:v>
                </c:pt>
                <c:pt idx="29">
                  <c:v>34</c:v>
                </c:pt>
                <c:pt idx="30">
                  <c:v>35</c:v>
                </c:pt>
                <c:pt idx="31">
                  <c:v>36</c:v>
                </c:pt>
                <c:pt idx="32">
                  <c:v>38</c:v>
                </c:pt>
                <c:pt idx="33">
                  <c:v>40</c:v>
                </c:pt>
                <c:pt idx="34">
                  <c:v>41</c:v>
                </c:pt>
                <c:pt idx="35">
                  <c:v>43</c:v>
                </c:pt>
                <c:pt idx="36">
                  <c:v>44</c:v>
                </c:pt>
                <c:pt idx="37">
                  <c:v>47</c:v>
                </c:pt>
                <c:pt idx="38">
                  <c:v>49</c:v>
                </c:pt>
                <c:pt idx="39">
                  <c:v>51</c:v>
                </c:pt>
                <c:pt idx="40">
                  <c:v>58</c:v>
                </c:pt>
                <c:pt idx="41">
                  <c:v>59</c:v>
                </c:pt>
                <c:pt idx="42">
                  <c:v>62</c:v>
                </c:pt>
                <c:pt idx="43">
                  <c:v>65</c:v>
                </c:pt>
                <c:pt idx="44">
                  <c:v>66</c:v>
                </c:pt>
                <c:pt idx="45">
                  <c:v>71</c:v>
                </c:pt>
                <c:pt idx="46">
                  <c:v>73</c:v>
                </c:pt>
                <c:pt idx="47">
                  <c:v>75</c:v>
                </c:pt>
                <c:pt idx="48">
                  <c:v>80</c:v>
                </c:pt>
                <c:pt idx="49">
                  <c:v>100</c:v>
                </c:pt>
                <c:pt idx="50">
                  <c:v>107</c:v>
                </c:pt>
                <c:pt idx="51">
                  <c:v>165</c:v>
                </c:pt>
              </c:numCache>
            </c:numRef>
          </c:xVal>
          <c:yVal>
            <c:numRef>
              <c:f>'4. Validation'!$G$5:$G$56</c:f>
              <c:numCache>
                <c:formatCode>#,##0.00</c:formatCode>
                <c:ptCount val="52"/>
                <c:pt idx="0">
                  <c:v>0</c:v>
                </c:pt>
                <c:pt idx="1">
                  <c:v>3.8983575904254164E-2</c:v>
                </c:pt>
                <c:pt idx="2">
                  <c:v>7.6447432618225508E-2</c:v>
                </c:pt>
                <c:pt idx="3">
                  <c:v>0.11245081423032177</c:v>
                </c:pt>
                <c:pt idx="4">
                  <c:v>0.14705065528253303</c:v>
                </c:pt>
                <c:pt idx="5">
                  <c:v>0.18030167080481019</c:v>
                </c:pt>
                <c:pt idx="6">
                  <c:v>0.21225644283958123</c:v>
                </c:pt>
                <c:pt idx="7">
                  <c:v>0.24296550359323155</c:v>
                </c:pt>
                <c:pt idx="8">
                  <c:v>0.27247741534604364</c:v>
                </c:pt>
                <c:pt idx="9">
                  <c:v>0.30083884724696031</c:v>
                </c:pt>
                <c:pt idx="10">
                  <c:v>0.35428792236132922</c:v>
                </c:pt>
                <c:pt idx="11">
                  <c:v>0.37946008815224996</c:v>
                </c:pt>
                <c:pt idx="12">
                  <c:v>0.40365095290738595</c:v>
                </c:pt>
                <c:pt idx="13">
                  <c:v>0.42689877125015041</c:v>
                </c:pt>
                <c:pt idx="14">
                  <c:v>0.44924030650194158</c:v>
                </c:pt>
                <c:pt idx="15">
                  <c:v>0.47071088881842682</c:v>
                </c:pt>
                <c:pt idx="16">
                  <c:v>0.49134447105946888</c:v>
                </c:pt>
                <c:pt idx="17">
                  <c:v>0.51117368248104067</c:v>
                </c:pt>
                <c:pt idx="18">
                  <c:v>0.53022988033403806</c:v>
                </c:pt>
                <c:pt idx="19">
                  <c:v>0.54854319945158658</c:v>
                </c:pt>
                <c:pt idx="20">
                  <c:v>0.56614259990325744</c:v>
                </c:pt>
                <c:pt idx="21">
                  <c:v>0.59930988426307175</c:v>
                </c:pt>
                <c:pt idx="22">
                  <c:v>0.6149302178039866</c:v>
                </c:pt>
                <c:pt idx="23">
                  <c:v>0.62994161488665956</c:v>
                </c:pt>
                <c:pt idx="24">
                  <c:v>0.64436781403173116</c:v>
                </c:pt>
                <c:pt idx="25">
                  <c:v>0.65823162834742099</c:v>
                </c:pt>
                <c:pt idx="26">
                  <c:v>0.68435894291037225</c:v>
                </c:pt>
                <c:pt idx="27">
                  <c:v>0.69666376001792463</c:v>
                </c:pt>
                <c:pt idx="28">
                  <c:v>0.70848889135377702</c:v>
                </c:pt>
                <c:pt idx="29">
                  <c:v>0.74126955287822849</c:v>
                </c:pt>
                <c:pt idx="30">
                  <c:v>0.75135579090234184</c:v>
                </c:pt>
                <c:pt idx="31">
                  <c:v>0.76104883130085355</c:v>
                </c:pt>
                <c:pt idx="32">
                  <c:v>0.77931603466902777</c:v>
                </c:pt>
                <c:pt idx="33">
                  <c:v>0.79618675723859011</c:v>
                </c:pt>
                <c:pt idx="34">
                  <c:v>0.80413212625807173</c:v>
                </c:pt>
                <c:pt idx="35">
                  <c:v>0.81910572233803292</c:v>
                </c:pt>
                <c:pt idx="36">
                  <c:v>0.8261576281419134</c:v>
                </c:pt>
                <c:pt idx="37">
                  <c:v>0.84570634440508563</c:v>
                </c:pt>
                <c:pt idx="38">
                  <c:v>0.85750169824459754</c:v>
                </c:pt>
                <c:pt idx="39">
                  <c:v>0.86839532756625526</c:v>
                </c:pt>
                <c:pt idx="40">
                  <c:v>0.90037072307934229</c:v>
                </c:pt>
                <c:pt idx="41">
                  <c:v>0.90425462855846472</c:v>
                </c:pt>
                <c:pt idx="42">
                  <c:v>0.91502127353584994</c:v>
                </c:pt>
                <c:pt idx="43">
                  <c:v>0.92457720051899939</c:v>
                </c:pt>
                <c:pt idx="44">
                  <c:v>0.92751745094747839</c:v>
                </c:pt>
                <c:pt idx="45">
                  <c:v>0.94058617564583968</c:v>
                </c:pt>
                <c:pt idx="46">
                  <c:v>0.94512820997974534</c:v>
                </c:pt>
                <c:pt idx="47">
                  <c:v>0.94932301744996028</c:v>
                </c:pt>
                <c:pt idx="48">
                  <c:v>0.95846016207507856</c:v>
                </c:pt>
                <c:pt idx="49">
                  <c:v>0.98124655767511537</c:v>
                </c:pt>
                <c:pt idx="50">
                  <c:v>0.98580299723368758</c:v>
                </c:pt>
                <c:pt idx="51">
                  <c:v>0.9985855628799517</c:v>
                </c:pt>
              </c:numCache>
            </c:numRef>
          </c:yVal>
          <c:smooth val="0"/>
          <c:extLst>
            <c:ext xmlns:c16="http://schemas.microsoft.com/office/drawing/2014/chart" uri="{C3380CC4-5D6E-409C-BE32-E72D297353CC}">
              <c16:uniqueId val="{00000000-38A8-4258-9434-4E655AE2E2FB}"/>
            </c:ext>
          </c:extLst>
        </c:ser>
        <c:ser>
          <c:idx val="1"/>
          <c:order val="1"/>
          <c:tx>
            <c:strRef>
              <c:f>'4. Validation'!$H$4</c:f>
              <c:strCache>
                <c:ptCount val="1"/>
                <c:pt idx="0">
                  <c:v>CDF(x; tau_dol)</c:v>
                </c:pt>
              </c:strCache>
            </c:strRef>
          </c:tx>
          <c:spPr>
            <a:ln w="19050" cap="rnd">
              <a:solidFill>
                <a:schemeClr val="accent1"/>
              </a:solidFill>
              <a:round/>
            </a:ln>
            <a:effectLst/>
          </c:spPr>
          <c:marker>
            <c:symbol val="none"/>
          </c:marker>
          <c:xVal>
            <c:numRef>
              <c:f>'4. Validation'!$B$5:$B$56</c:f>
              <c:numCache>
                <c:formatCode>General</c:formatCode>
                <c:ptCount val="52"/>
                <c:pt idx="0">
                  <c:v>0</c:v>
                </c:pt>
                <c:pt idx="1">
                  <c:v>1</c:v>
                </c:pt>
                <c:pt idx="2">
                  <c:v>2</c:v>
                </c:pt>
                <c:pt idx="3">
                  <c:v>3</c:v>
                </c:pt>
                <c:pt idx="4">
                  <c:v>4</c:v>
                </c:pt>
                <c:pt idx="5">
                  <c:v>5</c:v>
                </c:pt>
                <c:pt idx="6">
                  <c:v>6</c:v>
                </c:pt>
                <c:pt idx="7">
                  <c:v>7</c:v>
                </c:pt>
                <c:pt idx="8">
                  <c:v>8</c:v>
                </c:pt>
                <c:pt idx="9">
                  <c:v>9</c:v>
                </c:pt>
                <c:pt idx="10">
                  <c:v>11</c:v>
                </c:pt>
                <c:pt idx="11">
                  <c:v>12</c:v>
                </c:pt>
                <c:pt idx="12">
                  <c:v>13</c:v>
                </c:pt>
                <c:pt idx="13">
                  <c:v>14</c:v>
                </c:pt>
                <c:pt idx="14">
                  <c:v>15</c:v>
                </c:pt>
                <c:pt idx="15">
                  <c:v>16</c:v>
                </c:pt>
                <c:pt idx="16">
                  <c:v>17</c:v>
                </c:pt>
                <c:pt idx="17">
                  <c:v>18</c:v>
                </c:pt>
                <c:pt idx="18">
                  <c:v>19</c:v>
                </c:pt>
                <c:pt idx="19">
                  <c:v>20</c:v>
                </c:pt>
                <c:pt idx="20">
                  <c:v>21</c:v>
                </c:pt>
                <c:pt idx="21">
                  <c:v>23</c:v>
                </c:pt>
                <c:pt idx="22">
                  <c:v>24</c:v>
                </c:pt>
                <c:pt idx="23">
                  <c:v>25</c:v>
                </c:pt>
                <c:pt idx="24">
                  <c:v>26</c:v>
                </c:pt>
                <c:pt idx="25">
                  <c:v>27</c:v>
                </c:pt>
                <c:pt idx="26">
                  <c:v>29</c:v>
                </c:pt>
                <c:pt idx="27">
                  <c:v>30</c:v>
                </c:pt>
                <c:pt idx="28">
                  <c:v>31</c:v>
                </c:pt>
                <c:pt idx="29">
                  <c:v>34</c:v>
                </c:pt>
                <c:pt idx="30">
                  <c:v>35</c:v>
                </c:pt>
                <c:pt idx="31">
                  <c:v>36</c:v>
                </c:pt>
                <c:pt idx="32">
                  <c:v>38</c:v>
                </c:pt>
                <c:pt idx="33">
                  <c:v>40</c:v>
                </c:pt>
                <c:pt idx="34">
                  <c:v>41</c:v>
                </c:pt>
                <c:pt idx="35">
                  <c:v>43</c:v>
                </c:pt>
                <c:pt idx="36">
                  <c:v>44</c:v>
                </c:pt>
                <c:pt idx="37">
                  <c:v>47</c:v>
                </c:pt>
                <c:pt idx="38">
                  <c:v>49</c:v>
                </c:pt>
                <c:pt idx="39">
                  <c:v>51</c:v>
                </c:pt>
                <c:pt idx="40">
                  <c:v>58</c:v>
                </c:pt>
                <c:pt idx="41">
                  <c:v>59</c:v>
                </c:pt>
                <c:pt idx="42">
                  <c:v>62</c:v>
                </c:pt>
                <c:pt idx="43">
                  <c:v>65</c:v>
                </c:pt>
                <c:pt idx="44">
                  <c:v>66</c:v>
                </c:pt>
                <c:pt idx="45">
                  <c:v>71</c:v>
                </c:pt>
                <c:pt idx="46">
                  <c:v>73</c:v>
                </c:pt>
                <c:pt idx="47">
                  <c:v>75</c:v>
                </c:pt>
                <c:pt idx="48">
                  <c:v>80</c:v>
                </c:pt>
                <c:pt idx="49">
                  <c:v>100</c:v>
                </c:pt>
                <c:pt idx="50">
                  <c:v>107</c:v>
                </c:pt>
                <c:pt idx="51">
                  <c:v>165</c:v>
                </c:pt>
              </c:numCache>
            </c:numRef>
          </c:xVal>
          <c:yVal>
            <c:numRef>
              <c:f>'4. Validation'!$H$5:$H$56</c:f>
              <c:numCache>
                <c:formatCode>0.00</c:formatCode>
                <c:ptCount val="52"/>
                <c:pt idx="0">
                  <c:v>0</c:v>
                </c:pt>
                <c:pt idx="1">
                  <c:v>4.6756181082448722E-2</c:v>
                </c:pt>
                <c:pt idx="2">
                  <c:v>9.1326221695482657E-2</c:v>
                </c:pt>
                <c:pt idx="3">
                  <c:v>0.13381233741876153</c:v>
                </c:pt>
                <c:pt idx="4">
                  <c:v>0.17431196462179299</c:v>
                </c:pt>
                <c:pt idx="5">
                  <c:v>0.2129179839215477</c:v>
                </c:pt>
                <c:pt idx="6">
                  <c:v>0.24971893319205063</c:v>
                </c:pt>
                <c:pt idx="7">
                  <c:v>0.2847992106144559</c:v>
                </c:pt>
                <c:pt idx="8">
                  <c:v>0.31823926823327675</c:v>
                </c:pt>
                <c:pt idx="9">
                  <c:v>0.35011579646266433</c:v>
                </c:pt>
                <c:pt idx="10">
                  <c:v>0.40946726531130728</c:v>
                </c:pt>
                <c:pt idx="11">
                  <c:v>0.43707832078952547</c:v>
                </c:pt>
                <c:pt idx="12">
                  <c:v>0.46339838875792649</c:v>
                </c:pt>
                <c:pt idx="13">
                  <c:v>0.48848783086229464</c:v>
                </c:pt>
                <c:pt idx="14">
                  <c:v>0.51240418646837338</c:v>
                </c:pt>
                <c:pt idx="15">
                  <c:v>0.53520230462090201</c:v>
                </c:pt>
                <c:pt idx="16">
                  <c:v>0.55693446983275186</c:v>
                </c:pt>
                <c:pt idx="17">
                  <c:v>0.57765052199264288</c:v>
                </c:pt>
                <c:pt idx="18">
                  <c:v>0.59739797066643252</c:v>
                </c:pt>
                <c:pt idx="19">
                  <c:v>0.61622210405411426</c:v>
                </c:pt>
                <c:pt idx="20">
                  <c:v>0.63416609285240111</c:v>
                </c:pt>
                <c:pt idx="21">
                  <c:v>0.66757632136028744</c:v>
                </c:pt>
                <c:pt idx="22">
                  <c:v>0.68311918307485953</c:v>
                </c:pt>
                <c:pt idx="23">
                  <c:v>0.69793531993256575</c:v>
                </c:pt>
                <c:pt idx="24">
                  <c:v>0.71205871081241057</c:v>
                </c:pt>
                <c:pt idx="25">
                  <c:v>0.72552174587077922</c:v>
                </c:pt>
                <c:pt idx="26">
                  <c:v>0.75058880775797354</c:v>
                </c:pt>
                <c:pt idx="27">
                  <c:v>0.76225032262643122</c:v>
                </c:pt>
                <c:pt idx="28">
                  <c:v>0.77336658959400351</c:v>
                </c:pt>
                <c:pt idx="29">
                  <c:v>0.80369293597761537</c:v>
                </c:pt>
                <c:pt idx="30">
                  <c:v>0.81287150461080981</c:v>
                </c:pt>
                <c:pt idx="31">
                  <c:v>0.82162091842691298</c:v>
                </c:pt>
                <c:pt idx="32">
                  <c:v>0.83791160597649328</c:v>
                </c:pt>
                <c:pt idx="33">
                  <c:v>0.8527145265833489</c:v>
                </c:pt>
                <c:pt idx="34">
                  <c:v>0.85960103284923195</c:v>
                </c:pt>
                <c:pt idx="35">
                  <c:v>0.87242314004905985</c:v>
                </c:pt>
                <c:pt idx="36">
                  <c:v>0.87838814681485622</c:v>
                </c:pt>
                <c:pt idx="37">
                  <c:v>0.8946613131473875</c:v>
                </c:pt>
                <c:pt idx="38">
                  <c:v>0.90428149741600028</c:v>
                </c:pt>
                <c:pt idx="39">
                  <c:v>0.91302310660334618</c:v>
                </c:pt>
                <c:pt idx="40">
                  <c:v>0.93779405718441089</c:v>
                </c:pt>
                <c:pt idx="41">
                  <c:v>0.94070256951110109</c:v>
                </c:pt>
                <c:pt idx="42">
                  <c:v>0.94863729728774715</c:v>
                </c:pt>
                <c:pt idx="43">
                  <c:v>0.95551026059381872</c:v>
                </c:pt>
                <c:pt idx="44">
                  <c:v>0.95759043090580509</c:v>
                </c:pt>
                <c:pt idx="45">
                  <c:v>0.96662019085632256</c:v>
                </c:pt>
                <c:pt idx="46">
                  <c:v>0.96966864270633102</c:v>
                </c:pt>
                <c:pt idx="47">
                  <c:v>0.97243869096685753</c:v>
                </c:pt>
                <c:pt idx="48">
                  <c:v>0.97830698932043292</c:v>
                </c:pt>
                <c:pt idx="49">
                  <c:v>0.99167470200466412</c:v>
                </c:pt>
                <c:pt idx="50">
                  <c:v>0.99404574030186588</c:v>
                </c:pt>
                <c:pt idx="51">
                  <c:v>0.99962960966170866</c:v>
                </c:pt>
              </c:numCache>
            </c:numRef>
          </c:yVal>
          <c:smooth val="0"/>
          <c:extLst>
            <c:ext xmlns:c16="http://schemas.microsoft.com/office/drawing/2014/chart" uri="{C3380CC4-5D6E-409C-BE32-E72D297353CC}">
              <c16:uniqueId val="{00000001-38A8-4258-9434-4E655AE2E2FB}"/>
            </c:ext>
          </c:extLst>
        </c:ser>
        <c:ser>
          <c:idx val="2"/>
          <c:order val="2"/>
          <c:tx>
            <c:strRef>
              <c:f>'4. Validation'!$I$4</c:f>
              <c:strCache>
                <c:ptCount val="1"/>
                <c:pt idx="0">
                  <c:v>CDF(x; tau_hor)</c:v>
                </c:pt>
              </c:strCache>
            </c:strRef>
          </c:tx>
          <c:spPr>
            <a:ln w="19050" cap="rnd">
              <a:solidFill>
                <a:schemeClr val="accent1"/>
              </a:solidFill>
              <a:round/>
            </a:ln>
            <a:effectLst/>
          </c:spPr>
          <c:marker>
            <c:symbol val="none"/>
          </c:marker>
          <c:xVal>
            <c:numRef>
              <c:f>'4. Validation'!$B$5:$B$56</c:f>
              <c:numCache>
                <c:formatCode>General</c:formatCode>
                <c:ptCount val="52"/>
                <c:pt idx="0">
                  <c:v>0</c:v>
                </c:pt>
                <c:pt idx="1">
                  <c:v>1</c:v>
                </c:pt>
                <c:pt idx="2">
                  <c:v>2</c:v>
                </c:pt>
                <c:pt idx="3">
                  <c:v>3</c:v>
                </c:pt>
                <c:pt idx="4">
                  <c:v>4</c:v>
                </c:pt>
                <c:pt idx="5">
                  <c:v>5</c:v>
                </c:pt>
                <c:pt idx="6">
                  <c:v>6</c:v>
                </c:pt>
                <c:pt idx="7">
                  <c:v>7</c:v>
                </c:pt>
                <c:pt idx="8">
                  <c:v>8</c:v>
                </c:pt>
                <c:pt idx="9">
                  <c:v>9</c:v>
                </c:pt>
                <c:pt idx="10">
                  <c:v>11</c:v>
                </c:pt>
                <c:pt idx="11">
                  <c:v>12</c:v>
                </c:pt>
                <c:pt idx="12">
                  <c:v>13</c:v>
                </c:pt>
                <c:pt idx="13">
                  <c:v>14</c:v>
                </c:pt>
                <c:pt idx="14">
                  <c:v>15</c:v>
                </c:pt>
                <c:pt idx="15">
                  <c:v>16</c:v>
                </c:pt>
                <c:pt idx="16">
                  <c:v>17</c:v>
                </c:pt>
                <c:pt idx="17">
                  <c:v>18</c:v>
                </c:pt>
                <c:pt idx="18">
                  <c:v>19</c:v>
                </c:pt>
                <c:pt idx="19">
                  <c:v>20</c:v>
                </c:pt>
                <c:pt idx="20">
                  <c:v>21</c:v>
                </c:pt>
                <c:pt idx="21">
                  <c:v>23</c:v>
                </c:pt>
                <c:pt idx="22">
                  <c:v>24</c:v>
                </c:pt>
                <c:pt idx="23">
                  <c:v>25</c:v>
                </c:pt>
                <c:pt idx="24">
                  <c:v>26</c:v>
                </c:pt>
                <c:pt idx="25">
                  <c:v>27</c:v>
                </c:pt>
                <c:pt idx="26">
                  <c:v>29</c:v>
                </c:pt>
                <c:pt idx="27">
                  <c:v>30</c:v>
                </c:pt>
                <c:pt idx="28">
                  <c:v>31</c:v>
                </c:pt>
                <c:pt idx="29">
                  <c:v>34</c:v>
                </c:pt>
                <c:pt idx="30">
                  <c:v>35</c:v>
                </c:pt>
                <c:pt idx="31">
                  <c:v>36</c:v>
                </c:pt>
                <c:pt idx="32">
                  <c:v>38</c:v>
                </c:pt>
                <c:pt idx="33">
                  <c:v>40</c:v>
                </c:pt>
                <c:pt idx="34">
                  <c:v>41</c:v>
                </c:pt>
                <c:pt idx="35">
                  <c:v>43</c:v>
                </c:pt>
                <c:pt idx="36">
                  <c:v>44</c:v>
                </c:pt>
                <c:pt idx="37">
                  <c:v>47</c:v>
                </c:pt>
                <c:pt idx="38">
                  <c:v>49</c:v>
                </c:pt>
                <c:pt idx="39">
                  <c:v>51</c:v>
                </c:pt>
                <c:pt idx="40">
                  <c:v>58</c:v>
                </c:pt>
                <c:pt idx="41">
                  <c:v>59</c:v>
                </c:pt>
                <c:pt idx="42">
                  <c:v>62</c:v>
                </c:pt>
                <c:pt idx="43">
                  <c:v>65</c:v>
                </c:pt>
                <c:pt idx="44">
                  <c:v>66</c:v>
                </c:pt>
                <c:pt idx="45">
                  <c:v>71</c:v>
                </c:pt>
                <c:pt idx="46">
                  <c:v>73</c:v>
                </c:pt>
                <c:pt idx="47">
                  <c:v>75</c:v>
                </c:pt>
                <c:pt idx="48">
                  <c:v>80</c:v>
                </c:pt>
                <c:pt idx="49">
                  <c:v>100</c:v>
                </c:pt>
                <c:pt idx="50">
                  <c:v>107</c:v>
                </c:pt>
                <c:pt idx="51">
                  <c:v>165</c:v>
                </c:pt>
              </c:numCache>
            </c:numRef>
          </c:xVal>
          <c:yVal>
            <c:numRef>
              <c:f>'4. Validation'!$I$5:$I$56</c:f>
              <c:numCache>
                <c:formatCode>0.00</c:formatCode>
                <c:ptCount val="52"/>
                <c:pt idx="0">
                  <c:v>0</c:v>
                </c:pt>
                <c:pt idx="1">
                  <c:v>3.1869369061068853E-2</c:v>
                </c:pt>
                <c:pt idx="2">
                  <c:v>6.2723081437787154E-2</c:v>
                </c:pt>
                <c:pt idx="3">
                  <c:v>9.2593505467867709E-2</c:v>
                </c:pt>
                <c:pt idx="4">
                  <c:v>0.12151197793052304</c:v>
                </c:pt>
                <c:pt idx="5">
                  <c:v>0.14950883692158368</c:v>
                </c:pt>
                <c:pt idx="6">
                  <c:v>0.17661345368090742</c:v>
                </c:pt>
                <c:pt idx="7">
                  <c:v>0.20285426340546953</c:v>
                </c:pt>
                <c:pt idx="8">
                  <c:v>0.22825879508045821</c:v>
                </c:pt>
                <c:pt idx="9">
                  <c:v>0.25285370035967303</c:v>
                </c:pt>
                <c:pt idx="10">
                  <c:v>0.29971701855795463</c:v>
                </c:pt>
                <c:pt idx="11">
                  <c:v>0.32203459534071688</c:v>
                </c:pt>
                <c:pt idx="12">
                  <c:v>0.34364092503244048</c:v>
                </c:pt>
                <c:pt idx="13">
                  <c:v>0.36455867462916336</c:v>
                </c:pt>
                <c:pt idx="14">
                  <c:v>0.38480978874406135</c:v>
                </c:pt>
                <c:pt idx="15">
                  <c:v>0.40441551262933384</c:v>
                </c:pt>
                <c:pt idx="16">
                  <c:v>0.42339641446439702</c:v>
                </c:pt>
                <c:pt idx="17">
                  <c:v>0.44177240693376685</c:v>
                </c:pt>
                <c:pt idx="18">
                  <c:v>0.45956276811726671</c:v>
                </c:pt>
                <c:pt idx="19">
                  <c:v>0.47678616171448007</c:v>
                </c:pt>
                <c:pt idx="20">
                  <c:v>0.49346065662465965</c:v>
                </c:pt>
                <c:pt idx="21">
                  <c:v>0.52523236511063442</c:v>
                </c:pt>
                <c:pt idx="22">
                  <c:v>0.54036291008517445</c:v>
                </c:pt>
                <c:pt idx="23">
                  <c:v>0.5550112541378257</c:v>
                </c:pt>
                <c:pt idx="24">
                  <c:v>0.5691927647077295</c:v>
                </c:pt>
                <c:pt idx="25">
                  <c:v>0.58292231948343765</c:v>
                </c:pt>
                <c:pt idx="26">
                  <c:v>0.60908271680436132</c:v>
                </c:pt>
                <c:pt idx="27">
                  <c:v>0.62154100397487355</c:v>
                </c:pt>
                <c:pt idx="28">
                  <c:v>0.63360225339367993</c:v>
                </c:pt>
                <c:pt idx="29">
                  <c:v>0.66752830514748662</c:v>
                </c:pt>
                <c:pt idx="30">
                  <c:v>0.6781239682931004</c:v>
                </c:pt>
                <c:pt idx="31">
                  <c:v>0.68838195433948002</c:v>
                </c:pt>
                <c:pt idx="32">
                  <c:v>0.7079275983949288</c:v>
                </c:pt>
                <c:pt idx="33">
                  <c:v>0.72624727942653378</c:v>
                </c:pt>
                <c:pt idx="34">
                  <c:v>0.73497160590996125</c:v>
                </c:pt>
                <c:pt idx="35">
                  <c:v>0.75159500345579677</c:v>
                </c:pt>
                <c:pt idx="36">
                  <c:v>0.75951151396727745</c:v>
                </c:pt>
                <c:pt idx="37">
                  <c:v>0.78177918591370754</c:v>
                </c:pt>
                <c:pt idx="38">
                  <c:v>0.79546666780706232</c:v>
                </c:pt>
                <c:pt idx="39">
                  <c:v>0.808295628658942</c:v>
                </c:pt>
                <c:pt idx="40">
                  <c:v>0.84718367769894087</c:v>
                </c:pt>
                <c:pt idx="41">
                  <c:v>0.85205383747290853</c:v>
                </c:pt>
                <c:pt idx="42">
                  <c:v>0.86575269128181087</c:v>
                </c:pt>
                <c:pt idx="43">
                  <c:v>0.87818312019565503</c:v>
                </c:pt>
                <c:pt idx="44">
                  <c:v>0.88206534729600761</c:v>
                </c:pt>
                <c:pt idx="45">
                  <c:v>0.89969762005453235</c:v>
                </c:pt>
                <c:pt idx="46">
                  <c:v>0.90598889440025576</c:v>
                </c:pt>
                <c:pt idx="47">
                  <c:v>0.91188556063284498</c:v>
                </c:pt>
                <c:pt idx="48">
                  <c:v>0.92505944797862572</c:v>
                </c:pt>
                <c:pt idx="49">
                  <c:v>0.96079006613366114</c:v>
                </c:pt>
                <c:pt idx="50">
                  <c:v>0.9687439683862944</c:v>
                </c:pt>
                <c:pt idx="51">
                  <c:v>0.99522356819906788</c:v>
                </c:pt>
              </c:numCache>
            </c:numRef>
          </c:yVal>
          <c:smooth val="0"/>
          <c:extLst>
            <c:ext xmlns:c16="http://schemas.microsoft.com/office/drawing/2014/chart" uri="{C3380CC4-5D6E-409C-BE32-E72D297353CC}">
              <c16:uniqueId val="{00000002-38A8-4258-9434-4E655AE2E2FB}"/>
            </c:ext>
          </c:extLst>
        </c:ser>
        <c:dLbls>
          <c:showLegendKey val="0"/>
          <c:showVal val="0"/>
          <c:showCatName val="0"/>
          <c:showSerName val="0"/>
          <c:showPercent val="0"/>
          <c:showBubbleSize val="0"/>
        </c:dLbls>
        <c:axId val="585565456"/>
        <c:axId val="585567696"/>
      </c:scatterChart>
      <c:valAx>
        <c:axId val="585565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67696"/>
        <c:crosses val="autoZero"/>
        <c:crossBetween val="midCat"/>
      </c:valAx>
      <c:valAx>
        <c:axId val="585567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654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cs-CZ" sz="1400" b="0" i="0" u="none" strike="noStrike" baseline="0">
                <a:solidFill>
                  <a:sysClr val="windowText" lastClr="000000">
                    <a:lumMod val="65000"/>
                    <a:lumOff val="35000"/>
                  </a:sysClr>
                </a:solidFill>
                <a:latin typeface="Calibri" panose="020F0502020204030204"/>
              </a:rPr>
              <a:t>Histogram - Number of days to next incident</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BE7B70D4-86BC-42A1-A13D-AFC6E09DBB76}">
          <cx:tx>
            <cx:txData>
              <cx:f>_xlchart.v1.0</cx:f>
              <cx:v>Number of days to next incident</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609599</xdr:colOff>
      <xdr:row>9</xdr:row>
      <xdr:rowOff>0</xdr:rowOff>
    </xdr:from>
    <xdr:to>
      <xdr:col>18</xdr:col>
      <xdr:colOff>600074</xdr:colOff>
      <xdr:row>24</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20250FB-8CD5-4153-8A17-920AED0D35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325099" y="1828800"/>
              <a:ext cx="486537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26</xdr:row>
      <xdr:rowOff>0</xdr:rowOff>
    </xdr:from>
    <xdr:to>
      <xdr:col>20</xdr:col>
      <xdr:colOff>200025</xdr:colOff>
      <xdr:row>43</xdr:row>
      <xdr:rowOff>7620</xdr:rowOff>
    </xdr:to>
    <xdr:graphicFrame macro="">
      <xdr:nvGraphicFramePr>
        <xdr:cNvPr id="7" name="Chart 6">
          <a:extLst>
            <a:ext uri="{FF2B5EF4-FFF2-40B4-BE49-F238E27FC236}">
              <a16:creationId xmlns:a16="http://schemas.microsoft.com/office/drawing/2014/main" id="{F0ED3190-72BA-45DF-96B8-59C9E159D6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564459</xdr:colOff>
      <xdr:row>0</xdr:row>
      <xdr:rowOff>0</xdr:rowOff>
    </xdr:from>
    <xdr:to>
      <xdr:col>23</xdr:col>
      <xdr:colOff>231598</xdr:colOff>
      <xdr:row>7</xdr:row>
      <xdr:rowOff>19050</xdr:rowOff>
    </xdr:to>
    <xdr:pic>
      <xdr:nvPicPr>
        <xdr:cNvPr id="9" name="Picture 8">
          <a:extLst>
            <a:ext uri="{FF2B5EF4-FFF2-40B4-BE49-F238E27FC236}">
              <a16:creationId xmlns:a16="http://schemas.microsoft.com/office/drawing/2014/main" id="{3B518A08-DA38-4B5C-97BD-155415A9BE2D}"/>
            </a:ext>
          </a:extLst>
        </xdr:cNvPr>
        <xdr:cNvPicPr>
          <a:picLocks noChangeAspect="1"/>
        </xdr:cNvPicPr>
      </xdr:nvPicPr>
      <xdr:blipFill>
        <a:blip xmlns:r="http://schemas.openxmlformats.org/officeDocument/2006/relationships" r:embed="rId3"/>
        <a:stretch>
          <a:fillRect/>
        </a:stretch>
      </xdr:blipFill>
      <xdr:spPr>
        <a:xfrm>
          <a:off x="7099437" y="0"/>
          <a:ext cx="11194874" cy="14743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xdr:colOff>
      <xdr:row>13</xdr:row>
      <xdr:rowOff>2</xdr:rowOff>
    </xdr:from>
    <xdr:to>
      <xdr:col>11</xdr:col>
      <xdr:colOff>550546</xdr:colOff>
      <xdr:row>17</xdr:row>
      <xdr:rowOff>169546</xdr:rowOff>
    </xdr:to>
    <xdr:pic>
      <xdr:nvPicPr>
        <xdr:cNvPr id="2" name="Picture 1">
          <a:extLst>
            <a:ext uri="{FF2B5EF4-FFF2-40B4-BE49-F238E27FC236}">
              <a16:creationId xmlns:a16="http://schemas.microsoft.com/office/drawing/2014/main" id="{8218CAA8-A720-4BAA-8A72-1BB9BC4F51B1}"/>
            </a:ext>
          </a:extLst>
        </xdr:cNvPr>
        <xdr:cNvPicPr>
          <a:picLocks noChangeAspect="1"/>
        </xdr:cNvPicPr>
      </xdr:nvPicPr>
      <xdr:blipFill rotWithShape="1">
        <a:blip xmlns:r="http://schemas.openxmlformats.org/officeDocument/2006/relationships" r:embed="rId1"/>
        <a:srcRect b="22041"/>
        <a:stretch/>
      </xdr:blipFill>
      <xdr:spPr>
        <a:xfrm>
          <a:off x="5095876" y="2400302"/>
          <a:ext cx="6305550" cy="904874"/>
        </a:xfrm>
        <a:prstGeom prst="rect">
          <a:avLst/>
        </a:prstGeom>
      </xdr:spPr>
    </xdr:pic>
    <xdr:clientData/>
  </xdr:twoCellAnchor>
  <xdr:twoCellAnchor>
    <xdr:from>
      <xdr:col>4</xdr:col>
      <xdr:colOff>0</xdr:colOff>
      <xdr:row>21</xdr:row>
      <xdr:rowOff>177165</xdr:rowOff>
    </xdr:from>
    <xdr:to>
      <xdr:col>10</xdr:col>
      <xdr:colOff>0</xdr:colOff>
      <xdr:row>27</xdr:row>
      <xdr:rowOff>0</xdr:rowOff>
    </xdr:to>
    <xdr:sp macro="" textlink="">
      <xdr:nvSpPr>
        <xdr:cNvPr id="3" name="TextBox 2">
          <a:extLst>
            <a:ext uri="{FF2B5EF4-FFF2-40B4-BE49-F238E27FC236}">
              <a16:creationId xmlns:a16="http://schemas.microsoft.com/office/drawing/2014/main" id="{A689037C-A6E0-481D-88DC-77F247D8BD99}"/>
            </a:ext>
          </a:extLst>
        </xdr:cNvPr>
        <xdr:cNvSpPr txBox="1"/>
      </xdr:nvSpPr>
      <xdr:spPr>
        <a:xfrm>
          <a:off x="5095875" y="4025265"/>
          <a:ext cx="3867150" cy="918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 = F(x) = 1/tau * exp(-x/tau)</a:t>
          </a:r>
        </a:p>
        <a:p>
          <a:r>
            <a:rPr lang="en-US" sz="1100"/>
            <a:t>x = Finv(p) = -tau * ln(1-p)</a:t>
          </a:r>
        </a:p>
        <a:p>
          <a:r>
            <a:rPr lang="en-US" sz="1100"/>
            <a:t>x_h = Finv(tau_h; 1-beta_1)</a:t>
          </a:r>
        </a:p>
        <a:p>
          <a:r>
            <a:rPr lang="en-US" sz="1100"/>
            <a:t>x_d = Finv(tau_d; beta_2)</a:t>
          </a:r>
        </a:p>
      </xdr:txBody>
    </xdr:sp>
    <xdr:clientData/>
  </xdr:twoCellAnchor>
  <xdr:twoCellAnchor editAs="oneCell">
    <xdr:from>
      <xdr:col>11</xdr:col>
      <xdr:colOff>26670</xdr:colOff>
      <xdr:row>21</xdr:row>
      <xdr:rowOff>173354</xdr:rowOff>
    </xdr:from>
    <xdr:to>
      <xdr:col>22</xdr:col>
      <xdr:colOff>511420</xdr:colOff>
      <xdr:row>37</xdr:row>
      <xdr:rowOff>17144</xdr:rowOff>
    </xdr:to>
    <xdr:pic>
      <xdr:nvPicPr>
        <xdr:cNvPr id="4" name="Picture 3">
          <a:extLst>
            <a:ext uri="{FF2B5EF4-FFF2-40B4-BE49-F238E27FC236}">
              <a16:creationId xmlns:a16="http://schemas.microsoft.com/office/drawing/2014/main" id="{09645EFF-9501-4136-B1F5-32BDBF8F22B1}"/>
            </a:ext>
          </a:extLst>
        </xdr:cNvPr>
        <xdr:cNvPicPr>
          <a:picLocks noChangeAspect="1"/>
        </xdr:cNvPicPr>
      </xdr:nvPicPr>
      <xdr:blipFill>
        <a:blip xmlns:r="http://schemas.openxmlformats.org/officeDocument/2006/relationships" r:embed="rId2"/>
        <a:stretch>
          <a:fillRect/>
        </a:stretch>
      </xdr:blipFill>
      <xdr:spPr>
        <a:xfrm>
          <a:off x="9599295" y="4030979"/>
          <a:ext cx="7194160" cy="2741295"/>
        </a:xfrm>
        <a:prstGeom prst="rect">
          <a:avLst/>
        </a:prstGeom>
      </xdr:spPr>
    </xdr:pic>
    <xdr:clientData/>
  </xdr:twoCellAnchor>
  <xdr:twoCellAnchor>
    <xdr:from>
      <xdr:col>4</xdr:col>
      <xdr:colOff>15240</xdr:colOff>
      <xdr:row>6</xdr:row>
      <xdr:rowOff>167640</xdr:rowOff>
    </xdr:from>
    <xdr:to>
      <xdr:col>13</xdr:col>
      <xdr:colOff>0</xdr:colOff>
      <xdr:row>13</xdr:row>
      <xdr:rowOff>0</xdr:rowOff>
    </xdr:to>
    <xdr:sp macro="" textlink="">
      <xdr:nvSpPr>
        <xdr:cNvPr id="5" name="TextBox 4">
          <a:extLst>
            <a:ext uri="{FF2B5EF4-FFF2-40B4-BE49-F238E27FC236}">
              <a16:creationId xmlns:a16="http://schemas.microsoft.com/office/drawing/2014/main" id="{C6BF5C91-7296-4F98-A0DB-B961DFEDAD0C}"/>
            </a:ext>
          </a:extLst>
        </xdr:cNvPr>
        <xdr:cNvSpPr txBox="1"/>
      </xdr:nvSpPr>
      <xdr:spPr>
        <a:xfrm>
          <a:off x="5111115" y="1272540"/>
          <a:ext cx="6290310" cy="112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a:t>
          </a:r>
          <a:r>
            <a:rPr lang="en-US" sz="1100" baseline="0"/>
            <a:t> know that the sum of n independ exp(tau) random variables S follows Gamma(n, tau).</a:t>
          </a:r>
        </a:p>
        <a:p>
          <a:r>
            <a:rPr lang="en-US" sz="1100" baseline="0"/>
            <a:t>Then 2S/tau follows Gamma(n,2) = Chisq(2n).</a:t>
          </a:r>
        </a:p>
        <a:p>
          <a:r>
            <a:rPr lang="en-US" sz="1100" baseline="0"/>
            <a:t>Thus, P[Chisq(alpha/2, 2n) &lt; 2S/tau &lt; </a:t>
          </a:r>
          <a:r>
            <a:rPr lang="en-US" sz="1100" baseline="0">
              <a:solidFill>
                <a:schemeClr val="dk1"/>
              </a:solidFill>
              <a:effectLst/>
              <a:latin typeface="+mn-lt"/>
              <a:ea typeface="+mn-ea"/>
              <a:cs typeface="+mn-cs"/>
            </a:rPr>
            <a:t>Chisq(1-alpha/2, 2n)</a:t>
          </a:r>
          <a:r>
            <a:rPr lang="en-US" sz="1100" baseline="0"/>
            <a:t>] =</a:t>
          </a:r>
        </a:p>
        <a:p>
          <a:r>
            <a:rPr lang="en-US" sz="1100" baseline="0"/>
            <a:t>= </a:t>
          </a:r>
          <a:r>
            <a:rPr lang="en-US" sz="1100" baseline="0">
              <a:solidFill>
                <a:schemeClr val="dk1"/>
              </a:solidFill>
              <a:effectLst/>
              <a:latin typeface="+mn-lt"/>
              <a:ea typeface="+mn-ea"/>
              <a:cs typeface="+mn-cs"/>
            </a:rPr>
            <a:t>P[Chisq(alpha/2, 2n)/2S &lt; 1/tau &lt; Chisq(1-alpha/2, 2n)/2S]  =</a:t>
          </a:r>
        </a:p>
        <a:p>
          <a:r>
            <a:rPr lang="en-US" sz="1100" baseline="0">
              <a:solidFill>
                <a:schemeClr val="dk1"/>
              </a:solidFill>
              <a:effectLst/>
              <a:latin typeface="+mn-lt"/>
              <a:ea typeface="+mn-ea"/>
              <a:cs typeface="+mn-cs"/>
            </a:rPr>
            <a:t>= P[2S/Chisq(1-alpha/2, 2n) &lt; tau &lt; 2S/Chisq(alpha/2, 2n)] , where S can be writtens as n*mean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55245</xdr:colOff>
      <xdr:row>2</xdr:row>
      <xdr:rowOff>31432</xdr:rowOff>
    </xdr:from>
    <xdr:to>
      <xdr:col>20</xdr:col>
      <xdr:colOff>360045</xdr:colOff>
      <xdr:row>17</xdr:row>
      <xdr:rowOff>40957</xdr:rowOff>
    </xdr:to>
    <xdr:graphicFrame macro="">
      <xdr:nvGraphicFramePr>
        <xdr:cNvPr id="2" name="Chart 1">
          <a:extLst>
            <a:ext uri="{FF2B5EF4-FFF2-40B4-BE49-F238E27FC236}">
              <a16:creationId xmlns:a16="http://schemas.microsoft.com/office/drawing/2014/main" id="{87321742-487A-4A31-8493-FBD57F094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590549</xdr:colOff>
      <xdr:row>2</xdr:row>
      <xdr:rowOff>20002</xdr:rowOff>
    </xdr:from>
    <xdr:to>
      <xdr:col>33</xdr:col>
      <xdr:colOff>47625</xdr:colOff>
      <xdr:row>27</xdr:row>
      <xdr:rowOff>28575</xdr:rowOff>
    </xdr:to>
    <xdr:graphicFrame macro="">
      <xdr:nvGraphicFramePr>
        <xdr:cNvPr id="3" name="Chart 2">
          <a:extLst>
            <a:ext uri="{FF2B5EF4-FFF2-40B4-BE49-F238E27FC236}">
              <a16:creationId xmlns:a16="http://schemas.microsoft.com/office/drawing/2014/main" id="{C3B13E9D-90B7-4560-916B-F13119A43F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19</xdr:col>
      <xdr:colOff>99786</xdr:colOff>
      <xdr:row>26</xdr:row>
      <xdr:rowOff>99786</xdr:rowOff>
    </xdr:from>
    <xdr:ext cx="184731" cy="264560"/>
    <xdr:sp macro="" textlink="">
      <xdr:nvSpPr>
        <xdr:cNvPr id="4" name="TextBox 3">
          <a:extLst>
            <a:ext uri="{FF2B5EF4-FFF2-40B4-BE49-F238E27FC236}">
              <a16:creationId xmlns:a16="http://schemas.microsoft.com/office/drawing/2014/main" id="{148244F0-EEE3-4177-8E39-0EAEAB1F14EE}"/>
            </a:ext>
          </a:extLst>
        </xdr:cNvPr>
        <xdr:cNvSpPr txBox="1"/>
      </xdr:nvSpPr>
      <xdr:spPr>
        <a:xfrm>
          <a:off x="12255500" y="48622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 Matas" refreshedDate="44294.686177083335" createdVersion="6" refreshedVersion="6" minRefreshableVersion="3" recordCount="102" xr:uid="{CDA24107-82DF-4AB4-9E29-6FA71F1077F3}">
  <cacheSource type="worksheet">
    <worksheetSource ref="C1:D103" sheet="1. Raw Data"/>
  </cacheSource>
  <cacheFields count="2">
    <cacheField name="Dead" numFmtId="0">
      <sharedItems containsSemiMixedTypes="0" containsString="0" containsNumber="1" containsInteger="1" minValue="0" maxValue="61" count="19">
        <n v="4"/>
        <n v="7"/>
        <n v="6"/>
        <n v="5"/>
        <n v="0"/>
        <n v="8"/>
        <n v="9"/>
        <n v="3"/>
        <n v="10"/>
        <n v="16"/>
        <n v="50"/>
        <n v="2"/>
        <n v="1"/>
        <n v="61"/>
        <n v="27"/>
        <n v="17"/>
        <n v="11"/>
        <n v="13"/>
        <n v="23"/>
      </sharedItems>
    </cacheField>
    <cacheField name="Injured" numFmtId="0">
      <sharedItems containsMixedTypes="1" containsNumber="1" containsInteger="1" minValue="0" maxValue="411" count="29">
        <n v="14"/>
        <n v="13"/>
        <n v="1"/>
        <n v="4"/>
        <n v="0"/>
        <n v="18"/>
        <n v="2"/>
        <n v="9"/>
        <n v="8"/>
        <n v="5"/>
        <n v="22"/>
        <n v="3"/>
        <n v="53"/>
        <n v="11"/>
        <n v="6"/>
        <n v="16"/>
        <n v="28"/>
        <n v="411"/>
        <n v="20"/>
        <n v="12"/>
        <n v="17"/>
        <n v="10"/>
        <n v="7"/>
        <s v="12+"/>
        <n v="15"/>
        <n v="23"/>
        <n v="27"/>
        <n v="25"/>
        <n v="2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x v="0"/>
    <x v="0"/>
  </r>
  <r>
    <x v="1"/>
    <x v="1"/>
  </r>
  <r>
    <x v="2"/>
    <x v="2"/>
  </r>
  <r>
    <x v="3"/>
    <x v="2"/>
  </r>
  <r>
    <x v="4"/>
    <x v="3"/>
  </r>
  <r>
    <x v="2"/>
    <x v="2"/>
  </r>
  <r>
    <x v="5"/>
    <x v="2"/>
  </r>
  <r>
    <x v="0"/>
    <x v="4"/>
  </r>
  <r>
    <x v="6"/>
    <x v="5"/>
  </r>
  <r>
    <x v="6"/>
    <x v="2"/>
  </r>
  <r>
    <x v="2"/>
    <x v="6"/>
  </r>
  <r>
    <x v="7"/>
    <x v="7"/>
  </r>
  <r>
    <x v="5"/>
    <x v="4"/>
  </r>
  <r>
    <x v="7"/>
    <x v="2"/>
  </r>
  <r>
    <x v="8"/>
    <x v="8"/>
  </r>
  <r>
    <x v="0"/>
    <x v="4"/>
  </r>
  <r>
    <x v="4"/>
    <x v="9"/>
  </r>
  <r>
    <x v="7"/>
    <x v="7"/>
  </r>
  <r>
    <x v="9"/>
    <x v="10"/>
  </r>
  <r>
    <x v="2"/>
    <x v="6"/>
  </r>
  <r>
    <x v="0"/>
    <x v="0"/>
  </r>
  <r>
    <x v="3"/>
    <x v="4"/>
  </r>
  <r>
    <x v="2"/>
    <x v="11"/>
  </r>
  <r>
    <x v="5"/>
    <x v="4"/>
  </r>
  <r>
    <x v="7"/>
    <x v="11"/>
  </r>
  <r>
    <x v="10"/>
    <x v="12"/>
  </r>
  <r>
    <x v="2"/>
    <x v="13"/>
  </r>
  <r>
    <x v="7"/>
    <x v="6"/>
  </r>
  <r>
    <x v="0"/>
    <x v="11"/>
  </r>
  <r>
    <x v="7"/>
    <x v="2"/>
  </r>
  <r>
    <x v="2"/>
    <x v="4"/>
  </r>
  <r>
    <x v="3"/>
    <x v="4"/>
  </r>
  <r>
    <x v="11"/>
    <x v="11"/>
  </r>
  <r>
    <x v="3"/>
    <x v="14"/>
  </r>
  <r>
    <x v="3"/>
    <x v="4"/>
  </r>
  <r>
    <x v="11"/>
    <x v="15"/>
  </r>
  <r>
    <x v="7"/>
    <x v="2"/>
  </r>
  <r>
    <x v="0"/>
    <x v="4"/>
  </r>
  <r>
    <x v="0"/>
    <x v="4"/>
  </r>
  <r>
    <x v="5"/>
    <x v="2"/>
  </r>
  <r>
    <x v="2"/>
    <x v="4"/>
  </r>
  <r>
    <x v="7"/>
    <x v="6"/>
  </r>
  <r>
    <x v="0"/>
    <x v="4"/>
  </r>
  <r>
    <x v="0"/>
    <x v="9"/>
  </r>
  <r>
    <x v="12"/>
    <x v="14"/>
  </r>
  <r>
    <x v="11"/>
    <x v="14"/>
  </r>
  <r>
    <x v="4"/>
    <x v="16"/>
  </r>
  <r>
    <x v="11"/>
    <x v="3"/>
  </r>
  <r>
    <x v="6"/>
    <x v="2"/>
  </r>
  <r>
    <x v="12"/>
    <x v="8"/>
  </r>
  <r>
    <x v="13"/>
    <x v="17"/>
  </r>
  <r>
    <x v="14"/>
    <x v="18"/>
  </r>
  <r>
    <x v="2"/>
    <x v="19"/>
  </r>
  <r>
    <x v="7"/>
    <x v="2"/>
  </r>
  <r>
    <x v="11"/>
    <x v="14"/>
  </r>
  <r>
    <x v="11"/>
    <x v="15"/>
  </r>
  <r>
    <x v="3"/>
    <x v="2"/>
  </r>
  <r>
    <x v="15"/>
    <x v="20"/>
  </r>
  <r>
    <x v="3"/>
    <x v="4"/>
  </r>
  <r>
    <x v="12"/>
    <x v="3"/>
  </r>
  <r>
    <x v="0"/>
    <x v="6"/>
  </r>
  <r>
    <x v="8"/>
    <x v="0"/>
  </r>
  <r>
    <x v="1"/>
    <x v="4"/>
  </r>
  <r>
    <x v="12"/>
    <x v="10"/>
  </r>
  <r>
    <x v="3"/>
    <x v="6"/>
  </r>
  <r>
    <x v="7"/>
    <x v="13"/>
  </r>
  <r>
    <x v="0"/>
    <x v="6"/>
  </r>
  <r>
    <x v="0"/>
    <x v="11"/>
  </r>
  <r>
    <x v="11"/>
    <x v="21"/>
  </r>
  <r>
    <x v="16"/>
    <x v="22"/>
  </r>
  <r>
    <x v="7"/>
    <x v="9"/>
  </r>
  <r>
    <x v="17"/>
    <x v="23"/>
  </r>
  <r>
    <x v="12"/>
    <x v="3"/>
  </r>
  <r>
    <x v="0"/>
    <x v="4"/>
  </r>
  <r>
    <x v="3"/>
    <x v="4"/>
  </r>
  <r>
    <x v="3"/>
    <x v="4"/>
  </r>
  <r>
    <x v="2"/>
    <x v="14"/>
  </r>
  <r>
    <x v="12"/>
    <x v="11"/>
  </r>
  <r>
    <x v="11"/>
    <x v="3"/>
  </r>
  <r>
    <x v="12"/>
    <x v="8"/>
  </r>
  <r>
    <x v="17"/>
    <x v="9"/>
  </r>
  <r>
    <x v="0"/>
    <x v="24"/>
  </r>
  <r>
    <x v="18"/>
    <x v="25"/>
  </r>
  <r>
    <x v="8"/>
    <x v="26"/>
  </r>
  <r>
    <x v="5"/>
    <x v="27"/>
  </r>
  <r>
    <x v="5"/>
    <x v="4"/>
  </r>
  <r>
    <x v="3"/>
    <x v="3"/>
  </r>
  <r>
    <x v="7"/>
    <x v="11"/>
  </r>
  <r>
    <x v="0"/>
    <x v="14"/>
  </r>
  <r>
    <x v="0"/>
    <x v="2"/>
  </r>
  <r>
    <x v="0"/>
    <x v="8"/>
  </r>
  <r>
    <x v="2"/>
    <x v="11"/>
  </r>
  <r>
    <x v="0"/>
    <x v="2"/>
  </r>
  <r>
    <x v="2"/>
    <x v="4"/>
  </r>
  <r>
    <x v="12"/>
    <x v="28"/>
  </r>
  <r>
    <x v="11"/>
    <x v="0"/>
  </r>
  <r>
    <x v="4"/>
    <x v="8"/>
  </r>
  <r>
    <x v="7"/>
    <x v="11"/>
  </r>
  <r>
    <x v="2"/>
    <x v="2"/>
  </r>
  <r>
    <x v="7"/>
    <x v="11"/>
  </r>
  <r>
    <x v="12"/>
    <x v="3"/>
  </r>
  <r>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C7EE20-BB39-4D17-9294-F156109107A0}" name="PivotTable1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Y12:BC33" firstHeaderRow="1" firstDataRow="2" firstDataCol="1"/>
  <pivotFields count="2">
    <pivotField axis="axisRow" showAll="0">
      <items count="20">
        <item x="4"/>
        <item x="12"/>
        <item x="11"/>
        <item x="7"/>
        <item x="0"/>
        <item x="3"/>
        <item x="2"/>
        <item x="1"/>
        <item x="5"/>
        <item x="6"/>
        <item x="8"/>
        <item x="16"/>
        <item x="17"/>
        <item x="9"/>
        <item x="15"/>
        <item x="18"/>
        <item x="14"/>
        <item x="10"/>
        <item x="13"/>
        <item t="default"/>
      </items>
    </pivotField>
    <pivotField axis="axisCol" dataField="1" showAll="0">
      <items count="30">
        <item x="4"/>
        <item x="2"/>
        <item x="6"/>
        <item x="11"/>
        <item x="3"/>
        <item x="9"/>
        <item x="14"/>
        <item x="22"/>
        <item x="8"/>
        <item x="7"/>
        <item x="21"/>
        <item x="13"/>
        <item x="19"/>
        <item x="1"/>
        <item x="0"/>
        <item x="24"/>
        <item x="15"/>
        <item x="20"/>
        <item x="5"/>
        <item x="18"/>
        <item x="28"/>
        <item x="10"/>
        <item x="25"/>
        <item x="27"/>
        <item x="26"/>
        <item x="16"/>
        <item x="12"/>
        <item x="17"/>
        <item x="23"/>
        <item t="default"/>
      </items>
    </pivotField>
  </pivotFields>
  <rowFields count="1">
    <field x="0"/>
  </rowFields>
  <rowItems count="20">
    <i>
      <x/>
    </i>
    <i>
      <x v="1"/>
    </i>
    <i>
      <x v="2"/>
    </i>
    <i>
      <x v="3"/>
    </i>
    <i>
      <x v="4"/>
    </i>
    <i>
      <x v="5"/>
    </i>
    <i>
      <x v="6"/>
    </i>
    <i>
      <x v="7"/>
    </i>
    <i>
      <x v="8"/>
    </i>
    <i>
      <x v="9"/>
    </i>
    <i>
      <x v="10"/>
    </i>
    <i>
      <x v="11"/>
    </i>
    <i>
      <x v="12"/>
    </i>
    <i>
      <x v="13"/>
    </i>
    <i>
      <x v="14"/>
    </i>
    <i>
      <x v="15"/>
    </i>
    <i>
      <x v="16"/>
    </i>
    <i>
      <x v="17"/>
    </i>
    <i>
      <x v="18"/>
    </i>
    <i t="grand">
      <x/>
    </i>
  </rowItems>
  <colFields count="1">
    <field x="1"/>
  </colFields>
  <col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colItems>
  <dataFields count="1">
    <dataField name="Count of Injure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en.wikipedia.org/wiki/2019_Fresno_shooting" TargetMode="External"/><Relationship Id="rId117" Type="http://schemas.openxmlformats.org/officeDocument/2006/relationships/hyperlink" Target="https://en.wikipedia.org/wiki/List_of_mass_shootings_in_the_United_States" TargetMode="External"/><Relationship Id="rId21" Type="http://schemas.openxmlformats.org/officeDocument/2006/relationships/hyperlink" Target="https://en.wikipedia.org/wiki/Pensacola,_Florida" TargetMode="External"/><Relationship Id="rId42" Type="http://schemas.openxmlformats.org/officeDocument/2006/relationships/hyperlink" Target="https://en.wikipedia.org/wiki/Virginia_Beach" TargetMode="External"/><Relationship Id="rId47" Type="http://schemas.openxmlformats.org/officeDocument/2006/relationships/hyperlink" Target="https://en.wikipedia.org/wiki/Aurora,_Illinois" TargetMode="External"/><Relationship Id="rId63" Type="http://schemas.openxmlformats.org/officeDocument/2006/relationships/hyperlink" Target="https://en.wikipedia.org/wiki/List_of_mass_shootings_in_the_United_States" TargetMode="External"/><Relationship Id="rId68" Type="http://schemas.openxmlformats.org/officeDocument/2006/relationships/hyperlink" Target="https://en.wikipedia.org/wiki/Annapolis,_Maryland" TargetMode="External"/><Relationship Id="rId84" Type="http://schemas.openxmlformats.org/officeDocument/2006/relationships/hyperlink" Target="https://en.wikipedia.org/wiki/Melcroft_shooting" TargetMode="External"/><Relationship Id="rId89" Type="http://schemas.openxmlformats.org/officeDocument/2006/relationships/hyperlink" Target="https://en.wikipedia.org/wiki/List_of_mass_shootings_in_the_United_States" TargetMode="External"/><Relationship Id="rId112" Type="http://schemas.openxmlformats.org/officeDocument/2006/relationships/hyperlink" Target="https://en.wikipedia.org/wiki/Orlando,_Florida" TargetMode="External"/><Relationship Id="rId133" Type="http://schemas.openxmlformats.org/officeDocument/2006/relationships/hyperlink" Target="https://en.wikipedia.org/wiki/Dallas" TargetMode="External"/><Relationship Id="rId138" Type="http://schemas.openxmlformats.org/officeDocument/2006/relationships/hyperlink" Target="https://en.wikipedia.org/wiki/Wilkinsburg,_Pennsylvania" TargetMode="External"/><Relationship Id="rId154" Type="http://schemas.openxmlformats.org/officeDocument/2006/relationships/hyperlink" Target="https://en.wikipedia.org/wiki/Lafayette,_Louisiana" TargetMode="External"/><Relationship Id="rId159" Type="http://schemas.openxmlformats.org/officeDocument/2006/relationships/hyperlink" Target="https://en.wikipedia.org/wiki/Waco,_Texas" TargetMode="External"/><Relationship Id="rId170" Type="http://schemas.openxmlformats.org/officeDocument/2006/relationships/hyperlink" Target="https://en.wikipedia.org/wiki/List_of_mass_shootings_in_the_United_States" TargetMode="External"/><Relationship Id="rId16" Type="http://schemas.openxmlformats.org/officeDocument/2006/relationships/hyperlink" Target="https://en.wikipedia.org/wiki/Grantsville,_Utah" TargetMode="External"/><Relationship Id="rId107" Type="http://schemas.openxmlformats.org/officeDocument/2006/relationships/hyperlink" Target="https://en.wikipedia.org/wiki/List_of_mass_shootings_in_the_United_States" TargetMode="External"/><Relationship Id="rId11" Type="http://schemas.openxmlformats.org/officeDocument/2006/relationships/hyperlink" Target="https://en.wikipedia.org/wiki/Rochester,_New_York" TargetMode="External"/><Relationship Id="rId32" Type="http://schemas.openxmlformats.org/officeDocument/2006/relationships/hyperlink" Target="https://en.wikipedia.org/wiki/2019_R%C3%ADo_Piedras_shooting" TargetMode="External"/><Relationship Id="rId37" Type="http://schemas.openxmlformats.org/officeDocument/2006/relationships/hyperlink" Target="https://en.wikipedia.org/wiki/2019_Dayton_shooting" TargetMode="External"/><Relationship Id="rId53" Type="http://schemas.openxmlformats.org/officeDocument/2006/relationships/hyperlink" Target="https://en.wikipedia.org/wiki/List_of_mass_shootings_in_the_United_States" TargetMode="External"/><Relationship Id="rId58" Type="http://schemas.openxmlformats.org/officeDocument/2006/relationships/hyperlink" Target="https://en.wikipedia.org/wiki/List_of_mass_shootings_in_the_United_States" TargetMode="External"/><Relationship Id="rId74" Type="http://schemas.openxmlformats.org/officeDocument/2006/relationships/hyperlink" Target="https://en.wikipedia.org/wiki/Santa_Fe,_Texas" TargetMode="External"/><Relationship Id="rId79" Type="http://schemas.openxmlformats.org/officeDocument/2006/relationships/hyperlink" Target="https://en.wikipedia.org/wiki/List_of_mass_shootings_in_the_United_States" TargetMode="External"/><Relationship Id="rId102" Type="http://schemas.openxmlformats.org/officeDocument/2006/relationships/hyperlink" Target="https://en.wikipedia.org/wiki/List_of_mass_shootings_in_the_United_States" TargetMode="External"/><Relationship Id="rId123" Type="http://schemas.openxmlformats.org/officeDocument/2006/relationships/hyperlink" Target="https://en.wikipedia.org/wiki/Broward_County,_Florida" TargetMode="External"/><Relationship Id="rId128" Type="http://schemas.openxmlformats.org/officeDocument/2006/relationships/hyperlink" Target="https://en.wikipedia.org/wiki/Mukilteo,_Washington" TargetMode="External"/><Relationship Id="rId144" Type="http://schemas.openxmlformats.org/officeDocument/2006/relationships/hyperlink" Target="https://en.wikipedia.org/wiki/List_of_mass_shootings_in_the_United_States" TargetMode="External"/><Relationship Id="rId149" Type="http://schemas.openxmlformats.org/officeDocument/2006/relationships/hyperlink" Target="https://en.wikipedia.org/wiki/Roseburg,_Oregon" TargetMode="External"/><Relationship Id="rId5" Type="http://schemas.openxmlformats.org/officeDocument/2006/relationships/hyperlink" Target="https://en.wikipedia.org/wiki/Sunrise,_Florida" TargetMode="External"/><Relationship Id="rId90" Type="http://schemas.openxmlformats.org/officeDocument/2006/relationships/hyperlink" Target="https://en.wikipedia.org/wiki/Tehama_County,_California" TargetMode="External"/><Relationship Id="rId95" Type="http://schemas.openxmlformats.org/officeDocument/2006/relationships/hyperlink" Target="https://en.wikipedia.org/wiki/Antioch,_Tennessee" TargetMode="External"/><Relationship Id="rId160" Type="http://schemas.openxmlformats.org/officeDocument/2006/relationships/hyperlink" Target="https://en.wikipedia.org/wiki/Menasha,_Wisconsin" TargetMode="External"/><Relationship Id="rId165" Type="http://schemas.openxmlformats.org/officeDocument/2006/relationships/hyperlink" Target="https://en.wikipedia.org/wiki/Portland,_Oregon" TargetMode="External"/><Relationship Id="rId22" Type="http://schemas.openxmlformats.org/officeDocument/2006/relationships/hyperlink" Target="https://en.wikipedia.org/wiki/List_of_mass_shootings_in_the_United_States" TargetMode="External"/><Relationship Id="rId27" Type="http://schemas.openxmlformats.org/officeDocument/2006/relationships/hyperlink" Target="https://en.wikipedia.org/wiki/Santa_Clarita,_California" TargetMode="External"/><Relationship Id="rId43" Type="http://schemas.openxmlformats.org/officeDocument/2006/relationships/hyperlink" Target="https://en.wikipedia.org/wiki/List_of_mass_shootings_in_the_United_States" TargetMode="External"/><Relationship Id="rId48" Type="http://schemas.openxmlformats.org/officeDocument/2006/relationships/hyperlink" Target="https://en.wikipedia.org/wiki/List_of_mass_shootings_in_the_United_States" TargetMode="External"/><Relationship Id="rId64" Type="http://schemas.openxmlformats.org/officeDocument/2006/relationships/hyperlink" Target="https://en.wikipedia.org/wiki/Cincinnati,_Ohio" TargetMode="External"/><Relationship Id="rId69" Type="http://schemas.openxmlformats.org/officeDocument/2006/relationships/hyperlink" Target="https://en.wikipedia.org/wiki/Trenton,_New_Jersey" TargetMode="External"/><Relationship Id="rId113" Type="http://schemas.openxmlformats.org/officeDocument/2006/relationships/hyperlink" Target="https://en.wikipedia.org/wiki/List_of_mass_shootings_in_the_United_States" TargetMode="External"/><Relationship Id="rId118" Type="http://schemas.openxmlformats.org/officeDocument/2006/relationships/hyperlink" Target="https://en.wikipedia.org/wiki/Kirkersville_shooting" TargetMode="External"/><Relationship Id="rId134" Type="http://schemas.openxmlformats.org/officeDocument/2006/relationships/hyperlink" Target="https://en.wikipedia.org/wiki/List_of_mass_shootings_in_the_United_States" TargetMode="External"/><Relationship Id="rId139" Type="http://schemas.openxmlformats.org/officeDocument/2006/relationships/hyperlink" Target="https://en.wikipedia.org/wiki/List_of_mass_shootings_in_the_United_States" TargetMode="External"/><Relationship Id="rId80" Type="http://schemas.openxmlformats.org/officeDocument/2006/relationships/hyperlink" Target="https://en.wikipedia.org/wiki/Yountville,_California" TargetMode="External"/><Relationship Id="rId85" Type="http://schemas.openxmlformats.org/officeDocument/2006/relationships/hyperlink" Target="https://en.wikipedia.org/wiki/Benton,_Kentucky" TargetMode="External"/><Relationship Id="rId150" Type="http://schemas.openxmlformats.org/officeDocument/2006/relationships/hyperlink" Target="https://en.wikipedia.org/wiki/List_of_mass_shootings_in_the_United_States" TargetMode="External"/><Relationship Id="rId155" Type="http://schemas.openxmlformats.org/officeDocument/2006/relationships/hyperlink" Target="https://en.wikipedia.org/wiki/List_of_mass_shootings_in_the_United_States" TargetMode="External"/><Relationship Id="rId171" Type="http://schemas.openxmlformats.org/officeDocument/2006/relationships/hyperlink" Target="https://en.wikipedia.org/wiki/Fort_Hood" TargetMode="External"/><Relationship Id="rId12" Type="http://schemas.openxmlformats.org/officeDocument/2006/relationships/hyperlink" Target="https://en.wikipedia.org/wiki/Rochester_shooting" TargetMode="External"/><Relationship Id="rId17" Type="http://schemas.openxmlformats.org/officeDocument/2006/relationships/hyperlink" Target="https://en.wikipedia.org/wiki/Haynie_family_shooting" TargetMode="External"/><Relationship Id="rId33" Type="http://schemas.openxmlformats.org/officeDocument/2006/relationships/hyperlink" Target="https://en.wikipedia.org/wiki/Midland%E2%80%93Odessa" TargetMode="External"/><Relationship Id="rId38" Type="http://schemas.openxmlformats.org/officeDocument/2006/relationships/hyperlink" Target="https://en.wikipedia.org/wiki/El_Paso,_Texas" TargetMode="External"/><Relationship Id="rId59" Type="http://schemas.openxmlformats.org/officeDocument/2006/relationships/hyperlink" Target="https://en.wikipedia.org/wiki/Pittsburgh" TargetMode="External"/><Relationship Id="rId103" Type="http://schemas.openxmlformats.org/officeDocument/2006/relationships/hyperlink" Target="https://en.wikipedia.org/wiki/Bronx-Lebanon_Hospital_attack" TargetMode="External"/><Relationship Id="rId108" Type="http://schemas.openxmlformats.org/officeDocument/2006/relationships/hyperlink" Target="https://en.wikipedia.org/wiki/Eaton_Township,_Wyoming_County,_Pennsylvania" TargetMode="External"/><Relationship Id="rId124" Type="http://schemas.openxmlformats.org/officeDocument/2006/relationships/hyperlink" Target="https://en.wikipedia.org/wiki/Townville,_South_Carolina" TargetMode="External"/><Relationship Id="rId129" Type="http://schemas.openxmlformats.org/officeDocument/2006/relationships/hyperlink" Target="https://en.wikipedia.org/wiki/Baton_Rouge,_Louisiana" TargetMode="External"/><Relationship Id="rId54" Type="http://schemas.openxmlformats.org/officeDocument/2006/relationships/hyperlink" Target="https://en.wikipedia.org/wiki/Thousand_Oaks,_California" TargetMode="External"/><Relationship Id="rId70" Type="http://schemas.openxmlformats.org/officeDocument/2006/relationships/hyperlink" Target="https://en.wikipedia.org/wiki/List_of_mass_shootings_in_the_United_States" TargetMode="External"/><Relationship Id="rId75" Type="http://schemas.openxmlformats.org/officeDocument/2006/relationships/hyperlink" Target="https://en.wikipedia.org/wiki/List_of_mass_shootings_in_the_United_States" TargetMode="External"/><Relationship Id="rId91" Type="http://schemas.openxmlformats.org/officeDocument/2006/relationships/hyperlink" Target="https://en.wikipedia.org/wiki/List_of_mass_shootings_in_the_United_States" TargetMode="External"/><Relationship Id="rId96" Type="http://schemas.openxmlformats.org/officeDocument/2006/relationships/hyperlink" Target="https://en.wikipedia.org/wiki/List_of_mass_shootings_in_the_United_States" TargetMode="External"/><Relationship Id="rId140" Type="http://schemas.openxmlformats.org/officeDocument/2006/relationships/hyperlink" Target="https://en.wikipedia.org/wiki/2016_Kansas%E2%80%93Missouri_murder_spree" TargetMode="External"/><Relationship Id="rId145" Type="http://schemas.openxmlformats.org/officeDocument/2006/relationships/hyperlink" Target="https://en.wikipedia.org/wiki/Colorado_Springs,_Colorado" TargetMode="External"/><Relationship Id="rId161" Type="http://schemas.openxmlformats.org/officeDocument/2006/relationships/hyperlink" Target="https://en.wikipedia.org/wiki/List_of_mass_shootings_in_the_United_States" TargetMode="External"/><Relationship Id="rId166" Type="http://schemas.openxmlformats.org/officeDocument/2006/relationships/hyperlink" Target="https://en.wikipedia.org/wiki/Marysville,_Washington" TargetMode="External"/><Relationship Id="rId1" Type="http://schemas.openxmlformats.org/officeDocument/2006/relationships/hyperlink" Target="https://en.wikipedia.org/wiki/Atlanta" TargetMode="External"/><Relationship Id="rId6" Type="http://schemas.openxmlformats.org/officeDocument/2006/relationships/hyperlink" Target="https://en.wikipedia.org/wiki/List_of_mass_shootings_in_the_United_States" TargetMode="External"/><Relationship Id="rId15" Type="http://schemas.openxmlformats.org/officeDocument/2006/relationships/hyperlink" Target="https://en.wikipedia.org/wiki/List_of_mass_shootings_in_the_United_States" TargetMode="External"/><Relationship Id="rId23" Type="http://schemas.openxmlformats.org/officeDocument/2006/relationships/hyperlink" Target="https://en.wikipedia.org/wiki/Miramar,_Florida" TargetMode="External"/><Relationship Id="rId28" Type="http://schemas.openxmlformats.org/officeDocument/2006/relationships/hyperlink" Target="https://en.wikipedia.org/wiki/List_of_mass_shootings_in_the_United_States" TargetMode="External"/><Relationship Id="rId36" Type="http://schemas.openxmlformats.org/officeDocument/2006/relationships/hyperlink" Target="https://en.wikipedia.org/wiki/List_of_mass_shootings_in_the_United_States" TargetMode="External"/><Relationship Id="rId49" Type="http://schemas.openxmlformats.org/officeDocument/2006/relationships/hyperlink" Target="https://en.wikipedia.org/wiki/Sebring,_Florida" TargetMode="External"/><Relationship Id="rId57" Type="http://schemas.openxmlformats.org/officeDocument/2006/relationships/hyperlink" Target="https://en.wikipedia.org/wiki/List_of_mass_shootings_in_the_United_States" TargetMode="External"/><Relationship Id="rId106" Type="http://schemas.openxmlformats.org/officeDocument/2006/relationships/hyperlink" Target="https://en.wikipedia.org/wiki/Alexandria,_Virginia" TargetMode="External"/><Relationship Id="rId114" Type="http://schemas.openxmlformats.org/officeDocument/2006/relationships/hyperlink" Target="https://en.wikipedia.org/wiki/Lincoln_County,_Mississippi" TargetMode="External"/><Relationship Id="rId119" Type="http://schemas.openxmlformats.org/officeDocument/2006/relationships/hyperlink" Target="https://en.wikipedia.org/wiki/Fresno,_California" TargetMode="External"/><Relationship Id="rId127" Type="http://schemas.openxmlformats.org/officeDocument/2006/relationships/hyperlink" Target="https://en.wikipedia.org/wiki/List_of_mass_shootings_in_the_United_States" TargetMode="External"/><Relationship Id="rId10" Type="http://schemas.openxmlformats.org/officeDocument/2006/relationships/hyperlink" Target="https://en.wikipedia.org/wiki/Wauwatosa,_Wisconsin" TargetMode="External"/><Relationship Id="rId31" Type="http://schemas.openxmlformats.org/officeDocument/2006/relationships/hyperlink" Target="https://en.wikipedia.org/wiki/San_Juan,_Puerto_Rico" TargetMode="External"/><Relationship Id="rId44" Type="http://schemas.openxmlformats.org/officeDocument/2006/relationships/hyperlink" Target="https://en.wikipedia.org/wiki/Highlands_Ranch,_Colorado" TargetMode="External"/><Relationship Id="rId52" Type="http://schemas.openxmlformats.org/officeDocument/2006/relationships/hyperlink" Target="https://en.wikipedia.org/wiki/Robbins,_Illinois" TargetMode="External"/><Relationship Id="rId60" Type="http://schemas.openxmlformats.org/officeDocument/2006/relationships/hyperlink" Target="https://en.wikipedia.org/wiki/List_of_mass_shootings_in_the_United_States" TargetMode="External"/><Relationship Id="rId65" Type="http://schemas.openxmlformats.org/officeDocument/2006/relationships/hyperlink" Target="https://en.wikipedia.org/wiki/List_of_mass_shootings_in_the_United_States" TargetMode="External"/><Relationship Id="rId73" Type="http://schemas.openxmlformats.org/officeDocument/2006/relationships/hyperlink" Target="https://en.wikipedia.org/wiki/List_of_mass_shootings_in_the_United_States" TargetMode="External"/><Relationship Id="rId78" Type="http://schemas.openxmlformats.org/officeDocument/2006/relationships/hyperlink" Target="https://en.wikipedia.org/wiki/List_of_mass_shootings_in_the_United_States" TargetMode="External"/><Relationship Id="rId81" Type="http://schemas.openxmlformats.org/officeDocument/2006/relationships/hyperlink" Target="https://en.wikipedia.org/wiki/Parkland,_Florida" TargetMode="External"/><Relationship Id="rId86" Type="http://schemas.openxmlformats.org/officeDocument/2006/relationships/hyperlink" Target="https://en.wikipedia.org/wiki/Highlands_Ranch,_Colorado" TargetMode="External"/><Relationship Id="rId94" Type="http://schemas.openxmlformats.org/officeDocument/2006/relationships/hyperlink" Target="https://en.wikipedia.org/wiki/List_of_mass_shootings_in_the_United_States" TargetMode="External"/><Relationship Id="rId99" Type="http://schemas.openxmlformats.org/officeDocument/2006/relationships/hyperlink" Target="https://en.wikipedia.org/wiki/Clovis,_New_Mexico" TargetMode="External"/><Relationship Id="rId101" Type="http://schemas.openxmlformats.org/officeDocument/2006/relationships/hyperlink" Target="https://en.wikipedia.org/wiki/New_York_City" TargetMode="External"/><Relationship Id="rId122" Type="http://schemas.openxmlformats.org/officeDocument/2006/relationships/hyperlink" Target="https://en.wikipedia.org/wiki/List_of_mass_shootings_in_the_United_States" TargetMode="External"/><Relationship Id="rId130" Type="http://schemas.openxmlformats.org/officeDocument/2006/relationships/hyperlink" Target="https://en.wikipedia.org/wiki/List_of_mass_shootings_in_the_United_States" TargetMode="External"/><Relationship Id="rId135" Type="http://schemas.openxmlformats.org/officeDocument/2006/relationships/hyperlink" Target="https://en.wikipedia.org/wiki/Orlando,_Florida" TargetMode="External"/><Relationship Id="rId143" Type="http://schemas.openxmlformats.org/officeDocument/2006/relationships/hyperlink" Target="https://en.wikipedia.org/wiki/San_Bernardino,_California" TargetMode="External"/><Relationship Id="rId148" Type="http://schemas.openxmlformats.org/officeDocument/2006/relationships/hyperlink" Target="https://en.wikipedia.org/wiki/List_of_mass_shootings_in_the_United_States" TargetMode="External"/><Relationship Id="rId151" Type="http://schemas.openxmlformats.org/officeDocument/2006/relationships/hyperlink" Target="https://en.wikipedia.org/wiki/Moneta,_Virginia" TargetMode="External"/><Relationship Id="rId156" Type="http://schemas.openxmlformats.org/officeDocument/2006/relationships/hyperlink" Target="https://en.wikipedia.org/wiki/Chattanooga,_Tennessee" TargetMode="External"/><Relationship Id="rId164" Type="http://schemas.openxmlformats.org/officeDocument/2006/relationships/hyperlink" Target="https://en.wikipedia.org/wiki/Montgomery_County,_Pennsylvania" TargetMode="External"/><Relationship Id="rId169" Type="http://schemas.openxmlformats.org/officeDocument/2006/relationships/hyperlink" Target="https://en.wikipedia.org/wiki/Isla_Vista,_California" TargetMode="External"/><Relationship Id="rId4" Type="http://schemas.openxmlformats.org/officeDocument/2006/relationships/hyperlink" Target="https://en.wikipedia.org/wiki/Muskogee,_Oklahoma" TargetMode="External"/><Relationship Id="rId9" Type="http://schemas.openxmlformats.org/officeDocument/2006/relationships/hyperlink" Target="https://en.wikipedia.org/wiki/Don_Carter_Lanes_shooting" TargetMode="External"/><Relationship Id="rId172" Type="http://schemas.openxmlformats.org/officeDocument/2006/relationships/hyperlink" Target="https://en.wikipedia.org/wiki/List_of_mass_shootings_in_the_United_States" TargetMode="External"/><Relationship Id="rId13" Type="http://schemas.openxmlformats.org/officeDocument/2006/relationships/hyperlink" Target="https://en.wikipedia.org/wiki/Washington,_D.C." TargetMode="External"/><Relationship Id="rId18" Type="http://schemas.openxmlformats.org/officeDocument/2006/relationships/hyperlink" Target="https://en.wikipedia.org/wiki/Jersey_City,_New_Jersey" TargetMode="External"/><Relationship Id="rId39" Type="http://schemas.openxmlformats.org/officeDocument/2006/relationships/hyperlink" Target="https://en.wikipedia.org/wiki/Gilroy,_California" TargetMode="External"/><Relationship Id="rId109" Type="http://schemas.openxmlformats.org/officeDocument/2006/relationships/hyperlink" Target="https://en.wikipedia.org/wiki/List_of_mass_shootings_in_the_United_States" TargetMode="External"/><Relationship Id="rId34" Type="http://schemas.openxmlformats.org/officeDocument/2006/relationships/hyperlink" Target="https://en.wikipedia.org/wiki/List_of_mass_shootings_in_the_United_States" TargetMode="External"/><Relationship Id="rId50" Type="http://schemas.openxmlformats.org/officeDocument/2006/relationships/hyperlink" Target="https://en.wikipedia.org/wiki/Chicago" TargetMode="External"/><Relationship Id="rId55" Type="http://schemas.openxmlformats.org/officeDocument/2006/relationships/hyperlink" Target="https://en.wikipedia.org/wiki/List_of_mass_shootings_in_the_United_States" TargetMode="External"/><Relationship Id="rId76" Type="http://schemas.openxmlformats.org/officeDocument/2006/relationships/hyperlink" Target="https://en.wikipedia.org/wiki/Nashville,_Tennessee" TargetMode="External"/><Relationship Id="rId97" Type="http://schemas.openxmlformats.org/officeDocument/2006/relationships/hyperlink" Target="https://en.wikipedia.org/wiki/Plano,_Texas" TargetMode="External"/><Relationship Id="rId104" Type="http://schemas.openxmlformats.org/officeDocument/2006/relationships/hyperlink" Target="https://en.wikipedia.org/wiki/San_Francisco" TargetMode="External"/><Relationship Id="rId120" Type="http://schemas.openxmlformats.org/officeDocument/2006/relationships/hyperlink" Target="https://en.wikipedia.org/wiki/San_Bernardino,_California" TargetMode="External"/><Relationship Id="rId125" Type="http://schemas.openxmlformats.org/officeDocument/2006/relationships/hyperlink" Target="https://en.wikipedia.org/wiki/Burlington,_Washington" TargetMode="External"/><Relationship Id="rId141" Type="http://schemas.openxmlformats.org/officeDocument/2006/relationships/hyperlink" Target="https://en.wikipedia.org/wiki/List_of_mass_shootings_in_the_United_States" TargetMode="External"/><Relationship Id="rId146" Type="http://schemas.openxmlformats.org/officeDocument/2006/relationships/hyperlink" Target="https://en.wikipedia.org/wiki/Minneapolis" TargetMode="External"/><Relationship Id="rId167" Type="http://schemas.openxmlformats.org/officeDocument/2006/relationships/hyperlink" Target="https://en.wikipedia.org/wiki/List_of_mass_shootings_in_the_United_States" TargetMode="External"/><Relationship Id="rId7" Type="http://schemas.openxmlformats.org/officeDocument/2006/relationships/hyperlink" Target="https://en.wikipedia.org/wiki/2021_Sunrise,_Florida_shootout" TargetMode="External"/><Relationship Id="rId71" Type="http://schemas.openxmlformats.org/officeDocument/2006/relationships/hyperlink" Target="https://en.wikipedia.org/wiki/List_of_mass_shootings_in_the_United_States" TargetMode="External"/><Relationship Id="rId92" Type="http://schemas.openxmlformats.org/officeDocument/2006/relationships/hyperlink" Target="https://en.wikipedia.org/wiki/Sutherland_Springs,_Texas" TargetMode="External"/><Relationship Id="rId162" Type="http://schemas.openxmlformats.org/officeDocument/2006/relationships/hyperlink" Target="https://en.wikipedia.org/wiki/Tyrone,_Missouri" TargetMode="External"/><Relationship Id="rId2" Type="http://schemas.openxmlformats.org/officeDocument/2006/relationships/hyperlink" Target="https://en.wikipedia.org/wiki/2021_Atlanta_spa_shootings" TargetMode="External"/><Relationship Id="rId29" Type="http://schemas.openxmlformats.org/officeDocument/2006/relationships/hyperlink" Target="https://en.wikipedia.org/wiki/Orinda,_California" TargetMode="External"/><Relationship Id="rId24" Type="http://schemas.openxmlformats.org/officeDocument/2006/relationships/hyperlink" Target="https://en.wikipedia.org/wiki/List_of_mass_shootings_in_the_United_States" TargetMode="External"/><Relationship Id="rId40" Type="http://schemas.openxmlformats.org/officeDocument/2006/relationships/hyperlink" Target="https://en.wikipedia.org/wiki/List_of_mass_shootings_in_the_United_States" TargetMode="External"/><Relationship Id="rId45" Type="http://schemas.openxmlformats.org/officeDocument/2006/relationships/hyperlink" Target="https://en.wikipedia.org/wiki/Charlotte,_North_Carolina" TargetMode="External"/><Relationship Id="rId66" Type="http://schemas.openxmlformats.org/officeDocument/2006/relationships/hyperlink" Target="https://en.wikipedia.org/wiki/Jacksonville,_Florida" TargetMode="External"/><Relationship Id="rId87" Type="http://schemas.openxmlformats.org/officeDocument/2006/relationships/hyperlink" Target="https://en.wikipedia.org/wiki/List_of_mass_shootings_in_the_United_States" TargetMode="External"/><Relationship Id="rId110" Type="http://schemas.openxmlformats.org/officeDocument/2006/relationships/hyperlink" Target="https://en.wikipedia.org/wiki/Sandy,_Utah" TargetMode="External"/><Relationship Id="rId115" Type="http://schemas.openxmlformats.org/officeDocument/2006/relationships/hyperlink" Target="https://en.wikipedia.org/wiki/List_of_mass_shootings_in_the_United_States" TargetMode="External"/><Relationship Id="rId131" Type="http://schemas.openxmlformats.org/officeDocument/2006/relationships/hyperlink" Target="https://en.wikipedia.org/wiki/St._Joseph,_Michigan" TargetMode="External"/><Relationship Id="rId136" Type="http://schemas.openxmlformats.org/officeDocument/2006/relationships/hyperlink" Target="https://en.wikipedia.org/wiki/List_of_mass_shootings_in_the_United_States" TargetMode="External"/><Relationship Id="rId157" Type="http://schemas.openxmlformats.org/officeDocument/2006/relationships/hyperlink" Target="https://en.wikipedia.org/wiki/List_of_mass_shootings_in_the_United_States" TargetMode="External"/><Relationship Id="rId61" Type="http://schemas.openxmlformats.org/officeDocument/2006/relationships/hyperlink" Target="https://en.wikipedia.org/wiki/Florence,_South_Carolina" TargetMode="External"/><Relationship Id="rId82" Type="http://schemas.openxmlformats.org/officeDocument/2006/relationships/hyperlink" Target="https://en.wikipedia.org/wiki/Melcroft,_Pennsylvania" TargetMode="External"/><Relationship Id="rId152" Type="http://schemas.openxmlformats.org/officeDocument/2006/relationships/hyperlink" Target="https://en.wikipedia.org/wiki/List_of_mass_shootings_in_the_United_States" TargetMode="External"/><Relationship Id="rId19" Type="http://schemas.openxmlformats.org/officeDocument/2006/relationships/hyperlink" Target="https://en.wikipedia.org/wiki/List_of_mass_shootings_in_the_United_States" TargetMode="External"/><Relationship Id="rId14" Type="http://schemas.openxmlformats.org/officeDocument/2006/relationships/hyperlink" Target="https://en.wikipedia.org/wiki/2020_Washington,_D.C._block_party_shooting" TargetMode="External"/><Relationship Id="rId30" Type="http://schemas.openxmlformats.org/officeDocument/2006/relationships/hyperlink" Target="https://en.wikipedia.org/wiki/Orinda_Halloween_Shooting" TargetMode="External"/><Relationship Id="rId35" Type="http://schemas.openxmlformats.org/officeDocument/2006/relationships/hyperlink" Target="https://en.wikipedia.org/wiki/Dayton,_Ohio" TargetMode="External"/><Relationship Id="rId56" Type="http://schemas.openxmlformats.org/officeDocument/2006/relationships/hyperlink" Target="https://en.wikipedia.org/wiki/Tallahassee,_Florida" TargetMode="External"/><Relationship Id="rId77" Type="http://schemas.openxmlformats.org/officeDocument/2006/relationships/hyperlink" Target="https://en.wikipedia.org/wiki/San_Bruno,_California" TargetMode="External"/><Relationship Id="rId100" Type="http://schemas.openxmlformats.org/officeDocument/2006/relationships/hyperlink" Target="https://en.wikipedia.org/wiki/Little_Rock,_Arkansas" TargetMode="External"/><Relationship Id="rId105" Type="http://schemas.openxmlformats.org/officeDocument/2006/relationships/hyperlink" Target="https://en.wikipedia.org/wiki/List_of_mass_shootings_in_the_United_States" TargetMode="External"/><Relationship Id="rId126" Type="http://schemas.openxmlformats.org/officeDocument/2006/relationships/hyperlink" Target="https://en.wikipedia.org/wiki/Citronelle,_Alabama" TargetMode="External"/><Relationship Id="rId147" Type="http://schemas.openxmlformats.org/officeDocument/2006/relationships/hyperlink" Target="https://en.wikipedia.org/wiki/Colorado_Springs,_Colorado" TargetMode="External"/><Relationship Id="rId168" Type="http://schemas.openxmlformats.org/officeDocument/2006/relationships/hyperlink" Target="https://en.wikipedia.org/wiki/Spring,_Texas" TargetMode="External"/><Relationship Id="rId8" Type="http://schemas.openxmlformats.org/officeDocument/2006/relationships/hyperlink" Target="https://en.wikipedia.org/wiki/Rockford,_Illinois" TargetMode="External"/><Relationship Id="rId51" Type="http://schemas.openxmlformats.org/officeDocument/2006/relationships/hyperlink" Target="https://en.wikipedia.org/wiki/List_of_mass_shootings_in_the_United_States" TargetMode="External"/><Relationship Id="rId72" Type="http://schemas.openxmlformats.org/officeDocument/2006/relationships/hyperlink" Target="https://en.wikipedia.org/wiki/Scottsdale,_Arizona" TargetMode="External"/><Relationship Id="rId93" Type="http://schemas.openxmlformats.org/officeDocument/2006/relationships/hyperlink" Target="https://en.wikipedia.org/wiki/Las_Vegas" TargetMode="External"/><Relationship Id="rId98" Type="http://schemas.openxmlformats.org/officeDocument/2006/relationships/hyperlink" Target="https://en.wikipedia.org/wiki/List_of_mass_shootings_in_the_United_States" TargetMode="External"/><Relationship Id="rId121" Type="http://schemas.openxmlformats.org/officeDocument/2006/relationships/hyperlink" Target="https://en.wikipedia.org/wiki/List_of_mass_shootings_in_the_United_States" TargetMode="External"/><Relationship Id="rId142" Type="http://schemas.openxmlformats.org/officeDocument/2006/relationships/hyperlink" Target="https://en.wikipedia.org/wiki/Kalamazoo,_Michigan" TargetMode="External"/><Relationship Id="rId163" Type="http://schemas.openxmlformats.org/officeDocument/2006/relationships/hyperlink" Target="https://en.wikipedia.org/wiki/List_of_mass_shootings_in_the_United_States" TargetMode="External"/><Relationship Id="rId3" Type="http://schemas.openxmlformats.org/officeDocument/2006/relationships/hyperlink" Target="https://en.wikipedia.org/wiki/Buffalo,_Minnesota" TargetMode="External"/><Relationship Id="rId25" Type="http://schemas.openxmlformats.org/officeDocument/2006/relationships/hyperlink" Target="https://en.wikipedia.org/wiki/Fresno,_California" TargetMode="External"/><Relationship Id="rId46" Type="http://schemas.openxmlformats.org/officeDocument/2006/relationships/hyperlink" Target="https://en.wikipedia.org/wiki/Poway" TargetMode="External"/><Relationship Id="rId67" Type="http://schemas.openxmlformats.org/officeDocument/2006/relationships/hyperlink" Target="https://en.wikipedia.org/wiki/List_of_mass_shootings_in_the_United_States" TargetMode="External"/><Relationship Id="rId116" Type="http://schemas.openxmlformats.org/officeDocument/2006/relationships/hyperlink" Target="https://en.wikipedia.org/wiki/Kirkersville,_Ohio" TargetMode="External"/><Relationship Id="rId137" Type="http://schemas.openxmlformats.org/officeDocument/2006/relationships/hyperlink" Target="https://en.wikipedia.org/wiki/Pike_County,_Ohio" TargetMode="External"/><Relationship Id="rId158" Type="http://schemas.openxmlformats.org/officeDocument/2006/relationships/hyperlink" Target="https://en.wikipedia.org/wiki/Charleston,_South_Carolina" TargetMode="External"/><Relationship Id="rId20" Type="http://schemas.openxmlformats.org/officeDocument/2006/relationships/hyperlink" Target="https://en.wikipedia.org/wiki/2019_Jersey_City_shooting" TargetMode="External"/><Relationship Id="rId41" Type="http://schemas.openxmlformats.org/officeDocument/2006/relationships/hyperlink" Target="https://en.wikipedia.org/wiki/Gilroy_Garlic_Festival_shooting" TargetMode="External"/><Relationship Id="rId62" Type="http://schemas.openxmlformats.org/officeDocument/2006/relationships/hyperlink" Target="https://en.wikipedia.org/wiki/Aberdeen,_Maryland" TargetMode="External"/><Relationship Id="rId83" Type="http://schemas.openxmlformats.org/officeDocument/2006/relationships/hyperlink" Target="https://en.wikipedia.org/wiki/List_of_mass_shootings_in_the_United_States" TargetMode="External"/><Relationship Id="rId88" Type="http://schemas.openxmlformats.org/officeDocument/2006/relationships/hyperlink" Target="https://en.wikipedia.org/wiki/Aztec,_New_Mexico" TargetMode="External"/><Relationship Id="rId111" Type="http://schemas.openxmlformats.org/officeDocument/2006/relationships/hyperlink" Target="https://en.wikipedia.org/wiki/List_of_mass_shootings_in_the_United_States" TargetMode="External"/><Relationship Id="rId132" Type="http://schemas.openxmlformats.org/officeDocument/2006/relationships/hyperlink" Target="https://en.wikipedia.org/wiki/List_of_mass_shootings_in_the_United_States" TargetMode="External"/><Relationship Id="rId153" Type="http://schemas.openxmlformats.org/officeDocument/2006/relationships/hyperlink" Target="https://en.wikipedia.org/wiki/Harris_County,_Texa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F2C7F-FC33-42B0-8659-BD2A7C9F6096}">
  <dimension ref="A1:C16"/>
  <sheetViews>
    <sheetView showGridLines="0" workbookViewId="0">
      <selection activeCell="B19" sqref="B19"/>
    </sheetView>
  </sheetViews>
  <sheetFormatPr defaultColWidth="9.21875" defaultRowHeight="13.8" x14ac:dyDescent="0.3"/>
  <cols>
    <col min="1" max="1" width="21.88671875" style="52" bestFit="1" customWidth="1"/>
    <col min="2" max="2" width="37.109375" style="52" customWidth="1"/>
    <col min="3" max="3" width="101.5546875" style="52" bestFit="1" customWidth="1"/>
    <col min="4" max="4" width="21.77734375" style="52" customWidth="1"/>
    <col min="5" max="5" width="22.21875" style="52" bestFit="1" customWidth="1"/>
    <col min="6" max="16384" width="9.21875" style="52"/>
  </cols>
  <sheetData>
    <row r="1" spans="1:3" ht="14.4" thickBot="1" x14ac:dyDescent="0.35">
      <c r="A1" s="59" t="s">
        <v>237</v>
      </c>
      <c r="B1" s="64" t="s">
        <v>248</v>
      </c>
      <c r="C1" s="51"/>
    </row>
    <row r="2" spans="1:3" ht="14.4" thickBot="1" x14ac:dyDescent="0.35">
      <c r="A2" s="59" t="s">
        <v>246</v>
      </c>
      <c r="B2" s="64" t="s">
        <v>247</v>
      </c>
      <c r="C2" s="51"/>
    </row>
    <row r="3" spans="1:3" ht="14.4" thickBot="1" x14ac:dyDescent="0.35">
      <c r="A3" s="59" t="s">
        <v>282</v>
      </c>
      <c r="B3" s="64" t="s">
        <v>283</v>
      </c>
      <c r="C3" s="51"/>
    </row>
    <row r="4" spans="1:3" ht="14.4" thickBot="1" x14ac:dyDescent="0.35">
      <c r="A4" s="59" t="s">
        <v>238</v>
      </c>
      <c r="B4" s="65">
        <v>44297</v>
      </c>
      <c r="C4" s="51"/>
    </row>
    <row r="5" spans="1:3" ht="14.4" thickBot="1" x14ac:dyDescent="0.35">
      <c r="A5" s="60" t="s">
        <v>239</v>
      </c>
      <c r="B5" s="64" t="s">
        <v>249</v>
      </c>
      <c r="C5" s="51"/>
    </row>
    <row r="6" spans="1:3" x14ac:dyDescent="0.3">
      <c r="A6" s="61"/>
      <c r="B6" s="63" t="s">
        <v>240</v>
      </c>
      <c r="C6" s="55"/>
    </row>
    <row r="7" spans="1:3" x14ac:dyDescent="0.3">
      <c r="A7" s="85" t="s">
        <v>241</v>
      </c>
      <c r="B7" s="53" t="s">
        <v>252</v>
      </c>
      <c r="C7" s="54" t="s">
        <v>251</v>
      </c>
    </row>
    <row r="8" spans="1:3" x14ac:dyDescent="0.3">
      <c r="A8" s="85"/>
      <c r="B8" s="66" t="s">
        <v>264</v>
      </c>
      <c r="C8" s="54" t="s">
        <v>265</v>
      </c>
    </row>
    <row r="9" spans="1:3" x14ac:dyDescent="0.3">
      <c r="A9" s="85"/>
      <c r="B9" s="66" t="s">
        <v>266</v>
      </c>
      <c r="C9" s="54" t="s">
        <v>281</v>
      </c>
    </row>
    <row r="10" spans="1:3" x14ac:dyDescent="0.3">
      <c r="A10" s="85"/>
      <c r="B10" s="66" t="s">
        <v>279</v>
      </c>
      <c r="C10" s="54" t="s">
        <v>280</v>
      </c>
    </row>
    <row r="11" spans="1:3" x14ac:dyDescent="0.3">
      <c r="A11" s="85"/>
      <c r="B11" s="66"/>
      <c r="C11" s="54"/>
    </row>
    <row r="12" spans="1:3" ht="14.4" thickBot="1" x14ac:dyDescent="0.35">
      <c r="A12" s="62"/>
    </row>
    <row r="13" spans="1:3" ht="14.4" thickBot="1" x14ac:dyDescent="0.35">
      <c r="A13" s="59" t="s">
        <v>242</v>
      </c>
    </row>
    <row r="14" spans="1:3" x14ac:dyDescent="0.3">
      <c r="A14" s="56" t="s">
        <v>243</v>
      </c>
    </row>
    <row r="15" spans="1:3" x14ac:dyDescent="0.3">
      <c r="A15" s="57" t="s">
        <v>244</v>
      </c>
    </row>
    <row r="16" spans="1:3" ht="14.4" thickBot="1" x14ac:dyDescent="0.35">
      <c r="A16" s="58" t="s">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6943-DF0C-4E72-8E8E-367629D47408}">
  <dimension ref="A1:F103"/>
  <sheetViews>
    <sheetView zoomScale="85" zoomScaleNormal="85" workbookViewId="0">
      <selection activeCell="A2" sqref="A2"/>
    </sheetView>
  </sheetViews>
  <sheetFormatPr defaultRowHeight="14.4" x14ac:dyDescent="0.3"/>
  <cols>
    <col min="1" max="1" width="8.21875" style="44" bestFit="1" customWidth="1"/>
    <col min="2" max="2" width="39" style="45" bestFit="1" customWidth="1"/>
    <col min="3" max="3" width="4.6640625" style="44" bestFit="1" customWidth="1"/>
    <col min="4" max="4" width="6.33203125" style="44" bestFit="1" customWidth="1"/>
    <col min="5" max="5" width="4.6640625" style="44" customWidth="1"/>
    <col min="6" max="6" width="255.77734375" style="45" bestFit="1" customWidth="1"/>
    <col min="7" max="16384" width="8.88671875" style="44"/>
  </cols>
  <sheetData>
    <row r="1" spans="1:6" customFormat="1" ht="15" thickBot="1" x14ac:dyDescent="0.35">
      <c r="A1" s="1" t="s">
        <v>0</v>
      </c>
      <c r="B1" s="6" t="s">
        <v>1</v>
      </c>
      <c r="C1" s="1" t="s">
        <v>2</v>
      </c>
      <c r="D1" s="1" t="s">
        <v>3</v>
      </c>
      <c r="E1" s="1" t="s">
        <v>4</v>
      </c>
      <c r="F1" s="6" t="s">
        <v>250</v>
      </c>
    </row>
    <row r="2" spans="1:6" customFormat="1" ht="15" thickBot="1" x14ac:dyDescent="0.35">
      <c r="A2" s="2">
        <v>41731</v>
      </c>
      <c r="B2" s="6" t="s">
        <v>204</v>
      </c>
      <c r="C2" s="3">
        <v>4</v>
      </c>
      <c r="D2" s="4">
        <v>14</v>
      </c>
      <c r="E2" s="5">
        <v>18</v>
      </c>
      <c r="F2" s="6" t="s">
        <v>205</v>
      </c>
    </row>
    <row r="3" spans="1:6" customFormat="1" ht="15" thickBot="1" x14ac:dyDescent="0.35">
      <c r="A3" s="2">
        <v>41782</v>
      </c>
      <c r="B3" s="6" t="s">
        <v>202</v>
      </c>
      <c r="C3" s="4">
        <v>7</v>
      </c>
      <c r="D3" s="3">
        <v>13</v>
      </c>
      <c r="E3" s="5">
        <v>20</v>
      </c>
      <c r="F3" s="6" t="s">
        <v>203</v>
      </c>
    </row>
    <row r="4" spans="1:6" customFormat="1" ht="15" thickBot="1" x14ac:dyDescent="0.35">
      <c r="A4" s="2">
        <v>41829</v>
      </c>
      <c r="B4" s="6" t="s">
        <v>200</v>
      </c>
      <c r="C4" s="4">
        <v>6</v>
      </c>
      <c r="D4" s="4">
        <v>1</v>
      </c>
      <c r="E4" s="5">
        <v>7</v>
      </c>
      <c r="F4" s="6" t="s">
        <v>201</v>
      </c>
    </row>
    <row r="5" spans="1:6" customFormat="1" ht="15" thickBot="1" x14ac:dyDescent="0.35">
      <c r="A5" s="2">
        <v>41936</v>
      </c>
      <c r="B5" s="6" t="s">
        <v>198</v>
      </c>
      <c r="C5" s="3">
        <v>5</v>
      </c>
      <c r="D5" s="4">
        <v>1</v>
      </c>
      <c r="E5" s="5">
        <v>6</v>
      </c>
      <c r="F5" s="6" t="s">
        <v>199</v>
      </c>
    </row>
    <row r="6" spans="1:6" customFormat="1" ht="15" thickBot="1" x14ac:dyDescent="0.35">
      <c r="A6" s="2">
        <v>41985</v>
      </c>
      <c r="B6" s="6" t="s">
        <v>196</v>
      </c>
      <c r="C6" s="4">
        <v>0</v>
      </c>
      <c r="D6" s="4">
        <v>4</v>
      </c>
      <c r="E6" s="5">
        <v>4</v>
      </c>
      <c r="F6" s="6" t="s">
        <v>197</v>
      </c>
    </row>
    <row r="7" spans="1:6" customFormat="1" ht="15" thickBot="1" x14ac:dyDescent="0.35">
      <c r="A7" s="2">
        <v>41988</v>
      </c>
      <c r="B7" s="6" t="s">
        <v>194</v>
      </c>
      <c r="C7" s="4">
        <v>6</v>
      </c>
      <c r="D7" s="4">
        <v>1</v>
      </c>
      <c r="E7" s="5">
        <v>7</v>
      </c>
      <c r="F7" s="6" t="s">
        <v>195</v>
      </c>
    </row>
    <row r="8" spans="1:6" customFormat="1" ht="15" thickBot="1" x14ac:dyDescent="0.35">
      <c r="A8" s="2">
        <v>42061</v>
      </c>
      <c r="B8" s="6" t="s">
        <v>192</v>
      </c>
      <c r="C8" s="3">
        <v>8</v>
      </c>
      <c r="D8" s="4">
        <v>1</v>
      </c>
      <c r="E8" s="5">
        <v>9</v>
      </c>
      <c r="F8" s="6" t="s">
        <v>193</v>
      </c>
    </row>
    <row r="9" spans="1:6" customFormat="1" ht="15" thickBot="1" x14ac:dyDescent="0.35">
      <c r="A9" s="2">
        <v>42127</v>
      </c>
      <c r="B9" s="6" t="s">
        <v>190</v>
      </c>
      <c r="C9" s="4">
        <v>4</v>
      </c>
      <c r="D9" s="4">
        <v>0</v>
      </c>
      <c r="E9" s="5">
        <v>4</v>
      </c>
      <c r="F9" s="6" t="s">
        <v>191</v>
      </c>
    </row>
    <row r="10" spans="1:6" customFormat="1" ht="15" thickBot="1" x14ac:dyDescent="0.35">
      <c r="A10" s="2">
        <v>42141</v>
      </c>
      <c r="B10" s="6" t="s">
        <v>188</v>
      </c>
      <c r="C10" s="4">
        <v>9</v>
      </c>
      <c r="D10" s="4">
        <v>18</v>
      </c>
      <c r="E10" s="5">
        <v>27</v>
      </c>
      <c r="F10" s="6" t="s">
        <v>189</v>
      </c>
    </row>
    <row r="11" spans="1:6" customFormat="1" ht="15" thickBot="1" x14ac:dyDescent="0.35">
      <c r="A11" s="2">
        <v>42172</v>
      </c>
      <c r="B11" s="6" t="s">
        <v>186</v>
      </c>
      <c r="C11" s="4">
        <v>9</v>
      </c>
      <c r="D11" s="4">
        <v>1</v>
      </c>
      <c r="E11" s="5">
        <v>10</v>
      </c>
      <c r="F11" s="6" t="s">
        <v>187</v>
      </c>
    </row>
    <row r="12" spans="1:6" customFormat="1" ht="15" thickBot="1" x14ac:dyDescent="0.35">
      <c r="A12" s="2">
        <v>42201</v>
      </c>
      <c r="B12" s="6" t="s">
        <v>184</v>
      </c>
      <c r="C12" s="3">
        <v>6</v>
      </c>
      <c r="D12" s="4">
        <v>2</v>
      </c>
      <c r="E12" s="5">
        <v>8</v>
      </c>
      <c r="F12" s="6" t="s">
        <v>185</v>
      </c>
    </row>
    <row r="13" spans="1:6" customFormat="1" ht="15" thickBot="1" x14ac:dyDescent="0.35">
      <c r="A13" s="2">
        <v>42208</v>
      </c>
      <c r="B13" s="6" t="s">
        <v>182</v>
      </c>
      <c r="C13" s="3">
        <v>3</v>
      </c>
      <c r="D13" s="4">
        <v>9</v>
      </c>
      <c r="E13" s="5">
        <v>12</v>
      </c>
      <c r="F13" s="6" t="s">
        <v>183</v>
      </c>
    </row>
    <row r="14" spans="1:6" customFormat="1" ht="15" thickBot="1" x14ac:dyDescent="0.35">
      <c r="A14" s="2">
        <v>42224</v>
      </c>
      <c r="B14" s="6" t="s">
        <v>180</v>
      </c>
      <c r="C14" s="4">
        <v>8</v>
      </c>
      <c r="D14" s="4">
        <v>0</v>
      </c>
      <c r="E14" s="5">
        <v>8</v>
      </c>
      <c r="F14" s="6" t="s">
        <v>181</v>
      </c>
    </row>
    <row r="15" spans="1:6" customFormat="1" ht="15" thickBot="1" x14ac:dyDescent="0.35">
      <c r="A15" s="2">
        <v>42242</v>
      </c>
      <c r="B15" s="6" t="s">
        <v>178</v>
      </c>
      <c r="C15" s="3">
        <v>3</v>
      </c>
      <c r="D15" s="4">
        <v>1</v>
      </c>
      <c r="E15" s="5">
        <v>4</v>
      </c>
      <c r="F15" s="6" t="s">
        <v>179</v>
      </c>
    </row>
    <row r="16" spans="1:6" customFormat="1" ht="15" thickBot="1" x14ac:dyDescent="0.35">
      <c r="A16" s="2">
        <v>42278</v>
      </c>
      <c r="B16" s="6" t="s">
        <v>176</v>
      </c>
      <c r="C16" s="3">
        <v>10</v>
      </c>
      <c r="D16" s="4">
        <v>8</v>
      </c>
      <c r="E16" s="5">
        <v>18</v>
      </c>
      <c r="F16" s="6" t="s">
        <v>177</v>
      </c>
    </row>
    <row r="17" spans="1:6" customFormat="1" ht="15" thickBot="1" x14ac:dyDescent="0.35">
      <c r="A17" s="2">
        <v>42308</v>
      </c>
      <c r="B17" s="6" t="s">
        <v>171</v>
      </c>
      <c r="C17" s="3">
        <v>4</v>
      </c>
      <c r="D17" s="4">
        <v>0</v>
      </c>
      <c r="E17" s="5">
        <v>4</v>
      </c>
      <c r="F17" s="6" t="s">
        <v>175</v>
      </c>
    </row>
    <row r="18" spans="1:6" customFormat="1" ht="15" thickBot="1" x14ac:dyDescent="0.35">
      <c r="A18" s="2">
        <v>42331</v>
      </c>
      <c r="B18" s="6" t="s">
        <v>173</v>
      </c>
      <c r="C18" s="4">
        <v>0</v>
      </c>
      <c r="D18" s="4">
        <v>5</v>
      </c>
      <c r="E18" s="5">
        <v>5</v>
      </c>
      <c r="F18" s="6" t="s">
        <v>174</v>
      </c>
    </row>
    <row r="19" spans="1:6" customFormat="1" ht="15" thickBot="1" x14ac:dyDescent="0.35">
      <c r="A19" s="2">
        <v>42335</v>
      </c>
      <c r="B19" s="6" t="s">
        <v>171</v>
      </c>
      <c r="C19" s="4">
        <v>3</v>
      </c>
      <c r="D19" s="4">
        <v>9</v>
      </c>
      <c r="E19" s="5">
        <v>12</v>
      </c>
      <c r="F19" s="6" t="s">
        <v>172</v>
      </c>
    </row>
    <row r="20" spans="1:6" customFormat="1" ht="15" thickBot="1" x14ac:dyDescent="0.35">
      <c r="A20" s="2">
        <v>42340</v>
      </c>
      <c r="B20" s="6" t="s">
        <v>135</v>
      </c>
      <c r="C20" s="3">
        <v>16</v>
      </c>
      <c r="D20" s="4">
        <v>22</v>
      </c>
      <c r="E20" s="5">
        <v>38</v>
      </c>
      <c r="F20" s="6" t="s">
        <v>170</v>
      </c>
    </row>
    <row r="21" spans="1:6" customFormat="1" ht="15" thickBot="1" x14ac:dyDescent="0.35">
      <c r="A21" s="2">
        <v>42420</v>
      </c>
      <c r="B21" s="6" t="s">
        <v>168</v>
      </c>
      <c r="C21" s="4">
        <v>6</v>
      </c>
      <c r="D21" s="4">
        <v>2</v>
      </c>
      <c r="E21" s="5">
        <v>8</v>
      </c>
      <c r="F21" s="6" t="s">
        <v>169</v>
      </c>
    </row>
    <row r="22" spans="1:6" customFormat="1" ht="15" thickBot="1" x14ac:dyDescent="0.35">
      <c r="A22" s="2">
        <v>42425</v>
      </c>
      <c r="B22" s="6" t="s">
        <v>166</v>
      </c>
      <c r="C22" s="3">
        <v>4</v>
      </c>
      <c r="D22" s="4">
        <v>14</v>
      </c>
      <c r="E22" s="5">
        <v>18</v>
      </c>
      <c r="F22" s="6" t="s">
        <v>167</v>
      </c>
    </row>
    <row r="23" spans="1:6" customFormat="1" ht="15" thickBot="1" x14ac:dyDescent="0.35">
      <c r="A23" s="2">
        <v>42436</v>
      </c>
      <c r="B23" s="6" t="s">
        <v>164</v>
      </c>
      <c r="C23" s="4">
        <v>5</v>
      </c>
      <c r="D23" s="4">
        <v>0</v>
      </c>
      <c r="E23" s="5">
        <v>5</v>
      </c>
      <c r="F23" s="6" t="s">
        <v>165</v>
      </c>
    </row>
    <row r="24" spans="1:6" customFormat="1" ht="15" thickBot="1" x14ac:dyDescent="0.35">
      <c r="A24" s="2">
        <v>42438</v>
      </c>
      <c r="B24" s="6" t="s">
        <v>162</v>
      </c>
      <c r="C24" s="3">
        <v>6</v>
      </c>
      <c r="D24" s="4">
        <v>3</v>
      </c>
      <c r="E24" s="5">
        <v>9</v>
      </c>
      <c r="F24" s="6" t="s">
        <v>163</v>
      </c>
    </row>
    <row r="25" spans="1:6" customFormat="1" ht="15" thickBot="1" x14ac:dyDescent="0.35">
      <c r="A25" s="2">
        <v>42481</v>
      </c>
      <c r="B25" s="6" t="s">
        <v>160</v>
      </c>
      <c r="C25" s="4">
        <v>8</v>
      </c>
      <c r="D25" s="4">
        <v>0</v>
      </c>
      <c r="E25" s="5">
        <v>8</v>
      </c>
      <c r="F25" s="6" t="s">
        <v>161</v>
      </c>
    </row>
    <row r="26" spans="1:6" customFormat="1" ht="15" thickBot="1" x14ac:dyDescent="0.35">
      <c r="A26" s="2">
        <v>42495</v>
      </c>
      <c r="B26" s="6" t="s">
        <v>158</v>
      </c>
      <c r="C26" s="4">
        <v>3</v>
      </c>
      <c r="D26" s="4">
        <v>3</v>
      </c>
      <c r="E26" s="5">
        <v>6</v>
      </c>
      <c r="F26" s="6" t="s">
        <v>159</v>
      </c>
    </row>
    <row r="27" spans="1:6" customFormat="1" ht="15" thickBot="1" x14ac:dyDescent="0.35">
      <c r="A27" s="2">
        <v>42533</v>
      </c>
      <c r="B27" s="6" t="s">
        <v>128</v>
      </c>
      <c r="C27" s="3">
        <v>50</v>
      </c>
      <c r="D27" s="4">
        <v>53</v>
      </c>
      <c r="E27" s="5">
        <v>103</v>
      </c>
      <c r="F27" s="6" t="s">
        <v>157</v>
      </c>
    </row>
    <row r="28" spans="1:6" customFormat="1" ht="15" thickBot="1" x14ac:dyDescent="0.35">
      <c r="A28" s="2">
        <v>42558</v>
      </c>
      <c r="B28" s="6" t="s">
        <v>155</v>
      </c>
      <c r="C28" s="3">
        <v>6</v>
      </c>
      <c r="D28" s="4">
        <v>11</v>
      </c>
      <c r="E28" s="5">
        <v>17</v>
      </c>
      <c r="F28" s="6" t="s">
        <v>156</v>
      </c>
    </row>
    <row r="29" spans="1:6" customFormat="1" ht="15" thickBot="1" x14ac:dyDescent="0.35">
      <c r="A29" s="2">
        <v>42562</v>
      </c>
      <c r="B29" s="6" t="s">
        <v>153</v>
      </c>
      <c r="C29" s="3">
        <v>3</v>
      </c>
      <c r="D29" s="4">
        <v>2</v>
      </c>
      <c r="E29" s="5">
        <v>5</v>
      </c>
      <c r="F29" s="6" t="s">
        <v>154</v>
      </c>
    </row>
    <row r="30" spans="1:6" customFormat="1" ht="15" thickBot="1" x14ac:dyDescent="0.35">
      <c r="A30" s="2">
        <v>42568</v>
      </c>
      <c r="B30" s="6" t="s">
        <v>151</v>
      </c>
      <c r="C30" s="3">
        <v>4</v>
      </c>
      <c r="D30" s="4">
        <v>3</v>
      </c>
      <c r="E30" s="5">
        <v>7</v>
      </c>
      <c r="F30" s="6" t="s">
        <v>152</v>
      </c>
    </row>
    <row r="31" spans="1:6" customFormat="1" ht="15" thickBot="1" x14ac:dyDescent="0.35">
      <c r="A31" s="2">
        <v>42581</v>
      </c>
      <c r="B31" s="6" t="s">
        <v>149</v>
      </c>
      <c r="C31" s="4">
        <v>3</v>
      </c>
      <c r="D31" s="4">
        <v>1</v>
      </c>
      <c r="E31" s="5">
        <v>4</v>
      </c>
      <c r="F31" s="6" t="s">
        <v>150</v>
      </c>
    </row>
    <row r="32" spans="1:6" customFormat="1" ht="15" thickBot="1" x14ac:dyDescent="0.35">
      <c r="A32" s="2">
        <v>42602</v>
      </c>
      <c r="B32" s="6" t="s">
        <v>147</v>
      </c>
      <c r="C32" s="3">
        <v>6</v>
      </c>
      <c r="D32" s="4">
        <v>0</v>
      </c>
      <c r="E32" s="5">
        <v>6</v>
      </c>
      <c r="F32" s="6" t="s">
        <v>148</v>
      </c>
    </row>
    <row r="33" spans="1:6" customFormat="1" ht="15" thickBot="1" x14ac:dyDescent="0.35">
      <c r="A33" s="2">
        <v>42636</v>
      </c>
      <c r="B33" s="6" t="s">
        <v>145</v>
      </c>
      <c r="C33" s="4">
        <v>5</v>
      </c>
      <c r="D33" s="4">
        <v>0</v>
      </c>
      <c r="E33" s="5">
        <v>5</v>
      </c>
      <c r="F33" s="6" t="s">
        <v>146</v>
      </c>
    </row>
    <row r="34" spans="1:6" customFormat="1" ht="15" thickBot="1" x14ac:dyDescent="0.35">
      <c r="A34" s="2">
        <v>42641</v>
      </c>
      <c r="B34" s="6" t="s">
        <v>143</v>
      </c>
      <c r="C34" s="4">
        <v>2</v>
      </c>
      <c r="D34" s="4">
        <v>3</v>
      </c>
      <c r="E34" s="5">
        <v>5</v>
      </c>
      <c r="F34" s="6" t="s">
        <v>144</v>
      </c>
    </row>
    <row r="35" spans="1:6" customFormat="1" ht="15" thickBot="1" x14ac:dyDescent="0.35">
      <c r="A35" s="2">
        <v>42741</v>
      </c>
      <c r="B35" s="6" t="s">
        <v>141</v>
      </c>
      <c r="C35" s="4">
        <v>5</v>
      </c>
      <c r="D35" s="4">
        <v>6</v>
      </c>
      <c r="E35" s="5">
        <v>11</v>
      </c>
      <c r="F35" s="6" t="s">
        <v>142</v>
      </c>
    </row>
    <row r="36" spans="1:6" customFormat="1" ht="15" thickBot="1" x14ac:dyDescent="0.35">
      <c r="A36" s="2">
        <v>42816</v>
      </c>
      <c r="B36" s="6" t="s">
        <v>139</v>
      </c>
      <c r="C36" s="3">
        <v>5</v>
      </c>
      <c r="D36" s="4">
        <v>0</v>
      </c>
      <c r="E36" s="5">
        <v>5</v>
      </c>
      <c r="F36" s="6" t="s">
        <v>140</v>
      </c>
    </row>
    <row r="37" spans="1:6" customFormat="1" ht="15" thickBot="1" x14ac:dyDescent="0.35">
      <c r="A37" s="2">
        <v>42820</v>
      </c>
      <c r="B37" s="6" t="s">
        <v>137</v>
      </c>
      <c r="C37" s="4">
        <v>2</v>
      </c>
      <c r="D37" s="4">
        <v>16</v>
      </c>
      <c r="E37" s="5">
        <v>18</v>
      </c>
      <c r="F37" s="6" t="s">
        <v>138</v>
      </c>
    </row>
    <row r="38" spans="1:6" customFormat="1" ht="15" thickBot="1" x14ac:dyDescent="0.35">
      <c r="A38" s="2">
        <v>42835</v>
      </c>
      <c r="B38" s="6" t="s">
        <v>135</v>
      </c>
      <c r="C38" s="3">
        <v>3</v>
      </c>
      <c r="D38" s="4">
        <v>1</v>
      </c>
      <c r="E38" s="5">
        <v>4</v>
      </c>
      <c r="F38" s="6" t="s">
        <v>136</v>
      </c>
    </row>
    <row r="39" spans="1:6" customFormat="1" ht="15" thickBot="1" x14ac:dyDescent="0.35">
      <c r="A39" s="2">
        <v>42838</v>
      </c>
      <c r="B39" s="6" t="s">
        <v>31</v>
      </c>
      <c r="C39" s="4">
        <v>4</v>
      </c>
      <c r="D39" s="4">
        <v>0</v>
      </c>
      <c r="E39" s="5">
        <v>4</v>
      </c>
      <c r="F39" s="6" t="s">
        <v>134</v>
      </c>
    </row>
    <row r="40" spans="1:6" customFormat="1" ht="15" thickBot="1" x14ac:dyDescent="0.35">
      <c r="A40" s="2">
        <v>42867</v>
      </c>
      <c r="B40" s="6" t="s">
        <v>132</v>
      </c>
      <c r="C40" s="3">
        <v>4</v>
      </c>
      <c r="D40" s="4">
        <v>0</v>
      </c>
      <c r="E40" s="5">
        <v>4</v>
      </c>
      <c r="F40" s="6" t="s">
        <v>133</v>
      </c>
    </row>
    <row r="41" spans="1:6" customFormat="1" ht="15" thickBot="1" x14ac:dyDescent="0.35">
      <c r="A41" s="2">
        <v>42882</v>
      </c>
      <c r="B41" s="6" t="s">
        <v>130</v>
      </c>
      <c r="C41" s="4">
        <v>8</v>
      </c>
      <c r="D41" s="3">
        <v>1</v>
      </c>
      <c r="E41" s="5">
        <v>9</v>
      </c>
      <c r="F41" s="6" t="s">
        <v>131</v>
      </c>
    </row>
    <row r="42" spans="1:6" customFormat="1" ht="15" thickBot="1" x14ac:dyDescent="0.35">
      <c r="A42" s="2">
        <v>42891</v>
      </c>
      <c r="B42" s="6" t="s">
        <v>128</v>
      </c>
      <c r="C42" s="3">
        <v>6</v>
      </c>
      <c r="D42" s="4">
        <v>0</v>
      </c>
      <c r="E42" s="5">
        <v>6</v>
      </c>
      <c r="F42" s="6" t="s">
        <v>129</v>
      </c>
    </row>
    <row r="43" spans="1:6" customFormat="1" ht="15" thickBot="1" x14ac:dyDescent="0.35">
      <c r="A43" s="2">
        <v>42892</v>
      </c>
      <c r="B43" s="6" t="s">
        <v>126</v>
      </c>
      <c r="C43" s="3">
        <v>3</v>
      </c>
      <c r="D43" s="4">
        <v>2</v>
      </c>
      <c r="E43" s="5">
        <v>5</v>
      </c>
      <c r="F43" s="6" t="s">
        <v>127</v>
      </c>
    </row>
    <row r="44" spans="1:6" customFormat="1" ht="15" thickBot="1" x14ac:dyDescent="0.35">
      <c r="A44" s="2">
        <v>42894</v>
      </c>
      <c r="B44" s="6" t="s">
        <v>124</v>
      </c>
      <c r="C44" s="3">
        <v>4</v>
      </c>
      <c r="D44" s="4">
        <v>0</v>
      </c>
      <c r="E44" s="5">
        <v>4</v>
      </c>
      <c r="F44" s="6" t="s">
        <v>125</v>
      </c>
    </row>
    <row r="45" spans="1:6" customFormat="1" ht="15" thickBot="1" x14ac:dyDescent="0.35">
      <c r="A45" s="2">
        <v>42900</v>
      </c>
      <c r="B45" s="6" t="s">
        <v>120</v>
      </c>
      <c r="C45" s="3">
        <v>4</v>
      </c>
      <c r="D45" s="4">
        <v>5</v>
      </c>
      <c r="E45" s="5">
        <v>9</v>
      </c>
      <c r="F45" s="6" t="s">
        <v>121</v>
      </c>
    </row>
    <row r="46" spans="1:6" customFormat="1" ht="15" thickBot="1" x14ac:dyDescent="0.35">
      <c r="A46" s="2">
        <v>42900</v>
      </c>
      <c r="B46" s="6" t="s">
        <v>122</v>
      </c>
      <c r="C46" s="3">
        <v>1</v>
      </c>
      <c r="D46" s="4">
        <v>6</v>
      </c>
      <c r="E46" s="5">
        <v>7</v>
      </c>
      <c r="F46" s="6" t="s">
        <v>123</v>
      </c>
    </row>
    <row r="47" spans="1:6" customFormat="1" ht="15" thickBot="1" x14ac:dyDescent="0.35">
      <c r="A47" s="2">
        <v>42916</v>
      </c>
      <c r="B47" s="6" t="s">
        <v>118</v>
      </c>
      <c r="C47" s="3">
        <v>2</v>
      </c>
      <c r="D47" s="4">
        <v>6</v>
      </c>
      <c r="E47" s="5">
        <v>8</v>
      </c>
      <c r="F47" s="6" t="s">
        <v>119</v>
      </c>
    </row>
    <row r="48" spans="1:6" customFormat="1" ht="15" thickBot="1" x14ac:dyDescent="0.35">
      <c r="A48" s="2">
        <v>42917</v>
      </c>
      <c r="B48" s="6" t="s">
        <v>116</v>
      </c>
      <c r="C48" s="4">
        <v>0</v>
      </c>
      <c r="D48" s="4">
        <v>28</v>
      </c>
      <c r="E48" s="5">
        <v>28</v>
      </c>
      <c r="F48" s="6" t="s">
        <v>117</v>
      </c>
    </row>
    <row r="49" spans="1:6" customFormat="1" ht="15" thickBot="1" x14ac:dyDescent="0.35">
      <c r="A49" s="2">
        <v>42975</v>
      </c>
      <c r="B49" s="6" t="s">
        <v>114</v>
      </c>
      <c r="C49" s="4">
        <v>2</v>
      </c>
      <c r="D49" s="4">
        <v>4</v>
      </c>
      <c r="E49" s="5">
        <v>6</v>
      </c>
      <c r="F49" s="6" t="s">
        <v>115</v>
      </c>
    </row>
    <row r="50" spans="1:6" customFormat="1" ht="15" thickBot="1" x14ac:dyDescent="0.35">
      <c r="A50" s="2">
        <v>42988</v>
      </c>
      <c r="B50" s="6" t="s">
        <v>112</v>
      </c>
      <c r="C50" s="3">
        <v>9</v>
      </c>
      <c r="D50" s="4">
        <v>1</v>
      </c>
      <c r="E50" s="5">
        <v>10</v>
      </c>
      <c r="F50" s="6" t="s">
        <v>113</v>
      </c>
    </row>
    <row r="51" spans="1:6" customFormat="1" ht="15" thickBot="1" x14ac:dyDescent="0.35">
      <c r="A51" s="2">
        <v>43002</v>
      </c>
      <c r="B51" s="6" t="s">
        <v>110</v>
      </c>
      <c r="C51" s="4">
        <v>1</v>
      </c>
      <c r="D51" s="3">
        <v>8</v>
      </c>
      <c r="E51" s="5">
        <v>9</v>
      </c>
      <c r="F51" s="6" t="s">
        <v>111</v>
      </c>
    </row>
    <row r="52" spans="1:6" customFormat="1" ht="15" thickBot="1" x14ac:dyDescent="0.35">
      <c r="A52" s="2">
        <v>43009</v>
      </c>
      <c r="B52" s="6" t="s">
        <v>108</v>
      </c>
      <c r="C52" s="3">
        <v>61</v>
      </c>
      <c r="D52" s="4">
        <v>411</v>
      </c>
      <c r="E52" s="5">
        <v>472</v>
      </c>
      <c r="F52" s="6" t="s">
        <v>109</v>
      </c>
    </row>
    <row r="53" spans="1:6" customFormat="1" ht="15" thickBot="1" x14ac:dyDescent="0.35">
      <c r="A53" s="2">
        <v>43044</v>
      </c>
      <c r="B53" s="6" t="s">
        <v>106</v>
      </c>
      <c r="C53" s="4">
        <v>27</v>
      </c>
      <c r="D53" s="4">
        <v>20</v>
      </c>
      <c r="E53" s="5">
        <v>47</v>
      </c>
      <c r="F53" s="6" t="s">
        <v>107</v>
      </c>
    </row>
    <row r="54" spans="1:6" customFormat="1" ht="15" thickBot="1" x14ac:dyDescent="0.35">
      <c r="A54" s="2">
        <v>43052</v>
      </c>
      <c r="B54" s="6" t="s">
        <v>104</v>
      </c>
      <c r="C54" s="3">
        <v>6</v>
      </c>
      <c r="D54" s="4">
        <v>12</v>
      </c>
      <c r="E54" s="5">
        <v>18</v>
      </c>
      <c r="F54" s="6" t="s">
        <v>105</v>
      </c>
    </row>
    <row r="55" spans="1:6" customFormat="1" ht="15" thickBot="1" x14ac:dyDescent="0.35">
      <c r="A55" s="2">
        <v>43076</v>
      </c>
      <c r="B55" s="6" t="s">
        <v>102</v>
      </c>
      <c r="C55" s="3">
        <v>3</v>
      </c>
      <c r="D55" s="4">
        <v>1</v>
      </c>
      <c r="E55" s="5">
        <v>3</v>
      </c>
      <c r="F55" s="6" t="s">
        <v>103</v>
      </c>
    </row>
    <row r="56" spans="1:6" customFormat="1" ht="15" thickBot="1" x14ac:dyDescent="0.35">
      <c r="A56" s="2">
        <v>43100</v>
      </c>
      <c r="B56" s="6" t="s">
        <v>49</v>
      </c>
      <c r="C56" s="3">
        <v>2</v>
      </c>
      <c r="D56" s="4">
        <v>6</v>
      </c>
      <c r="E56" s="5">
        <v>8</v>
      </c>
      <c r="F56" s="6" t="s">
        <v>101</v>
      </c>
    </row>
    <row r="57" spans="1:6" customFormat="1" ht="15" thickBot="1" x14ac:dyDescent="0.35">
      <c r="A57" s="2">
        <v>43123</v>
      </c>
      <c r="B57" s="6" t="s">
        <v>99</v>
      </c>
      <c r="C57" s="4">
        <v>2</v>
      </c>
      <c r="D57" s="4">
        <v>16</v>
      </c>
      <c r="E57" s="5">
        <v>18</v>
      </c>
      <c r="F57" s="6" t="s">
        <v>100</v>
      </c>
    </row>
    <row r="58" spans="1:6" customFormat="1" ht="15" thickBot="1" x14ac:dyDescent="0.35">
      <c r="A58" s="2">
        <v>43128</v>
      </c>
      <c r="B58" s="6" t="s">
        <v>97</v>
      </c>
      <c r="C58" s="3">
        <v>5</v>
      </c>
      <c r="D58" s="4">
        <v>1</v>
      </c>
      <c r="E58" s="5">
        <v>6</v>
      </c>
      <c r="F58" s="6" t="s">
        <v>98</v>
      </c>
    </row>
    <row r="59" spans="1:6" customFormat="1" ht="15" thickBot="1" x14ac:dyDescent="0.35">
      <c r="A59" s="2">
        <v>43145</v>
      </c>
      <c r="B59" s="6" t="s">
        <v>95</v>
      </c>
      <c r="C59" s="4">
        <v>17</v>
      </c>
      <c r="D59" s="4">
        <v>17</v>
      </c>
      <c r="E59" s="5">
        <v>34</v>
      </c>
      <c r="F59" s="6" t="s">
        <v>96</v>
      </c>
    </row>
    <row r="60" spans="1:6" customFormat="1" ht="15" thickBot="1" x14ac:dyDescent="0.35">
      <c r="A60" s="2">
        <v>43168</v>
      </c>
      <c r="B60" s="6" t="s">
        <v>93</v>
      </c>
      <c r="C60" s="4">
        <v>5</v>
      </c>
      <c r="D60" s="4">
        <v>0</v>
      </c>
      <c r="E60" s="5">
        <v>5</v>
      </c>
      <c r="F60" s="6" t="s">
        <v>94</v>
      </c>
    </row>
    <row r="61" spans="1:6" customFormat="1" ht="15" thickBot="1" x14ac:dyDescent="0.35">
      <c r="A61" s="2">
        <v>43193</v>
      </c>
      <c r="B61" s="6" t="s">
        <v>91</v>
      </c>
      <c r="C61" s="3">
        <v>1</v>
      </c>
      <c r="D61" s="3">
        <v>4</v>
      </c>
      <c r="E61" s="5">
        <v>5</v>
      </c>
      <c r="F61" s="6" t="s">
        <v>92</v>
      </c>
    </row>
    <row r="62" spans="1:6" customFormat="1" ht="15" thickBot="1" x14ac:dyDescent="0.35">
      <c r="A62" s="2">
        <v>43212</v>
      </c>
      <c r="B62" s="6" t="s">
        <v>89</v>
      </c>
      <c r="C62" s="4">
        <v>4</v>
      </c>
      <c r="D62" s="4">
        <v>2</v>
      </c>
      <c r="E62" s="5">
        <v>6</v>
      </c>
      <c r="F62" s="6" t="s">
        <v>90</v>
      </c>
    </row>
    <row r="63" spans="1:6" customFormat="1" ht="15" thickBot="1" x14ac:dyDescent="0.35">
      <c r="A63" s="2">
        <v>43238</v>
      </c>
      <c r="B63" s="6" t="s">
        <v>87</v>
      </c>
      <c r="C63" s="4">
        <v>10</v>
      </c>
      <c r="D63" s="3">
        <v>14</v>
      </c>
      <c r="E63" s="5">
        <v>24</v>
      </c>
      <c r="F63" s="6" t="s">
        <v>88</v>
      </c>
    </row>
    <row r="64" spans="1:6" customFormat="1" ht="15" thickBot="1" x14ac:dyDescent="0.35">
      <c r="A64" s="2">
        <v>43250</v>
      </c>
      <c r="B64" s="6" t="s">
        <v>85</v>
      </c>
      <c r="C64" s="3">
        <v>7</v>
      </c>
      <c r="D64" s="4">
        <v>0</v>
      </c>
      <c r="E64" s="5">
        <v>7</v>
      </c>
      <c r="F64" s="6" t="s">
        <v>86</v>
      </c>
    </row>
    <row r="65" spans="1:6" customFormat="1" ht="15" thickBot="1" x14ac:dyDescent="0.35">
      <c r="A65" s="2">
        <v>43268</v>
      </c>
      <c r="B65" s="6" t="s">
        <v>83</v>
      </c>
      <c r="C65" s="3">
        <v>1</v>
      </c>
      <c r="D65" s="3">
        <v>22</v>
      </c>
      <c r="E65" s="5">
        <v>23</v>
      </c>
      <c r="F65" s="6" t="s">
        <v>84</v>
      </c>
    </row>
    <row r="66" spans="1:6" customFormat="1" ht="15" thickBot="1" x14ac:dyDescent="0.35">
      <c r="A66" s="2">
        <v>43279</v>
      </c>
      <c r="B66" s="6" t="s">
        <v>81</v>
      </c>
      <c r="C66" s="7">
        <v>5</v>
      </c>
      <c r="D66" s="7">
        <v>2</v>
      </c>
      <c r="E66" s="8">
        <v>7</v>
      </c>
      <c r="F66" s="6" t="s">
        <v>82</v>
      </c>
    </row>
    <row r="67" spans="1:6" customFormat="1" ht="15" thickBot="1" x14ac:dyDescent="0.35">
      <c r="A67" s="2">
        <v>43338</v>
      </c>
      <c r="B67" s="6" t="s">
        <v>79</v>
      </c>
      <c r="C67" s="3">
        <v>3</v>
      </c>
      <c r="D67" s="4">
        <v>11</v>
      </c>
      <c r="E67" s="5">
        <v>14</v>
      </c>
      <c r="F67" s="6" t="s">
        <v>80</v>
      </c>
    </row>
    <row r="68" spans="1:6" customFormat="1" ht="15" thickBot="1" x14ac:dyDescent="0.35">
      <c r="A68" s="2">
        <v>43349</v>
      </c>
      <c r="B68" s="6" t="s">
        <v>77</v>
      </c>
      <c r="C68" s="3">
        <v>4</v>
      </c>
      <c r="D68" s="4">
        <v>2</v>
      </c>
      <c r="E68" s="5">
        <v>6</v>
      </c>
      <c r="F68" s="6" t="s">
        <v>78</v>
      </c>
    </row>
    <row r="69" spans="1:6" customFormat="1" ht="15" thickBot="1" x14ac:dyDescent="0.35">
      <c r="A69" s="2">
        <v>43363</v>
      </c>
      <c r="B69" s="6" t="s">
        <v>75</v>
      </c>
      <c r="C69" s="3">
        <v>4</v>
      </c>
      <c r="D69" s="4">
        <v>3</v>
      </c>
      <c r="E69" s="5">
        <v>7</v>
      </c>
      <c r="F69" s="6" t="s">
        <v>76</v>
      </c>
    </row>
    <row r="70" spans="1:6" customFormat="1" ht="15" thickBot="1" x14ac:dyDescent="0.35">
      <c r="A70" s="2">
        <v>43376</v>
      </c>
      <c r="B70" s="6" t="s">
        <v>73</v>
      </c>
      <c r="C70" s="4">
        <v>2</v>
      </c>
      <c r="D70" s="4">
        <v>10</v>
      </c>
      <c r="E70" s="5">
        <v>12</v>
      </c>
      <c r="F70" s="6" t="s">
        <v>74</v>
      </c>
    </row>
    <row r="71" spans="1:6" customFormat="1" ht="15" thickBot="1" x14ac:dyDescent="0.35">
      <c r="A71" s="2">
        <v>43400</v>
      </c>
      <c r="B71" s="6" t="s">
        <v>71</v>
      </c>
      <c r="C71" s="4">
        <v>11</v>
      </c>
      <c r="D71" s="3">
        <v>7</v>
      </c>
      <c r="E71" s="5">
        <v>18</v>
      </c>
      <c r="F71" s="6" t="s">
        <v>72</v>
      </c>
    </row>
    <row r="72" spans="1:6" customFormat="1" ht="15" thickBot="1" x14ac:dyDescent="0.35">
      <c r="A72" s="2">
        <v>43406</v>
      </c>
      <c r="B72" s="6" t="s">
        <v>69</v>
      </c>
      <c r="C72" s="3">
        <v>3</v>
      </c>
      <c r="D72" s="3">
        <v>5</v>
      </c>
      <c r="E72" s="5">
        <v>8</v>
      </c>
      <c r="F72" s="6" t="s">
        <v>70</v>
      </c>
    </row>
    <row r="73" spans="1:6" customFormat="1" ht="15" thickBot="1" x14ac:dyDescent="0.35">
      <c r="A73" s="2">
        <v>43411</v>
      </c>
      <c r="B73" s="6" t="s">
        <v>65</v>
      </c>
      <c r="C73" s="3">
        <v>13</v>
      </c>
      <c r="D73" s="4" t="s">
        <v>66</v>
      </c>
      <c r="E73" s="5" t="s">
        <v>67</v>
      </c>
      <c r="F73" s="6" t="s">
        <v>68</v>
      </c>
    </row>
    <row r="74" spans="1:6" customFormat="1" ht="15" thickBot="1" x14ac:dyDescent="0.35">
      <c r="A74" s="2">
        <v>43415</v>
      </c>
      <c r="B74" s="6" t="s">
        <v>63</v>
      </c>
      <c r="C74" s="4">
        <v>1</v>
      </c>
      <c r="D74" s="3">
        <v>4</v>
      </c>
      <c r="E74" s="5">
        <v>5</v>
      </c>
      <c r="F74" s="6" t="s">
        <v>64</v>
      </c>
    </row>
    <row r="75" spans="1:6" customFormat="1" ht="15" thickBot="1" x14ac:dyDescent="0.35">
      <c r="A75" s="2">
        <v>43423</v>
      </c>
      <c r="B75" s="6" t="s">
        <v>61</v>
      </c>
      <c r="C75" s="3">
        <v>4</v>
      </c>
      <c r="D75" s="4">
        <v>0</v>
      </c>
      <c r="E75" s="5">
        <v>4</v>
      </c>
      <c r="F75" s="6" t="s">
        <v>62</v>
      </c>
    </row>
    <row r="76" spans="1:6" customFormat="1" ht="15" thickBot="1" x14ac:dyDescent="0.35">
      <c r="A76" s="2">
        <v>43488</v>
      </c>
      <c r="B76" s="6" t="s">
        <v>59</v>
      </c>
      <c r="C76" s="4">
        <v>5</v>
      </c>
      <c r="D76" s="4">
        <v>0</v>
      </c>
      <c r="E76" s="5">
        <v>5</v>
      </c>
      <c r="F76" s="6" t="s">
        <v>60</v>
      </c>
    </row>
    <row r="77" spans="1:6" customFormat="1" ht="15" thickBot="1" x14ac:dyDescent="0.35">
      <c r="A77" s="2">
        <v>43491</v>
      </c>
      <c r="B77" s="6" t="s">
        <v>57</v>
      </c>
      <c r="C77" s="4">
        <v>5</v>
      </c>
      <c r="D77" s="4">
        <v>0</v>
      </c>
      <c r="E77" s="5">
        <v>5</v>
      </c>
      <c r="F77" s="6" t="s">
        <v>58</v>
      </c>
    </row>
    <row r="78" spans="1:6" customFormat="1" ht="15" thickBot="1" x14ac:dyDescent="0.35">
      <c r="A78" s="2">
        <v>43511</v>
      </c>
      <c r="B78" s="6" t="s">
        <v>55</v>
      </c>
      <c r="C78" s="3">
        <v>6</v>
      </c>
      <c r="D78" s="4">
        <v>6</v>
      </c>
      <c r="E78" s="5">
        <v>12</v>
      </c>
      <c r="F78" s="6" t="s">
        <v>56</v>
      </c>
    </row>
    <row r="79" spans="1:6" customFormat="1" ht="15" thickBot="1" x14ac:dyDescent="0.35">
      <c r="A79" s="2">
        <v>43582</v>
      </c>
      <c r="B79" s="6" t="s">
        <v>53</v>
      </c>
      <c r="C79" s="7">
        <v>1</v>
      </c>
      <c r="D79" s="7">
        <v>3</v>
      </c>
      <c r="E79" s="8">
        <v>4</v>
      </c>
      <c r="F79" s="6" t="s">
        <v>54</v>
      </c>
    </row>
    <row r="80" spans="1:6" customFormat="1" ht="15" thickBot="1" x14ac:dyDescent="0.35">
      <c r="A80" s="2">
        <v>43585</v>
      </c>
      <c r="B80" s="6" t="s">
        <v>51</v>
      </c>
      <c r="C80" s="7">
        <v>2</v>
      </c>
      <c r="D80" s="7">
        <v>4</v>
      </c>
      <c r="E80" s="8">
        <v>6</v>
      </c>
      <c r="F80" s="6" t="s">
        <v>52</v>
      </c>
    </row>
    <row r="81" spans="1:6" customFormat="1" ht="15" thickBot="1" x14ac:dyDescent="0.35">
      <c r="A81" s="2">
        <v>43592</v>
      </c>
      <c r="B81" s="6" t="s">
        <v>49</v>
      </c>
      <c r="C81" s="4">
        <v>1</v>
      </c>
      <c r="D81" s="4">
        <v>8</v>
      </c>
      <c r="E81" s="5">
        <v>9</v>
      </c>
      <c r="F81" s="6" t="s">
        <v>50</v>
      </c>
    </row>
    <row r="82" spans="1:6" customFormat="1" ht="15" thickBot="1" x14ac:dyDescent="0.35">
      <c r="A82" s="2">
        <v>43616</v>
      </c>
      <c r="B82" s="6" t="s">
        <v>47</v>
      </c>
      <c r="C82" s="3">
        <v>13</v>
      </c>
      <c r="D82" s="4">
        <v>5</v>
      </c>
      <c r="E82" s="5">
        <v>18</v>
      </c>
      <c r="F82" s="6" t="s">
        <v>48</v>
      </c>
    </row>
    <row r="83" spans="1:6" customFormat="1" ht="15" thickBot="1" x14ac:dyDescent="0.35">
      <c r="A83" s="2">
        <v>43674</v>
      </c>
      <c r="B83" s="6" t="s">
        <v>45</v>
      </c>
      <c r="C83" s="3">
        <v>4</v>
      </c>
      <c r="D83" s="4">
        <v>15</v>
      </c>
      <c r="E83" s="5">
        <v>19</v>
      </c>
      <c r="F83" s="6" t="s">
        <v>46</v>
      </c>
    </row>
    <row r="84" spans="1:6" customFormat="1" ht="15" thickBot="1" x14ac:dyDescent="0.35">
      <c r="A84" s="2">
        <v>43680</v>
      </c>
      <c r="B84" s="6" t="s">
        <v>43</v>
      </c>
      <c r="C84" s="4">
        <v>23</v>
      </c>
      <c r="D84" s="4">
        <v>23</v>
      </c>
      <c r="E84" s="5">
        <v>46</v>
      </c>
      <c r="F84" s="6" t="s">
        <v>44</v>
      </c>
    </row>
    <row r="85" spans="1:6" customFormat="1" ht="15" thickBot="1" x14ac:dyDescent="0.35">
      <c r="A85" s="2">
        <v>43681</v>
      </c>
      <c r="B85" s="6" t="s">
        <v>41</v>
      </c>
      <c r="C85" s="3">
        <v>10</v>
      </c>
      <c r="D85" s="4">
        <v>27</v>
      </c>
      <c r="E85" s="5">
        <v>37</v>
      </c>
      <c r="F85" s="6" t="s">
        <v>42</v>
      </c>
    </row>
    <row r="86" spans="1:6" customFormat="1" ht="15" thickBot="1" x14ac:dyDescent="0.35">
      <c r="A86" s="2">
        <v>43708</v>
      </c>
      <c r="B86" s="6" t="s">
        <v>39</v>
      </c>
      <c r="C86" s="3">
        <v>8</v>
      </c>
      <c r="D86" s="4">
        <v>25</v>
      </c>
      <c r="E86" s="5">
        <v>33</v>
      </c>
      <c r="F86" s="6" t="s">
        <v>40</v>
      </c>
    </row>
    <row r="87" spans="1:6" customFormat="1" ht="15" thickBot="1" x14ac:dyDescent="0.35">
      <c r="A87" s="2">
        <v>43752</v>
      </c>
      <c r="B87" s="6" t="s">
        <v>37</v>
      </c>
      <c r="C87" s="4">
        <v>8</v>
      </c>
      <c r="D87" s="4">
        <v>0</v>
      </c>
      <c r="E87" s="5">
        <v>8</v>
      </c>
      <c r="F87" s="6" t="s">
        <v>38</v>
      </c>
    </row>
    <row r="88" spans="1:6" customFormat="1" ht="15" thickBot="1" x14ac:dyDescent="0.35">
      <c r="A88" s="2">
        <v>43769</v>
      </c>
      <c r="B88" s="6" t="s">
        <v>35</v>
      </c>
      <c r="C88" s="4">
        <v>5</v>
      </c>
      <c r="D88" s="4">
        <v>4</v>
      </c>
      <c r="E88" s="5">
        <v>9</v>
      </c>
      <c r="F88" s="6" t="s">
        <v>36</v>
      </c>
    </row>
    <row r="89" spans="1:6" customFormat="1" ht="15" thickBot="1" x14ac:dyDescent="0.35">
      <c r="A89" s="2">
        <v>43783</v>
      </c>
      <c r="B89" s="6" t="s">
        <v>33</v>
      </c>
      <c r="C89" s="3">
        <v>3</v>
      </c>
      <c r="D89" s="4">
        <v>3</v>
      </c>
      <c r="E89" s="5">
        <v>6</v>
      </c>
      <c r="F89" s="6" t="s">
        <v>34</v>
      </c>
    </row>
    <row r="90" spans="1:6" customFormat="1" ht="15" thickBot="1" x14ac:dyDescent="0.35">
      <c r="A90" s="2">
        <v>43786</v>
      </c>
      <c r="B90" s="6" t="s">
        <v>31</v>
      </c>
      <c r="C90" s="4">
        <v>4</v>
      </c>
      <c r="D90" s="4">
        <v>6</v>
      </c>
      <c r="E90" s="5">
        <v>10</v>
      </c>
      <c r="F90" s="6" t="s">
        <v>32</v>
      </c>
    </row>
    <row r="91" spans="1:6" customFormat="1" ht="15" thickBot="1" x14ac:dyDescent="0.35">
      <c r="A91" s="2">
        <v>43804</v>
      </c>
      <c r="B91" s="6" t="s">
        <v>29</v>
      </c>
      <c r="C91" s="3">
        <v>4</v>
      </c>
      <c r="D91" s="4">
        <v>1</v>
      </c>
      <c r="E91" s="5">
        <v>5</v>
      </c>
      <c r="F91" s="6" t="s">
        <v>30</v>
      </c>
    </row>
    <row r="92" spans="1:6" customFormat="1" ht="15" thickBot="1" x14ac:dyDescent="0.35">
      <c r="A92" s="2">
        <v>43805</v>
      </c>
      <c r="B92" s="6" t="s">
        <v>27</v>
      </c>
      <c r="C92" s="3">
        <v>4</v>
      </c>
      <c r="D92" s="4">
        <v>8</v>
      </c>
      <c r="E92" s="5">
        <v>12</v>
      </c>
      <c r="F92" s="6" t="s">
        <v>28</v>
      </c>
    </row>
    <row r="93" spans="1:6" customFormat="1" ht="15" thickBot="1" x14ac:dyDescent="0.35">
      <c r="A93" s="2">
        <v>43809</v>
      </c>
      <c r="B93" s="6" t="s">
        <v>25</v>
      </c>
      <c r="C93" s="3">
        <v>6</v>
      </c>
      <c r="D93" s="4">
        <v>3</v>
      </c>
      <c r="E93" s="5">
        <v>9</v>
      </c>
      <c r="F93" s="6" t="s">
        <v>26</v>
      </c>
    </row>
    <row r="94" spans="1:6" customFormat="1" ht="15" thickBot="1" x14ac:dyDescent="0.35">
      <c r="A94" s="2">
        <v>43847</v>
      </c>
      <c r="B94" s="6" t="s">
        <v>23</v>
      </c>
      <c r="C94" s="4">
        <v>4</v>
      </c>
      <c r="D94" s="4">
        <v>1</v>
      </c>
      <c r="E94" s="5">
        <v>5</v>
      </c>
      <c r="F94" s="6" t="s">
        <v>24</v>
      </c>
    </row>
    <row r="95" spans="1:6" customFormat="1" ht="15" thickBot="1" x14ac:dyDescent="0.35">
      <c r="A95" s="2">
        <v>43887</v>
      </c>
      <c r="B95" s="6" t="s">
        <v>21</v>
      </c>
      <c r="C95" s="3">
        <v>6</v>
      </c>
      <c r="D95" s="4">
        <v>0</v>
      </c>
      <c r="E95" s="5">
        <v>6</v>
      </c>
      <c r="F95" s="6" t="s">
        <v>22</v>
      </c>
    </row>
    <row r="96" spans="1:6" customFormat="1" ht="15" thickBot="1" x14ac:dyDescent="0.35">
      <c r="A96" s="2">
        <v>44052</v>
      </c>
      <c r="B96" s="6" t="s">
        <v>19</v>
      </c>
      <c r="C96" s="4">
        <v>1</v>
      </c>
      <c r="D96" s="4">
        <v>21</v>
      </c>
      <c r="E96" s="5">
        <v>22</v>
      </c>
      <c r="F96" s="6" t="s">
        <v>20</v>
      </c>
    </row>
    <row r="97" spans="1:6" customFormat="1" ht="15" thickBot="1" x14ac:dyDescent="0.35">
      <c r="A97" s="2">
        <v>44093</v>
      </c>
      <c r="B97" s="6" t="s">
        <v>17</v>
      </c>
      <c r="C97" s="4">
        <v>2</v>
      </c>
      <c r="D97" s="4">
        <v>14</v>
      </c>
      <c r="E97" s="5">
        <v>16</v>
      </c>
      <c r="F97" s="6" t="s">
        <v>18</v>
      </c>
    </row>
    <row r="98" spans="1:6" customFormat="1" ht="15" thickBot="1" x14ac:dyDescent="0.35">
      <c r="A98" s="2">
        <v>44155</v>
      </c>
      <c r="B98" s="6" t="s">
        <v>15</v>
      </c>
      <c r="C98" s="4">
        <v>0</v>
      </c>
      <c r="D98" s="4">
        <v>8</v>
      </c>
      <c r="E98" s="5">
        <v>8</v>
      </c>
      <c r="F98" s="6" t="s">
        <v>16</v>
      </c>
    </row>
    <row r="99" spans="1:6" customFormat="1" ht="15" thickBot="1" x14ac:dyDescent="0.35">
      <c r="A99" s="2">
        <v>44191</v>
      </c>
      <c r="B99" s="6" t="s">
        <v>13</v>
      </c>
      <c r="C99" s="4">
        <v>3</v>
      </c>
      <c r="D99" s="4">
        <v>3</v>
      </c>
      <c r="E99" s="5">
        <v>6</v>
      </c>
      <c r="F99" s="6" t="s">
        <v>14</v>
      </c>
    </row>
    <row r="100" spans="1:6" customFormat="1" ht="15" thickBot="1" x14ac:dyDescent="0.35">
      <c r="A100" s="2">
        <v>44229</v>
      </c>
      <c r="B100" s="6" t="s">
        <v>9</v>
      </c>
      <c r="C100" s="4">
        <v>6</v>
      </c>
      <c r="D100" s="4">
        <v>1</v>
      </c>
      <c r="E100" s="5">
        <v>7</v>
      </c>
      <c r="F100" s="6" t="s">
        <v>10</v>
      </c>
    </row>
    <row r="101" spans="1:6" customFormat="1" ht="15" thickBot="1" x14ac:dyDescent="0.35">
      <c r="A101" s="2">
        <v>44229</v>
      </c>
      <c r="B101" s="6" t="s">
        <v>11</v>
      </c>
      <c r="C101" s="3">
        <v>3</v>
      </c>
      <c r="D101" s="4">
        <v>3</v>
      </c>
      <c r="E101" s="5">
        <v>6</v>
      </c>
      <c r="F101" s="6" t="s">
        <v>12</v>
      </c>
    </row>
    <row r="102" spans="1:6" customFormat="1" ht="15" thickBot="1" x14ac:dyDescent="0.35">
      <c r="A102" s="2">
        <v>44236</v>
      </c>
      <c r="B102" s="6" t="s">
        <v>7</v>
      </c>
      <c r="C102" s="4">
        <v>1</v>
      </c>
      <c r="D102" s="4">
        <v>4</v>
      </c>
      <c r="E102" s="5">
        <v>5</v>
      </c>
      <c r="F102" s="6" t="s">
        <v>8</v>
      </c>
    </row>
    <row r="103" spans="1:6" customFormat="1" ht="15" thickBot="1" x14ac:dyDescent="0.35">
      <c r="A103" s="2">
        <v>44271</v>
      </c>
      <c r="B103" s="6" t="s">
        <v>5</v>
      </c>
      <c r="C103" s="4">
        <v>8</v>
      </c>
      <c r="D103" s="4">
        <v>1</v>
      </c>
      <c r="E103" s="5">
        <v>9</v>
      </c>
      <c r="F103" s="6" t="s">
        <v>6</v>
      </c>
    </row>
  </sheetData>
  <autoFilter ref="A1:F103" xr:uid="{797186D4-56D8-463E-BFD7-94C21FE582B3}">
    <sortState xmlns:xlrd2="http://schemas.microsoft.com/office/spreadsheetml/2017/richdata2" ref="A2:F103">
      <sortCondition ref="A1:A103"/>
    </sortState>
  </autoFilter>
  <hyperlinks>
    <hyperlink ref="B103" r:id="rId1" tooltip="Atlanta" display="https://en.wikipedia.org/wiki/Atlanta" xr:uid="{7D7841EF-47BB-4DC7-8AB6-5779E06EA3F5}"/>
    <hyperlink ref="F103" r:id="rId2" tooltip="2021 Atlanta spa shootings" display="https://en.wikipedia.org/wiki/2021_Atlanta_spa_shootings" xr:uid="{6DC19882-A329-4A68-A1A0-B62196A31002}"/>
    <hyperlink ref="B102" r:id="rId3" tooltip="Buffalo, Minnesota" display="https://en.wikipedia.org/wiki/Buffalo,_Minnesota" xr:uid="{94F8908C-7CC0-452A-9732-60229CE8C8D8}"/>
    <hyperlink ref="B100" r:id="rId4" tooltip="Muskogee, Oklahoma" display="https://en.wikipedia.org/wiki/Muskogee,_Oklahoma" xr:uid="{7CE04CAF-BB1C-40F7-96F4-93D4EE58F1F8}"/>
    <hyperlink ref="B101" r:id="rId5" tooltip="Sunrise, Florida" display="https://en.wikipedia.org/wiki/Sunrise,_Florida" xr:uid="{4EB9D70C-4DDF-4622-AFA1-3C18DBEBC085}"/>
    <hyperlink ref="C101" r:id="rId6" location="cite_note-:0-12" display="cite_note-:0-12" xr:uid="{AAAE5FD0-4C86-4C9F-8B9C-50C0907E6B05}"/>
    <hyperlink ref="F101" r:id="rId7" tooltip="2021 Sunrise, Florida shootout" display="https://en.wikipedia.org/wiki/2021_Sunrise,_Florida_shootout" xr:uid="{13231CEE-C83A-475B-9AF7-96AF22214E70}"/>
    <hyperlink ref="B99" r:id="rId8" tooltip="Rockford, Illinois" display="https://en.wikipedia.org/wiki/Rockford,_Illinois" xr:uid="{47EE1D51-F1BA-4743-B17A-0BF5CAB4BE6A}"/>
    <hyperlink ref="F99" r:id="rId9" tooltip="Don Carter Lanes shooting" display="https://en.wikipedia.org/wiki/Don_Carter_Lanes_shooting" xr:uid="{06F580F4-A69B-4DFE-AED7-3FFE150DF34A}"/>
    <hyperlink ref="B98" r:id="rId10" tooltip="Wauwatosa, Wisconsin" display="https://en.wikipedia.org/wiki/Wauwatosa,_Wisconsin" xr:uid="{B138AB92-7F71-4E3F-95F7-F82354E631C6}"/>
    <hyperlink ref="B97" r:id="rId11" tooltip="Rochester, New York" display="https://en.wikipedia.org/wiki/Rochester,_New_York" xr:uid="{A82CCD4E-AEFB-4716-8996-19FA10053C05}"/>
    <hyperlink ref="F97" r:id="rId12" tooltip="Rochester shooting" display="https://en.wikipedia.org/wiki/Rochester_shooting" xr:uid="{64ACC469-D782-4F33-9131-B217952EED2F}"/>
    <hyperlink ref="B96" r:id="rId13" tooltip="Washington, D.C." display="https://en.wikipedia.org/wiki/Washington,_D.C." xr:uid="{654E590F-EEAA-407C-BC80-AEEA5988122F}"/>
    <hyperlink ref="F96" r:id="rId14" tooltip="2020 Washington, D.C. block party shooting" display="https://en.wikipedia.org/wiki/2020_Washington,_D.C._block_party_shooting" xr:uid="{E5E76B7A-2844-44FB-9831-AA5CEC024DC5}"/>
    <hyperlink ref="C95" r:id="rId15" location="cite_note-:0-12" display="https://en.wikipedia.org/wiki/List_of_mass_shootings_in_the_United_States - cite_note-:0-12" xr:uid="{6E7BD5FE-4C6C-4E8A-8F7B-44ED6C5AB68C}"/>
    <hyperlink ref="B94" r:id="rId16" tooltip="Grantsville, Utah" display="https://en.wikipedia.org/wiki/Grantsville,_Utah" xr:uid="{8B6619F9-D82E-4F1C-8EC9-053DF0165876}"/>
    <hyperlink ref="F94" r:id="rId17" tooltip="Haynie family shooting" display="https://en.wikipedia.org/wiki/Haynie_family_shooting" xr:uid="{B6CFA073-D14E-48EE-9EBD-B77F902D18AD}"/>
    <hyperlink ref="B93" r:id="rId18" tooltip="Jersey City, New Jersey" display="https://en.wikipedia.org/wiki/Jersey_City,_New_Jersey" xr:uid="{9E98DDE6-C61C-46B5-AEC3-D302B593E004}"/>
    <hyperlink ref="C93" r:id="rId19" location="cite_note-:0-12" display="https://en.wikipedia.org/wiki/List_of_mass_shootings_in_the_United_States - cite_note-:0-12" xr:uid="{9707675C-D341-4CCF-8E9A-1A85535542C7}"/>
    <hyperlink ref="F93" r:id="rId20" tooltip="2019 Jersey City shooting" display="https://en.wikipedia.org/wiki/2019_Jersey_City_shooting" xr:uid="{1288CAA4-3602-4772-A00F-0060A352147D}"/>
    <hyperlink ref="B92" r:id="rId21" tooltip="Pensacola, Florida" display="https://en.wikipedia.org/wiki/Pensacola,_Florida" xr:uid="{F6ADA60F-0B14-439C-99D4-27DBB5BD7FA4}"/>
    <hyperlink ref="C92" r:id="rId22" location="cite_note-:0-12" display="https://en.wikipedia.org/wiki/List_of_mass_shootings_in_the_United_States - cite_note-:0-12" xr:uid="{CC5735F3-5476-47DE-919D-8AF4287E5008}"/>
    <hyperlink ref="B91" r:id="rId23" tooltip="Miramar, Florida" display="https://en.wikipedia.org/wiki/Miramar,_Florida" xr:uid="{815AE405-4B7D-42A1-A7E0-61131826A471}"/>
    <hyperlink ref="C91" r:id="rId24" location="cite_note-:0-12" display="https://en.wikipedia.org/wiki/List_of_mass_shootings_in_the_United_States - cite_note-:0-12" xr:uid="{310C0BF6-93AD-4E7C-A3BB-2F59E65646FB}"/>
    <hyperlink ref="B90" r:id="rId25" tooltip="Fresno, California" display="https://en.wikipedia.org/wiki/Fresno,_California" xr:uid="{2E573D3F-607B-4190-B989-017714316764}"/>
    <hyperlink ref="F90" r:id="rId26" tooltip="2019 Fresno shooting" display="https://en.wikipedia.org/wiki/2019_Fresno_shooting" xr:uid="{88E1E7A7-83CC-4D0C-8AA8-396DEC5484A0}"/>
    <hyperlink ref="B89" r:id="rId27" tooltip="Santa Clarita, California" display="https://en.wikipedia.org/wiki/Santa_Clarita,_California" xr:uid="{C85BA0B8-4FF6-41B8-8EE4-9677F773CBEE}"/>
    <hyperlink ref="C89" r:id="rId28" location="cite_note-:0-12" display="https://en.wikipedia.org/wiki/List_of_mass_shootings_in_the_United_States - cite_note-:0-12" xr:uid="{C510837A-D439-4427-9997-DBCB85607EDB}"/>
    <hyperlink ref="B88" r:id="rId29" tooltip="Orinda, California" display="https://en.wikipedia.org/wiki/Orinda,_California" xr:uid="{D70F7765-1AD2-415C-9463-6659C172B54E}"/>
    <hyperlink ref="F88" r:id="rId30" tooltip="Orinda Halloween Shooting" display="https://en.wikipedia.org/wiki/Orinda_Halloween_Shooting" xr:uid="{CB26BF62-CD3B-499C-B1E2-02DE2EA13ADB}"/>
    <hyperlink ref="B87" r:id="rId31" tooltip="San Juan, Puerto Rico" display="https://en.wikipedia.org/wiki/San_Juan,_Puerto_Rico" xr:uid="{24703AD4-0C39-42E7-AF87-72AA50012BDA}"/>
    <hyperlink ref="F87" r:id="rId32" tooltip="2019 Río Piedras shooting" display="https://en.wikipedia.org/wiki/2019_R%C3%ADo_Piedras_shooting" xr:uid="{BEF0B3DB-88B4-4F9D-A6E8-3F05D17DC745}"/>
    <hyperlink ref="B86" r:id="rId33" tooltip="Midland–Odessa" display="https://en.wikipedia.org/wiki/Midland%E2%80%93Odessa" xr:uid="{39E8BBBF-65CB-4AFE-BF59-8B47627D71F9}"/>
    <hyperlink ref="C86" r:id="rId34" location="cite_note-:0-12" display="https://en.wikipedia.org/wiki/List_of_mass_shootings_in_the_United_States - cite_note-:0-12" xr:uid="{101687BF-1302-42CD-A6A0-07DC49C0B811}"/>
    <hyperlink ref="B85" r:id="rId35" tooltip="Dayton, Ohio" display="https://en.wikipedia.org/wiki/Dayton,_Ohio" xr:uid="{CDC51F36-864A-4DB3-AD51-134B8CFE5921}"/>
    <hyperlink ref="C85" r:id="rId36" location="cite_note-:0-12" display="https://en.wikipedia.org/wiki/List_of_mass_shootings_in_the_United_States - cite_note-:0-12" xr:uid="{F0A1B527-76F6-443A-9F22-0038C0CDCB52}"/>
    <hyperlink ref="F85" r:id="rId37" tooltip="2019 Dayton shooting" display="https://en.wikipedia.org/wiki/2019_Dayton_shooting" xr:uid="{151AC532-AE10-4BC0-9D37-0F89282647BE}"/>
    <hyperlink ref="B84" r:id="rId38" tooltip="El Paso, Texas" display="https://en.wikipedia.org/wiki/El_Paso,_Texas" xr:uid="{9B3C612E-177D-409C-BFF2-983AE3FFA378}"/>
    <hyperlink ref="B83" r:id="rId39" tooltip="Gilroy, California" display="https://en.wikipedia.org/wiki/Gilroy,_California" xr:uid="{710121A6-E79A-4828-B538-34D390B3D5F1}"/>
    <hyperlink ref="C83" r:id="rId40" location="cite_note-:0-12" display="https://en.wikipedia.org/wiki/List_of_mass_shootings_in_the_United_States - cite_note-:0-12" xr:uid="{D72C5D02-DCBA-452B-8341-43BDF69A38B8}"/>
    <hyperlink ref="F83" r:id="rId41" tooltip="Gilroy Garlic Festival shooting" display="https://en.wikipedia.org/wiki/Gilroy_Garlic_Festival_shooting" xr:uid="{9F69B9E4-FD85-4802-B2CA-8E2C2358E38C}"/>
    <hyperlink ref="B82" r:id="rId42" tooltip="Virginia Beach" display="https://en.wikipedia.org/wiki/Virginia_Beach" xr:uid="{BAF5D553-5A1C-439B-93B6-54CFEE79C8A6}"/>
    <hyperlink ref="C82" r:id="rId43" location="cite_note-:0-12" display="https://en.wikipedia.org/wiki/List_of_mass_shootings_in_the_United_States - cite_note-:0-12" xr:uid="{D60B5BD1-56A6-4240-8D5A-B5A15DD5A775}"/>
    <hyperlink ref="B81" r:id="rId44" tooltip="Highlands Ranch, Colorado" display="https://en.wikipedia.org/wiki/Highlands_Ranch,_Colorado" xr:uid="{D13F710D-28CB-4EF3-B85F-548398E88776}"/>
    <hyperlink ref="B80" r:id="rId45" tooltip="Charlotte, North Carolina" display="https://en.wikipedia.org/wiki/Charlotte,_North_Carolina" xr:uid="{462C3F02-CFFD-45BD-8F3B-84CF4AFBB3DC}"/>
    <hyperlink ref="B79" r:id="rId46" tooltip="Poway" display="https://en.wikipedia.org/wiki/Poway" xr:uid="{3A2C78E3-F56A-443C-976E-5F4956AEBB9B}"/>
    <hyperlink ref="B78" r:id="rId47" tooltip="Aurora, Illinois" display="https://en.wikipedia.org/wiki/Aurora,_Illinois" xr:uid="{0A84F7D7-249B-4323-BC58-781A719BCFB3}"/>
    <hyperlink ref="C78" r:id="rId48" location="cite_note-:0-12" display="https://en.wikipedia.org/wiki/List_of_mass_shootings_in_the_United_States - cite_note-:0-12" xr:uid="{AC4FFC27-29B8-4E7F-8A82-FB48B08437CD}"/>
    <hyperlink ref="B76" r:id="rId49" tooltip="Sebring, Florida" display="https://en.wikipedia.org/wiki/Sebring,_Florida" xr:uid="{1CFD6C27-ED45-4836-AA6E-29030BEAA1B3}"/>
    <hyperlink ref="B75" r:id="rId50" tooltip="Chicago" display="https://en.wikipedia.org/wiki/Chicago" xr:uid="{3CF224D8-AF5C-4EE9-8AA7-59944FE8B7E6}"/>
    <hyperlink ref="C75" r:id="rId51" location="cite_note-:0-12" display="https://en.wikipedia.org/wiki/List_of_mass_shootings_in_the_United_States - cite_note-:0-12" xr:uid="{0CBF8852-379F-42D9-8935-87357650A2D4}"/>
    <hyperlink ref="B74" r:id="rId52" tooltip="Robbins, Illinois" display="https://en.wikipedia.org/wiki/Robbins,_Illinois" xr:uid="{47C09DFA-FB41-4BB3-933E-1F3556FBDC2F}"/>
    <hyperlink ref="D74" r:id="rId53" location="cite_note-:0-12" display="https://en.wikipedia.org/wiki/List_of_mass_shootings_in_the_United_States - cite_note-:0-12" xr:uid="{32A9DFE2-DC03-4574-B15B-EDDE99E93BE0}"/>
    <hyperlink ref="B73" r:id="rId54" tooltip="Thousand Oaks, California" display="https://en.wikipedia.org/wiki/Thousand_Oaks,_California" xr:uid="{E52FB081-24E1-4DA1-B7F0-8951AC1325DD}"/>
    <hyperlink ref="C73" r:id="rId55" location="cite_note-:0-12" display="https://en.wikipedia.org/wiki/List_of_mass_shootings_in_the_United_States - cite_note-:0-12" xr:uid="{9A905538-AF3A-4D10-B9AE-51117DDCA4F6}"/>
    <hyperlink ref="B72" r:id="rId56" tooltip="Tallahassee, Florida" display="https://en.wikipedia.org/wiki/Tallahassee,_Florida" xr:uid="{9D779654-2B37-4BCD-A7CF-572232F21F12}"/>
    <hyperlink ref="C72" r:id="rId57" location="cite_note-:0-12" display="https://en.wikipedia.org/wiki/List_of_mass_shootings_in_the_United_States - cite_note-:0-12" xr:uid="{F5FF3F10-E003-4251-8EEC-BA2EF472664A}"/>
    <hyperlink ref="D72" r:id="rId58" location="cite_note-23" display="https://en.wikipedia.org/wiki/List_of_mass_shootings_in_the_United_States - cite_note-23" xr:uid="{40531367-924F-4455-AD88-D7A8E07102E6}"/>
    <hyperlink ref="B71" r:id="rId59" tooltip="Pittsburgh" display="https://en.wikipedia.org/wiki/Pittsburgh" xr:uid="{99FBAFE9-DF2B-4EEC-B3AB-5F601E3FD586}"/>
    <hyperlink ref="D71" r:id="rId60" location="cite_note-:0-12" display="https://en.wikipedia.org/wiki/List_of_mass_shootings_in_the_United_States - cite_note-:0-12" xr:uid="{922948F0-D030-42C1-93B8-9EBD0A1E6DCC}"/>
    <hyperlink ref="B70" r:id="rId61" tooltip="Florence, South Carolina" display="https://en.wikipedia.org/wiki/Florence,_South_Carolina" xr:uid="{E66B8BA8-22F3-4892-B0EB-8B3467BA2011}"/>
    <hyperlink ref="B69" r:id="rId62" tooltip="Aberdeen, Maryland" display="https://en.wikipedia.org/wiki/Aberdeen,_Maryland" xr:uid="{630AA167-7D9A-43BA-B25C-E4ADCDE87278}"/>
    <hyperlink ref="C69" r:id="rId63" location="cite_note-:0-12" display="https://en.wikipedia.org/wiki/List_of_mass_shootings_in_the_United_States - cite_note-:0-12" xr:uid="{660F743A-CAC7-4818-A25E-D05D50AD1B0B}"/>
    <hyperlink ref="B68" r:id="rId64" tooltip="Cincinnati, Ohio" display="https://en.wikipedia.org/wiki/Cincinnati,_Ohio" xr:uid="{9559B193-9A6E-4419-A945-8F5485589596}"/>
    <hyperlink ref="C68" r:id="rId65" location="cite_note-:0-12" display="https://en.wikipedia.org/wiki/List_of_mass_shootings_in_the_United_States - cite_note-:0-12" xr:uid="{AC1E23D9-99DD-42AB-BA0A-1BAE67941F80}"/>
    <hyperlink ref="B67" r:id="rId66" tooltip="Jacksonville, Florida" display="https://en.wikipedia.org/wiki/Jacksonville,_Florida" xr:uid="{9D2394AD-355A-4597-8F4A-9B1069C1D767}"/>
    <hyperlink ref="C67" r:id="rId67" location="cite_note-:0-12" display="https://en.wikipedia.org/wiki/List_of_mass_shootings_in_the_United_States - cite_note-:0-12" xr:uid="{A25CC3B0-436B-444D-902C-385E5A606ACE}"/>
    <hyperlink ref="B66" r:id="rId68" tooltip="Annapolis, Maryland" display="https://en.wikipedia.org/wiki/Annapolis,_Maryland" xr:uid="{3AE96561-D3BE-49C1-B1CA-4F8209B42EDC}"/>
    <hyperlink ref="B65" r:id="rId69" tooltip="Trenton, New Jersey" display="https://en.wikipedia.org/wiki/Trenton,_New_Jersey" xr:uid="{FC86D700-2308-4205-A2B1-A2949EFDC99D}"/>
    <hyperlink ref="C65" r:id="rId70" location="cite_note-:0-12" display="https://en.wikipedia.org/wiki/List_of_mass_shootings_in_the_United_States - cite_note-:0-12" xr:uid="{0C027279-E542-4882-8307-1D03EBA9EB27}"/>
    <hyperlink ref="D65" r:id="rId71" location="cite_note-35" display="https://en.wikipedia.org/wiki/List_of_mass_shootings_in_the_United_States - cite_note-35" xr:uid="{DE7E5D24-D122-47E4-9ADA-9859EB5395D0}"/>
    <hyperlink ref="B64" r:id="rId72" tooltip="Scottsdale, Arizona" display="https://en.wikipedia.org/wiki/Scottsdale,_Arizona" xr:uid="{D736F351-23C5-4CC5-B689-FE5802EE8D4B}"/>
    <hyperlink ref="C64" r:id="rId73" location="cite_note-:0-12" display="https://en.wikipedia.org/wiki/List_of_mass_shootings_in_the_United_States - cite_note-:0-12" xr:uid="{F03DAABA-0CB9-4B72-B886-B53C8AFAAA94}"/>
    <hyperlink ref="B63" r:id="rId74" tooltip="Santa Fe, Texas" display="https://en.wikipedia.org/wiki/Santa_Fe,_Texas" xr:uid="{B31C48C5-1395-46F6-A140-D03513FE1C5E}"/>
    <hyperlink ref="D63" r:id="rId75" location="cite_note-:0-12" display="https://en.wikipedia.org/wiki/List_of_mass_shootings_in_the_United_States - cite_note-:0-12" xr:uid="{57490FEA-A01D-4F66-AB12-3AD83B7EC4B7}"/>
    <hyperlink ref="B62" r:id="rId76" tooltip="Nashville, Tennessee" display="https://en.wikipedia.org/wiki/Nashville,_Tennessee" xr:uid="{877EB010-214B-4BB8-9BD9-F4CFE4BC1CAF}"/>
    <hyperlink ref="B61" r:id="rId77" tooltip="San Bruno, California" display="https://en.wikipedia.org/wiki/San_Bruno,_California" xr:uid="{E0631210-3C27-41F8-B08F-C83428572E13}"/>
    <hyperlink ref="C61" r:id="rId78" location="cite_note-:0-12" display="https://en.wikipedia.org/wiki/List_of_mass_shootings_in_the_United_States - cite_note-:0-12" xr:uid="{EC663761-D6C4-4BDF-8511-B11A91CF33DB}"/>
    <hyperlink ref="D61" r:id="rId79" location="cite_note-41" display="https://en.wikipedia.org/wiki/List_of_mass_shootings_in_the_United_States - cite_note-41" xr:uid="{F1198AB9-1319-4BD3-B1F7-2A1883FAE784}"/>
    <hyperlink ref="B60" r:id="rId80" tooltip="Yountville, California" display="https://en.wikipedia.org/wiki/Yountville,_California" xr:uid="{81CF1C75-3511-4933-9E1D-551049323451}"/>
    <hyperlink ref="B59" r:id="rId81" tooltip="Parkland, Florida" display="https://en.wikipedia.org/wiki/Parkland,_Florida" xr:uid="{C5B6AF60-FE66-4F97-A699-E471FDAD3A19}"/>
    <hyperlink ref="B58" r:id="rId82" tooltip="Melcroft, Pennsylvania" display="https://en.wikipedia.org/wiki/Melcroft,_Pennsylvania" xr:uid="{55922C18-9B39-4E9B-BAE6-C319E852BDAD}"/>
    <hyperlink ref="C58" r:id="rId83" location="cite_note-:0-12" display="https://en.wikipedia.org/wiki/List_of_mass_shootings_in_the_United_States - cite_note-:0-12" xr:uid="{E23F0639-5580-41B9-B9F4-495C5068C592}"/>
    <hyperlink ref="F58" r:id="rId84" tooltip="Melcroft shooting" display="https://en.wikipedia.org/wiki/Melcroft_shooting" xr:uid="{51856912-29EA-4EB5-B5F8-1747DF6CB7BF}"/>
    <hyperlink ref="B57" r:id="rId85" tooltip="Benton, Kentucky" display="https://en.wikipedia.org/wiki/Benton,_Kentucky" xr:uid="{6AF8124D-294C-4E81-92E0-28C34630D68A}"/>
    <hyperlink ref="B56" r:id="rId86" tooltip="Highlands Ranch, Colorado" display="https://en.wikipedia.org/wiki/Highlands_Ranch,_Colorado" xr:uid="{BE313C12-A58C-490A-9413-4F21D2605276}"/>
    <hyperlink ref="C56" r:id="rId87" location="cite_note-:0-12" display="https://en.wikipedia.org/wiki/List_of_mass_shootings_in_the_United_States - cite_note-:0-12" xr:uid="{9D87169E-3FDA-4C38-BA0F-562A8F11892C}"/>
    <hyperlink ref="B55" r:id="rId88" tooltip="Aztec, New Mexico" display="https://en.wikipedia.org/wiki/Aztec,_New_Mexico" xr:uid="{2323A17E-BCCC-4CFA-9E32-45E1CBF8570E}"/>
    <hyperlink ref="C55" r:id="rId89" location="cite_note-:0-12" display="https://en.wikipedia.org/wiki/List_of_mass_shootings_in_the_United_States - cite_note-:0-12" xr:uid="{F66653ED-83A4-4FB2-BA1E-1CAC15AFFA21}"/>
    <hyperlink ref="B54" r:id="rId90" tooltip="Tehama County, California" display="https://en.wikipedia.org/wiki/Tehama_County,_California" xr:uid="{7581BF9B-3974-4474-8129-FB8D17C1C091}"/>
    <hyperlink ref="C54" r:id="rId91" location="cite_note-:0-12" display="https://en.wikipedia.org/wiki/List_of_mass_shootings_in_the_United_States - cite_note-:0-12" xr:uid="{7EA1F2AE-2CFD-4FCD-A788-C7C86F6B13C4}"/>
    <hyperlink ref="B53" r:id="rId92" tooltip="Sutherland Springs, Texas" display="https://en.wikipedia.org/wiki/Sutherland_Springs,_Texas" xr:uid="{C14BE722-DBC7-40EC-9C8A-15704581E163}"/>
    <hyperlink ref="B52" r:id="rId93" tooltip="Las Vegas" display="https://en.wikipedia.org/wiki/Las_Vegas" xr:uid="{95714C0A-747C-47E8-A557-5A02EA14AB7F}"/>
    <hyperlink ref="C52" r:id="rId94" location="cite_note-:0-12" display="https://en.wikipedia.org/wiki/List_of_mass_shootings_in_the_United_States - cite_note-:0-12" xr:uid="{623CA4F1-4FA0-4E02-A3D5-4537BC7EA9D6}"/>
    <hyperlink ref="B51" r:id="rId95" tooltip="Antioch, Tennessee" display="https://en.wikipedia.org/wiki/Antioch,_Tennessee" xr:uid="{6DE526F4-0E96-46DB-A576-F9DBA2A0C900}"/>
    <hyperlink ref="D51" r:id="rId96" location="cite_note-:0-12" display="https://en.wikipedia.org/wiki/List_of_mass_shootings_in_the_United_States - cite_note-:0-12" xr:uid="{F31EAD57-6B6E-44E7-B519-D4B500F42639}"/>
    <hyperlink ref="B50" r:id="rId97" tooltip="Plano, Texas" display="https://en.wikipedia.org/wiki/Plano,_Texas" xr:uid="{0CCABD42-692B-4360-A65A-AD2A30D3B504}"/>
    <hyperlink ref="C50" r:id="rId98" location="cite_note-:0-12" display="https://en.wikipedia.org/wiki/List_of_mass_shootings_in_the_United_States - cite_note-:0-12" xr:uid="{B9BF4D12-A559-478E-A25A-2BB4CAFB97BC}"/>
    <hyperlink ref="B49" r:id="rId99" tooltip="Clovis, New Mexico" display="https://en.wikipedia.org/wiki/Clovis,_New_Mexico" xr:uid="{F787ED82-4F44-4FBB-924C-4B0494F0F466}"/>
    <hyperlink ref="B48" r:id="rId100" tooltip="Little Rock, Arkansas" display="https://en.wikipedia.org/wiki/Little_Rock,_Arkansas" xr:uid="{CAFBB29F-48CF-411C-AB06-F2F3948F4B4B}"/>
    <hyperlink ref="B47" r:id="rId101" tooltip="New York City" display="https://en.wikipedia.org/wiki/New_York_City" xr:uid="{01C436ED-0B00-4E9E-81F9-73929B275D5C}"/>
    <hyperlink ref="C47" r:id="rId102" location="cite_note-:0-12" display="https://en.wikipedia.org/wiki/List_of_mass_shootings_in_the_United_States - cite_note-:0-12" xr:uid="{B22D37FE-B14D-4D81-A97F-0E11A142051A}"/>
    <hyperlink ref="F47" r:id="rId103" tooltip="Bronx-Lebanon Hospital attack" display="https://en.wikipedia.org/wiki/Bronx-Lebanon_Hospital_attack" xr:uid="{D13B5BD3-F559-480D-9715-F01B92B99950}"/>
    <hyperlink ref="B45" r:id="rId104" tooltip="San Francisco" display="https://en.wikipedia.org/wiki/San_Francisco" xr:uid="{E8EA6807-F848-42CC-BE0A-3AD782BB31A1}"/>
    <hyperlink ref="C45" r:id="rId105" location="cite_note-:0-12" display="https://en.wikipedia.org/wiki/List_of_mass_shootings_in_the_United_States - cite_note-:0-12" xr:uid="{AE0917A2-AD5A-42F5-A530-D139846715B4}"/>
    <hyperlink ref="B46" r:id="rId106" tooltip="Alexandria, Virginia" display="https://en.wikipedia.org/wiki/Alexandria,_Virginia" xr:uid="{896C7C8C-7EA3-4C73-8A95-FA0A0BA6939A}"/>
    <hyperlink ref="C46" r:id="rId107" location="cite_note-:0-12" display="https://en.wikipedia.org/wiki/List_of_mass_shootings_in_the_United_States - cite_note-:0-12" xr:uid="{7DEB0B4B-D4DF-4322-B3FE-0FB855944D00}"/>
    <hyperlink ref="B44" r:id="rId108" tooltip="Eaton Township, Wyoming County, Pennsylvania" display="https://en.wikipedia.org/wiki/Eaton_Township,_Wyoming_County,_Pennsylvania" xr:uid="{872628BF-B96E-433D-B4F8-75CA6522D2D0}"/>
    <hyperlink ref="C44" r:id="rId109" location="cite_note-:0-12" display="https://en.wikipedia.org/wiki/List_of_mass_shootings_in_the_United_States - cite_note-:0-12" xr:uid="{A3AA7CD0-233C-45E2-A18D-4B19505F2350}"/>
    <hyperlink ref="B43" r:id="rId110" tooltip="Sandy, Utah" display="https://en.wikipedia.org/wiki/Sandy,_Utah" xr:uid="{7B899CE8-566B-42D8-83EA-664F3E57F427}"/>
    <hyperlink ref="C43" r:id="rId111" location="cite_note-:0-12" display="https://en.wikipedia.org/wiki/List_of_mass_shootings_in_the_United_States - cite_note-:0-12" xr:uid="{D6975185-BD54-4295-AD96-764138203822}"/>
    <hyperlink ref="B42" r:id="rId112" tooltip="Orlando, Florida" display="https://en.wikipedia.org/wiki/Orlando,_Florida" xr:uid="{32C679C7-39F2-4D40-92DB-4CBF8D9B4DDE}"/>
    <hyperlink ref="C42" r:id="rId113" location="cite_note-:0-12" display="https://en.wikipedia.org/wiki/List_of_mass_shootings_in_the_United_States - cite_note-:0-12" xr:uid="{B09D0619-F527-43D6-9283-C550309D9AF3}"/>
    <hyperlink ref="B41" r:id="rId114" tooltip="Lincoln County, Mississippi" display="https://en.wikipedia.org/wiki/Lincoln_County,_Mississippi" xr:uid="{D3EB8FDD-30CE-4208-9BB9-1BAC2BA9DF67}"/>
    <hyperlink ref="D41" r:id="rId115" location="cite_note-:0-12" display="https://en.wikipedia.org/wiki/List_of_mass_shootings_in_the_United_States - cite_note-:0-12" xr:uid="{1FA54C11-3980-446F-A8FB-49943D9FACD4}"/>
    <hyperlink ref="B40" r:id="rId116" tooltip="Kirkersville, Ohio" display="https://en.wikipedia.org/wiki/Kirkersville,_Ohio" xr:uid="{6B29BBD0-ADEB-46FA-A7F1-CBA98BAEABF5}"/>
    <hyperlink ref="C40" r:id="rId117" location="cite_note-:0-12" display="https://en.wikipedia.org/wiki/List_of_mass_shootings_in_the_United_States - cite_note-:0-12" xr:uid="{D81D10F5-1A31-40C3-AE99-897F513DAE49}"/>
    <hyperlink ref="F40" r:id="rId118" tooltip="Kirkersville shooting" display="https://en.wikipedia.org/wiki/Kirkersville_shooting" xr:uid="{30AFF0B0-4492-4967-86B9-B9CAB1D030A4}"/>
    <hyperlink ref="B39" r:id="rId119" tooltip="Fresno, California" display="https://en.wikipedia.org/wiki/Fresno,_California" xr:uid="{5A4133B5-EC02-4A2E-9CC5-E3B086864142}"/>
    <hyperlink ref="B38" r:id="rId120" tooltip="San Bernardino, California" display="https://en.wikipedia.org/wiki/San_Bernardino,_California" xr:uid="{0FC64942-1269-4B7B-9700-EE2A5323C468}"/>
    <hyperlink ref="C38" r:id="rId121" location="cite_note-:0-12" display="https://en.wikipedia.org/wiki/List_of_mass_shootings_in_the_United_States - cite_note-:0-12" xr:uid="{5FF38CB7-337E-4518-A3ED-5448A2F63344}"/>
    <hyperlink ref="C36" r:id="rId122" location="cite_note-:0-12" display="https://en.wikipedia.org/wiki/List_of_mass_shootings_in_the_United_States - cite_note-:0-12" xr:uid="{64F17562-8023-41EC-819F-1C14E1C6C74A}"/>
    <hyperlink ref="B35" r:id="rId123" tooltip="Broward County, Florida" display="https://en.wikipedia.org/wiki/Broward_County,_Florida" xr:uid="{D6BC47BC-8FF4-49CB-902B-854620CD43B8}"/>
    <hyperlink ref="B34" r:id="rId124" tooltip="Townville, South Carolina" display="https://en.wikipedia.org/wiki/Townville,_South_Carolina" xr:uid="{8BFEE36F-166F-40D9-B467-13732DF07DD1}"/>
    <hyperlink ref="B33" r:id="rId125" tooltip="Burlington, Washington" display="https://en.wikipedia.org/wiki/Burlington,_Washington" xr:uid="{966BA379-032A-4590-8974-EF87C6CD66E6}"/>
    <hyperlink ref="B32" r:id="rId126" tooltip="Citronelle, Alabama" display="https://en.wikipedia.org/wiki/Citronelle,_Alabama" xr:uid="{04B0419E-6A4D-4704-A970-D8FD9B12278C}"/>
    <hyperlink ref="C32" r:id="rId127" location="cite_note-:1-43" display="https://en.wikipedia.org/wiki/List_of_mass_shootings_in_the_United_States - cite_note-:1-43" xr:uid="{10B60B89-F272-4CF7-90CB-7A954D7EFEEF}"/>
    <hyperlink ref="B31" r:id="rId128" tooltip="Mukilteo, Washington" display="https://en.wikipedia.org/wiki/Mukilteo,_Washington" xr:uid="{39AB0A52-70ED-4043-9E50-9A72D5320274}"/>
    <hyperlink ref="B30" r:id="rId129" tooltip="Baton Rouge, Louisiana" display="https://en.wikipedia.org/wiki/Baton_Rouge,_Louisiana" xr:uid="{928E53F6-CF84-460F-B0C1-0873FD4DD0D3}"/>
    <hyperlink ref="C30" r:id="rId130" location="cite_note-:0-12" display="https://en.wikipedia.org/wiki/List_of_mass_shootings_in_the_United_States - cite_note-:0-12" xr:uid="{3E41F0E0-ED4F-423D-AE8C-BE39795DEA65}"/>
    <hyperlink ref="B29" r:id="rId131" tooltip="St. Joseph, Michigan" display="https://en.wikipedia.org/wiki/St._Joseph,_Michigan" xr:uid="{F249797F-D5F2-4250-954D-31301D66E092}"/>
    <hyperlink ref="C29" r:id="rId132" location="cite_note-:0-12" display="https://en.wikipedia.org/wiki/List_of_mass_shootings_in_the_United_States - cite_note-:0-12" xr:uid="{F0324F08-3502-4ED4-A33C-4924A03017DE}"/>
    <hyperlink ref="B28" r:id="rId133" tooltip="Dallas" display="https://en.wikipedia.org/wiki/Dallas" xr:uid="{38DBEDB4-66CE-48A9-8D36-F9F1BB167DB0}"/>
    <hyperlink ref="C28" r:id="rId134" location="cite_note-:0-12" display="https://en.wikipedia.org/wiki/List_of_mass_shootings_in_the_United_States - cite_note-:0-12" xr:uid="{FC3315EB-D773-4494-AF7A-3D4FFD3CB0DF}"/>
    <hyperlink ref="B27" r:id="rId135" tooltip="Orlando, Florida" display="https://en.wikipedia.org/wiki/Orlando,_Florida" xr:uid="{7865B48F-72F8-4F70-AAFB-D9BCA251757E}"/>
    <hyperlink ref="C27" r:id="rId136" location="cite_note-:0-12" display="https://en.wikipedia.org/wiki/List_of_mass_shootings_in_the_United_States - cite_note-:0-12" xr:uid="{12F90C0C-100D-4D06-AF57-667A0B8531B0}"/>
    <hyperlink ref="B25" r:id="rId137" tooltip="Pike County, Ohio" display="https://en.wikipedia.org/wiki/Pike_County,_Ohio" xr:uid="{323D9752-0856-4323-A2EB-B1DE8C6AB806}"/>
    <hyperlink ref="B24" r:id="rId138" tooltip="Wilkinsburg, Pennsylvania" display="https://en.wikipedia.org/wiki/Wilkinsburg,_Pennsylvania" xr:uid="{ABB10B2E-72EE-4AF1-9BBB-1ECBD0C1BE20}"/>
    <hyperlink ref="C24" r:id="rId139" location="cite_note-:1-43" display="https://en.wikipedia.org/wiki/List_of_mass_shootings_in_the_United_States - cite_note-:1-43" xr:uid="{5EB2ED5D-CBC7-4659-B0E3-BA4BC2A60B5D}"/>
    <hyperlink ref="F23" r:id="rId140" tooltip="2016 Kansas–Missouri murder spree" display="https://en.wikipedia.org/wiki/2016_Kansas%E2%80%93Missouri_murder_spree" xr:uid="{6587F89B-AEAA-48D3-9627-B8BCEFD60F04}"/>
    <hyperlink ref="C22" r:id="rId141" location="cite_note-:0-12" display="https://en.wikipedia.org/wiki/List_of_mass_shootings_in_the_United_States - cite_note-:0-12" xr:uid="{0EB15371-650A-460A-9311-EB087A9F3849}"/>
    <hyperlink ref="B21" r:id="rId142" tooltip="Kalamazoo, Michigan" display="https://en.wikipedia.org/wiki/Kalamazoo,_Michigan" xr:uid="{AEC36D49-3766-4941-B0A3-C2F3885E0449}"/>
    <hyperlink ref="B20" r:id="rId143" tooltip="San Bernardino, California" display="https://en.wikipedia.org/wiki/San_Bernardino,_California" xr:uid="{9449D65C-2669-483D-8604-9CD19D895E7B}"/>
    <hyperlink ref="C20" r:id="rId144" location="cite_note-:0-12" display="https://en.wikipedia.org/wiki/List_of_mass_shootings_in_the_United_States - cite_note-:0-12" xr:uid="{2B4E6FCB-9EF2-49D8-9B97-87A2032D2484}"/>
    <hyperlink ref="B19" r:id="rId145" tooltip="Colorado Springs, Colorado" display="https://en.wikipedia.org/wiki/Colorado_Springs,_Colorado" xr:uid="{5D3EC86A-15B5-465A-83F4-5A20AB02453B}"/>
    <hyperlink ref="B18" r:id="rId146" tooltip="Minneapolis" display="https://en.wikipedia.org/wiki/Minneapolis" xr:uid="{50589F66-C0DF-467F-81BD-7B5598811E91}"/>
    <hyperlink ref="B17" r:id="rId147" tooltip="Colorado Springs, Colorado" display="https://en.wikipedia.org/wiki/Colorado_Springs,_Colorado" xr:uid="{0086BB9A-E9ED-444E-94DC-7D4A70B0FF2B}"/>
    <hyperlink ref="C17" r:id="rId148" location="cite_note-:0-12" display="https://en.wikipedia.org/wiki/List_of_mass_shootings_in_the_United_States - cite_note-:0-12" xr:uid="{7AF84CC7-A879-4D1A-820C-59065FE58123}"/>
    <hyperlink ref="B16" r:id="rId149" tooltip="Roseburg, Oregon" display="https://en.wikipedia.org/wiki/Roseburg,_Oregon" xr:uid="{EA6DD510-2E85-469E-8BD2-9987FB278232}"/>
    <hyperlink ref="C16" r:id="rId150" location="cite_note-:0-12" display="https://en.wikipedia.org/wiki/List_of_mass_shootings_in_the_United_States - cite_note-:0-12" xr:uid="{46D2BABB-C9FB-4E44-A007-BFE686AFE0BA}"/>
    <hyperlink ref="B15" r:id="rId151" tooltip="Moneta, Virginia" display="https://en.wikipedia.org/wiki/Moneta,_Virginia" xr:uid="{B6312B4A-3607-4046-AC1A-97A5A6475715}"/>
    <hyperlink ref="C15" r:id="rId152" location="cite_note-:0-12" display="https://en.wikipedia.org/wiki/List_of_mass_shootings_in_the_United_States - cite_note-:0-12" xr:uid="{03F6BC6F-A5DB-42B4-917A-5FFC2182FFD3}"/>
    <hyperlink ref="B14" r:id="rId153" tooltip="Harris County, Texas" display="https://en.wikipedia.org/wiki/Harris_County,_Texas" xr:uid="{737EECEB-1ED6-4097-9A5E-DE98F1985B06}"/>
    <hyperlink ref="B13" r:id="rId154" tooltip="Lafayette, Louisiana" display="https://en.wikipedia.org/wiki/Lafayette,_Louisiana" xr:uid="{E6A3FB51-E2E4-4659-88F5-3363658EC616}"/>
    <hyperlink ref="C13" r:id="rId155" location="cite_note-:0-12" display="https://en.wikipedia.org/wiki/List_of_mass_shootings_in_the_United_States - cite_note-:0-12" xr:uid="{4BEE71E7-3F21-4F92-956E-771FDA628487}"/>
    <hyperlink ref="B12" r:id="rId156" tooltip="Chattanooga, Tennessee" display="https://en.wikipedia.org/wiki/Chattanooga,_Tennessee" xr:uid="{23A40B33-EB37-4ED0-9257-E33A6B6F5F88}"/>
    <hyperlink ref="C12" r:id="rId157" location="cite_note-:0-12" display="https://en.wikipedia.org/wiki/List_of_mass_shootings_in_the_United_States - cite_note-:0-12" xr:uid="{45F8DDD3-69A2-4E0C-BC93-621100A71CAD}"/>
    <hyperlink ref="B11" r:id="rId158" tooltip="Charleston, South Carolina" display="https://en.wikipedia.org/wiki/Charleston,_South_Carolina" xr:uid="{15932F0D-EC74-4BE6-86EB-A6852BD9FDD9}"/>
    <hyperlink ref="B10" r:id="rId159" tooltip="Waco, Texas" display="https://en.wikipedia.org/wiki/Waco,_Texas" xr:uid="{FC7F0C20-938D-4BAC-B731-9CB87F14482C}"/>
    <hyperlink ref="B9" r:id="rId160" tooltip="Menasha, Wisconsin" display="https://en.wikipedia.org/wiki/Menasha,_Wisconsin" xr:uid="{D0709AF7-3402-45DB-A39A-AF981A345E07}"/>
    <hyperlink ref="F9" r:id="rId161" location="cite_note-99" display="https://en.wikipedia.org/wiki/List_of_mass_shootings_in_the_United_States - cite_note-99" xr:uid="{F573A772-33FA-4ACB-ABF4-1BCF95AEF678}"/>
    <hyperlink ref="B8" r:id="rId162" tooltip="Tyrone, Missouri" display="https://en.wikipedia.org/wiki/Tyrone,_Missouri" xr:uid="{8BB3C7CD-731C-48B1-B93A-172DDC92EC3D}"/>
    <hyperlink ref="C8" r:id="rId163" location="cite_note-:0-12" display="https://en.wikipedia.org/wiki/List_of_mass_shootings_in_the_United_States - cite_note-:0-12" xr:uid="{10C90204-A65F-4B47-9E5A-D9EC8C9C14CA}"/>
    <hyperlink ref="B7" r:id="rId164" tooltip="Montgomery County, Pennsylvania" display="https://en.wikipedia.org/wiki/Montgomery_County,_Pennsylvania" xr:uid="{A785C2DF-898F-4966-BF0A-B9AFF920C923}"/>
    <hyperlink ref="B6" r:id="rId165" tooltip="Portland, Oregon" display="https://en.wikipedia.org/wiki/Portland,_Oregon" xr:uid="{05162584-8C93-4962-8BE6-DC8397BF03F8}"/>
    <hyperlink ref="B5" r:id="rId166" tooltip="Marysville, Washington" display="https://en.wikipedia.org/wiki/Marysville,_Washington" xr:uid="{F45BDB34-A3FD-4DC4-8377-BE48C937204D}"/>
    <hyperlink ref="C5" r:id="rId167" location="cite_note-:0-12" display="https://en.wikipedia.org/wiki/List_of_mass_shootings_in_the_United_States - cite_note-:0-12" xr:uid="{9C8C556F-D5AB-4099-9211-79B6A7F22A20}"/>
    <hyperlink ref="B4" r:id="rId168" tooltip="Spring, Texas" display="https://en.wikipedia.org/wiki/Spring,_Texas" xr:uid="{38FAC91A-DC23-440E-AE21-FAD10BDC9C18}"/>
    <hyperlink ref="B3" r:id="rId169" tooltip="Isla Vista, California" display="https://en.wikipedia.org/wiki/Isla_Vista,_California" xr:uid="{E4DFBDDE-6118-4315-8B10-07A0AF7ADFE8}"/>
    <hyperlink ref="D3" r:id="rId170" location="cite_note-106" display="https://en.wikipedia.org/wiki/List_of_mass_shootings_in_the_United_States - cite_note-106" xr:uid="{54095253-CF2F-45BC-A7F3-233E04E4D01E}"/>
    <hyperlink ref="B2" r:id="rId171" tooltip="Fort Hood" display="https://en.wikipedia.org/wiki/Fort_Hood" xr:uid="{BF25C58F-D1E9-4B14-B030-A1F78E339215}"/>
    <hyperlink ref="C2" r:id="rId172" location="cite_note-:0-12" display="https://en.wikipedia.org/wiki/List_of_mass_shootings_in_the_United_States - cite_note-:0-12" xr:uid="{A016BE2A-D6C7-420B-8A3C-8DC699752C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2051-CC25-4991-AE9E-CB55ECFCD1F4}">
  <dimension ref="A1:BC135"/>
  <sheetViews>
    <sheetView topLeftCell="A13" zoomScaleNormal="100" workbookViewId="0">
      <selection activeCell="F52" sqref="F52"/>
    </sheetView>
  </sheetViews>
  <sheetFormatPr defaultRowHeight="14.4" x14ac:dyDescent="0.3"/>
  <cols>
    <col min="2" max="2" width="10.5546875" bestFit="1" customWidth="1"/>
    <col min="3" max="3" width="16.77734375" customWidth="1"/>
    <col min="4" max="4" width="15.44140625" bestFit="1" customWidth="1"/>
    <col min="5" max="6" width="14.5546875" customWidth="1"/>
    <col min="7" max="7" width="9" bestFit="1" customWidth="1"/>
    <col min="9" max="9" width="23" bestFit="1" customWidth="1"/>
    <col min="10" max="10" width="19.88671875" bestFit="1" customWidth="1"/>
    <col min="25" max="25" width="15.109375" bestFit="1" customWidth="1"/>
    <col min="26" max="26" width="15.77734375" bestFit="1" customWidth="1"/>
    <col min="27" max="27" width="3" bestFit="1" customWidth="1"/>
    <col min="28" max="28" width="2" bestFit="1" customWidth="1"/>
    <col min="29" max="29" width="3" bestFit="1" customWidth="1"/>
    <col min="30" max="35" width="2" bestFit="1" customWidth="1"/>
    <col min="36" max="52" width="3" bestFit="1" customWidth="1"/>
    <col min="53" max="54" width="4" bestFit="1" customWidth="1"/>
    <col min="55" max="55" width="11" bestFit="1" customWidth="1"/>
  </cols>
  <sheetData>
    <row r="1" spans="1:55" ht="15" thickBot="1" x14ac:dyDescent="0.35">
      <c r="F1" t="s">
        <v>209</v>
      </c>
    </row>
    <row r="2" spans="1:55" ht="28.2" thickBot="1" x14ac:dyDescent="0.35">
      <c r="A2" s="23" t="s">
        <v>253</v>
      </c>
      <c r="B2" s="23" t="s">
        <v>0</v>
      </c>
      <c r="C2" s="67" t="s">
        <v>254</v>
      </c>
      <c r="D2" s="67" t="s">
        <v>255</v>
      </c>
      <c r="F2" s="23" t="s">
        <v>210</v>
      </c>
      <c r="G2" s="23" t="s">
        <v>211</v>
      </c>
    </row>
    <row r="3" spans="1:55" x14ac:dyDescent="0.3">
      <c r="A3">
        <v>1</v>
      </c>
      <c r="B3" s="9">
        <f>SMALL('1. Raw Data'!$A$2:$A$140, '2. Data and Exploration'!A3)</f>
        <v>41731</v>
      </c>
      <c r="C3">
        <f>B4 - B3</f>
        <v>51</v>
      </c>
      <c r="D3">
        <f>SUM($C$3:C3)</f>
        <v>51</v>
      </c>
      <c r="F3">
        <v>0</v>
      </c>
      <c r="G3" s="17">
        <f t="shared" ref="G3:G34" si="0">(A3) / n</f>
        <v>9.9009900990099011E-3</v>
      </c>
    </row>
    <row r="4" spans="1:55" x14ac:dyDescent="0.3">
      <c r="A4">
        <v>2</v>
      </c>
      <c r="B4" s="9">
        <f>SMALL('1. Raw Data'!$A$2:$A$140, '2. Data and Exploration'!A4)</f>
        <v>41782</v>
      </c>
      <c r="C4">
        <f t="shared" ref="C4:C67" si="1">B5 - B4</f>
        <v>47</v>
      </c>
      <c r="D4">
        <f>SUM($C$3:C4)</f>
        <v>98</v>
      </c>
      <c r="F4">
        <f t="shared" ref="F4:F35" si="2">SMALL(days_to_next_inc,A3)</f>
        <v>0</v>
      </c>
      <c r="G4" s="17">
        <f t="shared" si="0"/>
        <v>1.9801980198019802E-2</v>
      </c>
    </row>
    <row r="5" spans="1:55" x14ac:dyDescent="0.3">
      <c r="A5">
        <v>3</v>
      </c>
      <c r="B5" s="9">
        <f>SMALL('1. Raw Data'!$A$2:$A$140, '2. Data and Exploration'!A5)</f>
        <v>41829</v>
      </c>
      <c r="C5">
        <f t="shared" si="1"/>
        <v>107</v>
      </c>
      <c r="D5">
        <f>SUM($C$3:C5)</f>
        <v>205</v>
      </c>
      <c r="F5">
        <f t="shared" si="2"/>
        <v>0</v>
      </c>
      <c r="G5" s="17">
        <f t="shared" si="0"/>
        <v>2.9702970297029702E-2</v>
      </c>
    </row>
    <row r="6" spans="1:55" x14ac:dyDescent="0.3">
      <c r="A6">
        <v>4</v>
      </c>
      <c r="B6" s="9">
        <f>SMALL('1. Raw Data'!$A$2:$A$140, '2. Data and Exploration'!A6)</f>
        <v>41936</v>
      </c>
      <c r="C6">
        <f t="shared" si="1"/>
        <v>49</v>
      </c>
      <c r="D6">
        <f>SUM($C$3:C6)</f>
        <v>254</v>
      </c>
      <c r="F6">
        <f t="shared" si="2"/>
        <v>1</v>
      </c>
      <c r="G6" s="17">
        <f t="shared" si="0"/>
        <v>3.9603960396039604E-2</v>
      </c>
    </row>
    <row r="7" spans="1:55" x14ac:dyDescent="0.3">
      <c r="A7">
        <v>5</v>
      </c>
      <c r="B7" s="9">
        <f>SMALL('1. Raw Data'!$A$2:$A$140, '2. Data and Exploration'!A7)</f>
        <v>41985</v>
      </c>
      <c r="C7">
        <f t="shared" si="1"/>
        <v>3</v>
      </c>
      <c r="D7">
        <f>SUM($C$3:C7)</f>
        <v>257</v>
      </c>
      <c r="F7">
        <f t="shared" si="2"/>
        <v>1</v>
      </c>
      <c r="G7" s="17">
        <f t="shared" si="0"/>
        <v>4.9504950495049507E-2</v>
      </c>
    </row>
    <row r="8" spans="1:55" x14ac:dyDescent="0.3">
      <c r="A8">
        <v>6</v>
      </c>
      <c r="B8" s="9">
        <f>SMALL('1. Raw Data'!$A$2:$A$140, '2. Data and Exploration'!A8)</f>
        <v>41988</v>
      </c>
      <c r="C8">
        <f t="shared" si="1"/>
        <v>73</v>
      </c>
      <c r="D8">
        <f>SUM($C$3:C8)</f>
        <v>330</v>
      </c>
      <c r="F8">
        <f t="shared" si="2"/>
        <v>1</v>
      </c>
      <c r="G8" s="17">
        <f t="shared" si="0"/>
        <v>5.9405940594059403E-2</v>
      </c>
    </row>
    <row r="9" spans="1:55" ht="15" thickBot="1" x14ac:dyDescent="0.35">
      <c r="A9">
        <v>7</v>
      </c>
      <c r="B9" s="9">
        <f>SMALL('1. Raw Data'!$A$2:$A$140, '2. Data and Exploration'!A9)</f>
        <v>42061</v>
      </c>
      <c r="C9">
        <f t="shared" si="1"/>
        <v>66</v>
      </c>
      <c r="D9">
        <f>SUM($C$3:C9)</f>
        <v>396</v>
      </c>
      <c r="F9">
        <f t="shared" si="2"/>
        <v>1</v>
      </c>
      <c r="G9" s="17">
        <f t="shared" si="0"/>
        <v>6.9306930693069313E-2</v>
      </c>
    </row>
    <row r="10" spans="1:55" ht="15" thickBot="1" x14ac:dyDescent="0.35">
      <c r="A10">
        <v>8</v>
      </c>
      <c r="B10" s="9">
        <f>SMALL('1. Raw Data'!$A$2:$A$140, '2. Data and Exploration'!A10)</f>
        <v>42127</v>
      </c>
      <c r="C10">
        <f t="shared" si="1"/>
        <v>14</v>
      </c>
      <c r="D10">
        <f>SUM($C$3:C10)</f>
        <v>410</v>
      </c>
      <c r="F10">
        <f t="shared" si="2"/>
        <v>2</v>
      </c>
      <c r="G10" s="17">
        <f t="shared" si="0"/>
        <v>7.9207920792079209E-2</v>
      </c>
      <c r="I10" s="15" t="s">
        <v>256</v>
      </c>
      <c r="J10" s="16" t="s">
        <v>257</v>
      </c>
    </row>
    <row r="11" spans="1:55" x14ac:dyDescent="0.3">
      <c r="A11">
        <v>9</v>
      </c>
      <c r="B11" s="9">
        <f>SMALL('1. Raw Data'!$A$2:$A$140, '2. Data and Exploration'!A11)</f>
        <v>42141</v>
      </c>
      <c r="C11">
        <f t="shared" si="1"/>
        <v>31</v>
      </c>
      <c r="D11">
        <f>SUM($C$3:C11)</f>
        <v>441</v>
      </c>
      <c r="F11">
        <f t="shared" si="2"/>
        <v>2</v>
      </c>
      <c r="G11" s="17">
        <f t="shared" si="0"/>
        <v>8.9108910891089105E-2</v>
      </c>
      <c r="I11" s="11">
        <v>2014</v>
      </c>
      <c r="J11" s="12">
        <f t="array" ref="J11">SUM(IF(YEAR($B$3:$B$104) = I11, 1, 0))</f>
        <v>6</v>
      </c>
    </row>
    <row r="12" spans="1:55" x14ac:dyDescent="0.3">
      <c r="A12">
        <v>10</v>
      </c>
      <c r="B12" s="9">
        <f>SMALL('1. Raw Data'!$A$2:$A$140, '2. Data and Exploration'!A12)</f>
        <v>42172</v>
      </c>
      <c r="C12">
        <f t="shared" si="1"/>
        <v>29</v>
      </c>
      <c r="D12">
        <f>SUM($C$3:C12)</f>
        <v>470</v>
      </c>
      <c r="F12">
        <f t="shared" si="2"/>
        <v>3</v>
      </c>
      <c r="G12" s="17">
        <f t="shared" si="0"/>
        <v>9.9009900990099015E-2</v>
      </c>
      <c r="I12" s="11">
        <v>2015</v>
      </c>
      <c r="J12" s="12">
        <f t="array" ref="J12">SUM(IF(YEAR($B$3:$B$104) = I12, 1, 0))</f>
        <v>13</v>
      </c>
      <c r="Y12" s="46" t="s">
        <v>235</v>
      </c>
      <c r="Z12" s="46" t="s">
        <v>234</v>
      </c>
    </row>
    <row r="13" spans="1:55" x14ac:dyDescent="0.3">
      <c r="A13">
        <v>11</v>
      </c>
      <c r="B13" s="9">
        <f>SMALL('1. Raw Data'!$A$2:$A$140, '2. Data and Exploration'!A13)</f>
        <v>42201</v>
      </c>
      <c r="C13">
        <f t="shared" si="1"/>
        <v>7</v>
      </c>
      <c r="D13">
        <f>SUM($C$3:C13)</f>
        <v>477</v>
      </c>
      <c r="F13">
        <f t="shared" si="2"/>
        <v>3</v>
      </c>
      <c r="G13" s="17">
        <f t="shared" si="0"/>
        <v>0.10891089108910891</v>
      </c>
      <c r="I13" s="11">
        <v>2016</v>
      </c>
      <c r="J13" s="12">
        <f t="array" ref="J13">SUM(IF(YEAR($B$3:$B$104) = I13, 1, 0))</f>
        <v>14</v>
      </c>
      <c r="Y13" s="46" t="s">
        <v>232</v>
      </c>
      <c r="Z13">
        <v>0</v>
      </c>
      <c r="AA13">
        <v>1</v>
      </c>
      <c r="AB13">
        <v>2</v>
      </c>
      <c r="AC13">
        <v>3</v>
      </c>
      <c r="AD13">
        <v>4</v>
      </c>
      <c r="AE13">
        <v>5</v>
      </c>
      <c r="AF13">
        <v>6</v>
      </c>
      <c r="AG13">
        <v>7</v>
      </c>
      <c r="AH13">
        <v>8</v>
      </c>
      <c r="AI13">
        <v>9</v>
      </c>
      <c r="AJ13">
        <v>10</v>
      </c>
      <c r="AK13">
        <v>11</v>
      </c>
      <c r="AL13">
        <v>12</v>
      </c>
      <c r="AM13">
        <v>13</v>
      </c>
      <c r="AN13">
        <v>14</v>
      </c>
      <c r="AO13">
        <v>15</v>
      </c>
      <c r="AP13">
        <v>16</v>
      </c>
      <c r="AQ13">
        <v>17</v>
      </c>
      <c r="AR13">
        <v>18</v>
      </c>
      <c r="AS13">
        <v>20</v>
      </c>
      <c r="AT13">
        <v>21</v>
      </c>
      <c r="AU13">
        <v>22</v>
      </c>
      <c r="AV13">
        <v>23</v>
      </c>
      <c r="AW13">
        <v>25</v>
      </c>
      <c r="AX13">
        <v>27</v>
      </c>
      <c r="AY13">
        <v>28</v>
      </c>
      <c r="AZ13">
        <v>53</v>
      </c>
      <c r="BA13">
        <v>411</v>
      </c>
      <c r="BB13" t="s">
        <v>66</v>
      </c>
      <c r="BC13" t="s">
        <v>233</v>
      </c>
    </row>
    <row r="14" spans="1:55" x14ac:dyDescent="0.3">
      <c r="A14">
        <v>12</v>
      </c>
      <c r="B14" s="9">
        <f>SMALL('1. Raw Data'!$A$2:$A$140, '2. Data and Exploration'!A14)</f>
        <v>42208</v>
      </c>
      <c r="C14">
        <f t="shared" si="1"/>
        <v>16</v>
      </c>
      <c r="D14">
        <f>SUM($C$3:C14)</f>
        <v>493</v>
      </c>
      <c r="F14">
        <f t="shared" si="2"/>
        <v>3</v>
      </c>
      <c r="G14" s="17">
        <f t="shared" si="0"/>
        <v>0.11881188118811881</v>
      </c>
      <c r="I14" s="11">
        <v>2017</v>
      </c>
      <c r="J14" s="12">
        <f t="array" ref="J14">SUM(IF(YEAR($B$3:$B$104) = I14, 1, 0))</f>
        <v>22</v>
      </c>
      <c r="Y14" s="43">
        <v>0</v>
      </c>
      <c r="Z14" s="47"/>
      <c r="AA14" s="47"/>
      <c r="AB14" s="47"/>
      <c r="AC14" s="47"/>
      <c r="AD14" s="47">
        <v>1</v>
      </c>
      <c r="AE14" s="47">
        <v>1</v>
      </c>
      <c r="AF14" s="47"/>
      <c r="AG14" s="47"/>
      <c r="AH14" s="47">
        <v>1</v>
      </c>
      <c r="AI14" s="47"/>
      <c r="AJ14" s="47"/>
      <c r="AK14" s="47"/>
      <c r="AL14" s="47"/>
      <c r="AM14" s="47"/>
      <c r="AN14" s="47"/>
      <c r="AO14" s="47"/>
      <c r="AP14" s="47"/>
      <c r="AQ14" s="47"/>
      <c r="AR14" s="47"/>
      <c r="AS14" s="47"/>
      <c r="AT14" s="47"/>
      <c r="AU14" s="47"/>
      <c r="AV14" s="47"/>
      <c r="AW14" s="47"/>
      <c r="AX14" s="47"/>
      <c r="AY14" s="47">
        <v>1</v>
      </c>
      <c r="AZ14" s="47"/>
      <c r="BA14" s="47"/>
      <c r="BB14" s="47"/>
      <c r="BC14" s="47">
        <v>4</v>
      </c>
    </row>
    <row r="15" spans="1:55" x14ac:dyDescent="0.3">
      <c r="A15">
        <v>13</v>
      </c>
      <c r="B15" s="9">
        <f>SMALL('1. Raw Data'!$A$2:$A$140, '2. Data and Exploration'!A15)</f>
        <v>42224</v>
      </c>
      <c r="C15">
        <f t="shared" si="1"/>
        <v>18</v>
      </c>
      <c r="D15">
        <f>SUM($C$3:C15)</f>
        <v>511</v>
      </c>
      <c r="F15">
        <f t="shared" si="2"/>
        <v>3</v>
      </c>
      <c r="G15" s="17">
        <f t="shared" si="0"/>
        <v>0.12871287128712872</v>
      </c>
      <c r="I15" s="11">
        <v>2018</v>
      </c>
      <c r="J15" s="12">
        <f t="array" ref="J15">SUM(IF(YEAR($B$3:$B$104) = I15, 1, 0))</f>
        <v>19</v>
      </c>
      <c r="Y15" s="43">
        <v>1</v>
      </c>
      <c r="Z15" s="47"/>
      <c r="AA15" s="47"/>
      <c r="AB15" s="47"/>
      <c r="AC15" s="47">
        <v>1</v>
      </c>
      <c r="AD15" s="47">
        <v>3</v>
      </c>
      <c r="AE15" s="47"/>
      <c r="AF15" s="47">
        <v>1</v>
      </c>
      <c r="AG15" s="47"/>
      <c r="AH15" s="47">
        <v>2</v>
      </c>
      <c r="AI15" s="47"/>
      <c r="AJ15" s="47"/>
      <c r="AK15" s="47"/>
      <c r="AL15" s="47"/>
      <c r="AM15" s="47"/>
      <c r="AN15" s="47"/>
      <c r="AO15" s="47"/>
      <c r="AP15" s="47"/>
      <c r="AQ15" s="47"/>
      <c r="AR15" s="47"/>
      <c r="AS15" s="47"/>
      <c r="AT15" s="47">
        <v>1</v>
      </c>
      <c r="AU15" s="47">
        <v>1</v>
      </c>
      <c r="AV15" s="47"/>
      <c r="AW15" s="47"/>
      <c r="AX15" s="47"/>
      <c r="AY15" s="47"/>
      <c r="AZ15" s="47"/>
      <c r="BA15" s="47"/>
      <c r="BB15" s="47"/>
      <c r="BC15" s="47">
        <v>9</v>
      </c>
    </row>
    <row r="16" spans="1:55" x14ac:dyDescent="0.3">
      <c r="A16">
        <v>14</v>
      </c>
      <c r="B16" s="9">
        <f>SMALL('1. Raw Data'!$A$2:$A$140, '2. Data and Exploration'!A16)</f>
        <v>42242</v>
      </c>
      <c r="C16">
        <f t="shared" si="1"/>
        <v>36</v>
      </c>
      <c r="D16">
        <f>SUM($C$3:C16)</f>
        <v>547</v>
      </c>
      <c r="F16">
        <f t="shared" si="2"/>
        <v>3</v>
      </c>
      <c r="G16" s="17">
        <f t="shared" si="0"/>
        <v>0.13861386138613863</v>
      </c>
      <c r="I16" s="11">
        <v>2019</v>
      </c>
      <c r="J16" s="12">
        <f t="array" ref="J16">SUM(IF(YEAR($B$3:$B$104) = I16, 1, 0))</f>
        <v>18</v>
      </c>
      <c r="Y16" s="43">
        <v>2</v>
      </c>
      <c r="Z16" s="47"/>
      <c r="AA16" s="47"/>
      <c r="AB16" s="47"/>
      <c r="AC16" s="47">
        <v>1</v>
      </c>
      <c r="AD16" s="47">
        <v>2</v>
      </c>
      <c r="AE16" s="47"/>
      <c r="AF16" s="47">
        <v>2</v>
      </c>
      <c r="AG16" s="47"/>
      <c r="AH16" s="47"/>
      <c r="AI16" s="47"/>
      <c r="AJ16" s="47">
        <v>1</v>
      </c>
      <c r="AK16" s="47"/>
      <c r="AL16" s="47"/>
      <c r="AM16" s="47"/>
      <c r="AN16" s="47">
        <v>1</v>
      </c>
      <c r="AO16" s="47"/>
      <c r="AP16" s="47">
        <v>2</v>
      </c>
      <c r="AQ16" s="47"/>
      <c r="AR16" s="47"/>
      <c r="AS16" s="47"/>
      <c r="AT16" s="47"/>
      <c r="AU16" s="47"/>
      <c r="AV16" s="47"/>
      <c r="AW16" s="47"/>
      <c r="AX16" s="47"/>
      <c r="AY16" s="47"/>
      <c r="AZ16" s="47"/>
      <c r="BA16" s="47"/>
      <c r="BB16" s="47"/>
      <c r="BC16" s="47">
        <v>9</v>
      </c>
    </row>
    <row r="17" spans="1:55" x14ac:dyDescent="0.3">
      <c r="A17">
        <v>15</v>
      </c>
      <c r="B17" s="9">
        <f>SMALL('1. Raw Data'!$A$2:$A$140, '2. Data and Exploration'!A17)</f>
        <v>42278</v>
      </c>
      <c r="C17">
        <f t="shared" si="1"/>
        <v>30</v>
      </c>
      <c r="D17">
        <f>SUM($C$3:C17)</f>
        <v>577</v>
      </c>
      <c r="F17">
        <f t="shared" si="2"/>
        <v>4</v>
      </c>
      <c r="G17" s="17">
        <f t="shared" si="0"/>
        <v>0.14851485148514851</v>
      </c>
      <c r="I17" s="11">
        <v>2020</v>
      </c>
      <c r="J17" s="12">
        <f t="array" ref="J17">SUM(IF(YEAR($B$3:$B$104) = I17, 1, 0))</f>
        <v>6</v>
      </c>
      <c r="Y17" s="43">
        <v>3</v>
      </c>
      <c r="Z17" s="47"/>
      <c r="AA17" s="47">
        <v>4</v>
      </c>
      <c r="AB17" s="47">
        <v>2</v>
      </c>
      <c r="AC17" s="47">
        <v>4</v>
      </c>
      <c r="AD17" s="47"/>
      <c r="AE17" s="47">
        <v>1</v>
      </c>
      <c r="AF17" s="47"/>
      <c r="AG17" s="47"/>
      <c r="AH17" s="47"/>
      <c r="AI17" s="47">
        <v>2</v>
      </c>
      <c r="AJ17" s="47"/>
      <c r="AK17" s="47">
        <v>1</v>
      </c>
      <c r="AL17" s="47"/>
      <c r="AM17" s="47"/>
      <c r="AN17" s="47"/>
      <c r="AO17" s="47"/>
      <c r="AP17" s="47"/>
      <c r="AQ17" s="47"/>
      <c r="AR17" s="47"/>
      <c r="AS17" s="47"/>
      <c r="AT17" s="47"/>
      <c r="AU17" s="47"/>
      <c r="AV17" s="47"/>
      <c r="AW17" s="47"/>
      <c r="AX17" s="47"/>
      <c r="AY17" s="47"/>
      <c r="AZ17" s="47"/>
      <c r="BA17" s="47"/>
      <c r="BB17" s="47"/>
      <c r="BC17" s="47">
        <v>14</v>
      </c>
    </row>
    <row r="18" spans="1:55" ht="15" thickBot="1" x14ac:dyDescent="0.35">
      <c r="A18">
        <v>16</v>
      </c>
      <c r="B18" s="9">
        <f>SMALL('1. Raw Data'!$A$2:$A$140, '2. Data and Exploration'!A18)</f>
        <v>42308</v>
      </c>
      <c r="C18">
        <f t="shared" si="1"/>
        <v>23</v>
      </c>
      <c r="D18">
        <f>SUM($C$3:C18)</f>
        <v>600</v>
      </c>
      <c r="F18">
        <f t="shared" si="2"/>
        <v>4</v>
      </c>
      <c r="G18" s="17">
        <f t="shared" si="0"/>
        <v>0.15841584158415842</v>
      </c>
      <c r="I18" s="13">
        <v>2021</v>
      </c>
      <c r="J18" s="14">
        <f t="array" ref="J18">SUM(IF(YEAR($B$3:$B$104) = I18, 1, 0))</f>
        <v>4</v>
      </c>
      <c r="Y18" s="43">
        <v>4</v>
      </c>
      <c r="Z18" s="47">
        <v>6</v>
      </c>
      <c r="AA18" s="47">
        <v>2</v>
      </c>
      <c r="AB18" s="47">
        <v>2</v>
      </c>
      <c r="AC18" s="47">
        <v>2</v>
      </c>
      <c r="AD18" s="47"/>
      <c r="AE18" s="47">
        <v>1</v>
      </c>
      <c r="AF18" s="47">
        <v>1</v>
      </c>
      <c r="AG18" s="47"/>
      <c r="AH18" s="47">
        <v>1</v>
      </c>
      <c r="AI18" s="47"/>
      <c r="AJ18" s="47"/>
      <c r="AK18" s="47"/>
      <c r="AL18" s="47"/>
      <c r="AM18" s="47"/>
      <c r="AN18" s="47">
        <v>2</v>
      </c>
      <c r="AO18" s="47">
        <v>1</v>
      </c>
      <c r="AP18" s="47"/>
      <c r="AQ18" s="47"/>
      <c r="AR18" s="47"/>
      <c r="AS18" s="47"/>
      <c r="AT18" s="47"/>
      <c r="AU18" s="47"/>
      <c r="AV18" s="47"/>
      <c r="AW18" s="47"/>
      <c r="AX18" s="47"/>
      <c r="AY18" s="47"/>
      <c r="AZ18" s="47"/>
      <c r="BA18" s="47"/>
      <c r="BB18" s="47"/>
      <c r="BC18" s="47">
        <v>18</v>
      </c>
    </row>
    <row r="19" spans="1:55" x14ac:dyDescent="0.3">
      <c r="A19">
        <v>17</v>
      </c>
      <c r="B19" s="9">
        <f>SMALL('1. Raw Data'!$A$2:$A$140, '2. Data and Exploration'!A19)</f>
        <v>42331</v>
      </c>
      <c r="C19">
        <f t="shared" si="1"/>
        <v>4</v>
      </c>
      <c r="D19">
        <f>SUM($C$3:C19)</f>
        <v>604</v>
      </c>
      <c r="F19">
        <f t="shared" si="2"/>
        <v>4</v>
      </c>
      <c r="G19" s="17">
        <f t="shared" si="0"/>
        <v>0.16831683168316833</v>
      </c>
      <c r="Y19" s="43">
        <v>5</v>
      </c>
      <c r="Z19" s="47">
        <v>6</v>
      </c>
      <c r="AA19" s="47">
        <v>2</v>
      </c>
      <c r="AB19" s="47">
        <v>1</v>
      </c>
      <c r="AC19" s="47"/>
      <c r="AD19" s="47">
        <v>1</v>
      </c>
      <c r="AE19" s="47"/>
      <c r="AF19" s="47">
        <v>1</v>
      </c>
      <c r="AG19" s="47"/>
      <c r="AH19" s="47"/>
      <c r="AI19" s="47"/>
      <c r="AJ19" s="47"/>
      <c r="AK19" s="47"/>
      <c r="AL19" s="47"/>
      <c r="AM19" s="47"/>
      <c r="AN19" s="47"/>
      <c r="AO19" s="47"/>
      <c r="AP19" s="47"/>
      <c r="AQ19" s="47"/>
      <c r="AR19" s="47"/>
      <c r="AS19" s="47"/>
      <c r="AT19" s="47"/>
      <c r="AU19" s="47"/>
      <c r="AV19" s="47"/>
      <c r="AW19" s="47"/>
      <c r="AX19" s="47"/>
      <c r="AY19" s="47"/>
      <c r="AZ19" s="47"/>
      <c r="BA19" s="47"/>
      <c r="BB19" s="47"/>
      <c r="BC19" s="47">
        <v>11</v>
      </c>
    </row>
    <row r="20" spans="1:55" ht="15" thickBot="1" x14ac:dyDescent="0.35">
      <c r="A20">
        <v>18</v>
      </c>
      <c r="B20" s="9">
        <f>SMALL('1. Raw Data'!$A$2:$A$140, '2. Data and Exploration'!A20)</f>
        <v>42335</v>
      </c>
      <c r="C20">
        <f t="shared" si="1"/>
        <v>5</v>
      </c>
      <c r="D20">
        <f>SUM($C$3:C20)</f>
        <v>609</v>
      </c>
      <c r="F20">
        <f t="shared" si="2"/>
        <v>4</v>
      </c>
      <c r="G20" s="17">
        <f t="shared" si="0"/>
        <v>0.17821782178217821</v>
      </c>
      <c r="Y20" s="43">
        <v>6</v>
      </c>
      <c r="Z20" s="47">
        <v>3</v>
      </c>
      <c r="AA20" s="47">
        <v>3</v>
      </c>
      <c r="AB20" s="47">
        <v>2</v>
      </c>
      <c r="AC20" s="47">
        <v>2</v>
      </c>
      <c r="AD20" s="47"/>
      <c r="AE20" s="47"/>
      <c r="AF20" s="47">
        <v>1</v>
      </c>
      <c r="AG20" s="47"/>
      <c r="AH20" s="47"/>
      <c r="AI20" s="47"/>
      <c r="AJ20" s="47"/>
      <c r="AK20" s="47">
        <v>1</v>
      </c>
      <c r="AL20" s="47">
        <v>1</v>
      </c>
      <c r="AM20" s="47"/>
      <c r="AN20" s="47"/>
      <c r="AO20" s="47"/>
      <c r="AP20" s="47"/>
      <c r="AQ20" s="47"/>
      <c r="AR20" s="47"/>
      <c r="AS20" s="47"/>
      <c r="AT20" s="47"/>
      <c r="AU20" s="47"/>
      <c r="AV20" s="47"/>
      <c r="AW20" s="47"/>
      <c r="AX20" s="47"/>
      <c r="AY20" s="47"/>
      <c r="AZ20" s="47"/>
      <c r="BA20" s="47"/>
      <c r="BB20" s="47"/>
      <c r="BC20" s="47">
        <v>13</v>
      </c>
    </row>
    <row r="21" spans="1:55" x14ac:dyDescent="0.3">
      <c r="A21">
        <v>19</v>
      </c>
      <c r="B21" s="9">
        <f>SMALL('1. Raw Data'!$A$2:$A$140, '2. Data and Exploration'!A21)</f>
        <v>42340</v>
      </c>
      <c r="C21">
        <f t="shared" si="1"/>
        <v>80</v>
      </c>
      <c r="D21">
        <f>SUM($C$3:C21)</f>
        <v>689</v>
      </c>
      <c r="F21">
        <f t="shared" si="2"/>
        <v>4</v>
      </c>
      <c r="G21" s="17">
        <f t="shared" si="0"/>
        <v>0.18811881188118812</v>
      </c>
      <c r="I21" s="10" t="s">
        <v>207</v>
      </c>
      <c r="J21" s="18">
        <f>MIN(days_to_next_inc)</f>
        <v>0</v>
      </c>
      <c r="Y21" s="43">
        <v>7</v>
      </c>
      <c r="Z21" s="47">
        <v>1</v>
      </c>
      <c r="AA21" s="47"/>
      <c r="AB21" s="47"/>
      <c r="AC21" s="47"/>
      <c r="AD21" s="47"/>
      <c r="AE21" s="47"/>
      <c r="AF21" s="47"/>
      <c r="AG21" s="47"/>
      <c r="AH21" s="47"/>
      <c r="AI21" s="47"/>
      <c r="AJ21" s="47"/>
      <c r="AK21" s="47"/>
      <c r="AL21" s="47"/>
      <c r="AM21" s="47">
        <v>1</v>
      </c>
      <c r="AN21" s="47"/>
      <c r="AO21" s="47"/>
      <c r="AP21" s="47"/>
      <c r="AQ21" s="47"/>
      <c r="AR21" s="47"/>
      <c r="AS21" s="47"/>
      <c r="AT21" s="47"/>
      <c r="AU21" s="47"/>
      <c r="AV21" s="47"/>
      <c r="AW21" s="47"/>
      <c r="AX21" s="47"/>
      <c r="AY21" s="47"/>
      <c r="AZ21" s="47"/>
      <c r="BA21" s="47"/>
      <c r="BB21" s="47"/>
      <c r="BC21" s="47">
        <v>2</v>
      </c>
    </row>
    <row r="22" spans="1:55" x14ac:dyDescent="0.3">
      <c r="A22">
        <v>20</v>
      </c>
      <c r="B22" s="9">
        <f>SMALL('1. Raw Data'!$A$2:$A$140, '2. Data and Exploration'!A22)</f>
        <v>42420</v>
      </c>
      <c r="C22">
        <f t="shared" si="1"/>
        <v>5</v>
      </c>
      <c r="D22">
        <f>SUM($C$3:C22)</f>
        <v>694</v>
      </c>
      <c r="F22">
        <f t="shared" si="2"/>
        <v>5</v>
      </c>
      <c r="G22" s="17">
        <f t="shared" si="0"/>
        <v>0.19801980198019803</v>
      </c>
      <c r="I22" s="19" t="s">
        <v>258</v>
      </c>
      <c r="J22" s="20">
        <f>AVERAGE(days_to_next_inc)</f>
        <v>25.14851485148515</v>
      </c>
      <c r="Y22" s="43">
        <v>8</v>
      </c>
      <c r="Z22" s="47">
        <v>3</v>
      </c>
      <c r="AA22" s="47">
        <v>3</v>
      </c>
      <c r="AB22" s="47"/>
      <c r="AC22" s="47"/>
      <c r="AD22" s="47"/>
      <c r="AE22" s="47"/>
      <c r="AF22" s="47"/>
      <c r="AG22" s="47"/>
      <c r="AH22" s="47"/>
      <c r="AI22" s="47"/>
      <c r="AJ22" s="47"/>
      <c r="AK22" s="47"/>
      <c r="AL22" s="47"/>
      <c r="AM22" s="47"/>
      <c r="AN22" s="47"/>
      <c r="AO22" s="47"/>
      <c r="AP22" s="47"/>
      <c r="AQ22" s="47"/>
      <c r="AR22" s="47"/>
      <c r="AS22" s="47"/>
      <c r="AT22" s="47"/>
      <c r="AU22" s="47"/>
      <c r="AV22" s="47"/>
      <c r="AW22" s="47">
        <v>1</v>
      </c>
      <c r="AX22" s="47"/>
      <c r="AY22" s="47"/>
      <c r="AZ22" s="47"/>
      <c r="BA22" s="47"/>
      <c r="BB22" s="47"/>
      <c r="BC22" s="47">
        <v>7</v>
      </c>
    </row>
    <row r="23" spans="1:55" x14ac:dyDescent="0.3">
      <c r="A23">
        <v>21</v>
      </c>
      <c r="B23" s="9">
        <f>SMALL('1. Raw Data'!$A$2:$A$140, '2. Data and Exploration'!A23)</f>
        <v>42425</v>
      </c>
      <c r="C23">
        <f t="shared" si="1"/>
        <v>11</v>
      </c>
      <c r="D23">
        <f>SUM($C$3:C23)</f>
        <v>705</v>
      </c>
      <c r="F23">
        <f t="shared" si="2"/>
        <v>5</v>
      </c>
      <c r="G23" s="17">
        <f t="shared" si="0"/>
        <v>0.20792079207920791</v>
      </c>
      <c r="I23" s="19" t="s">
        <v>259</v>
      </c>
      <c r="J23" s="12">
        <f>MEDIAN(days_to_next_inc)</f>
        <v>17</v>
      </c>
      <c r="Y23" s="43">
        <v>9</v>
      </c>
      <c r="Z23" s="47"/>
      <c r="AA23" s="47">
        <v>2</v>
      </c>
      <c r="AB23" s="47"/>
      <c r="AC23" s="47"/>
      <c r="AD23" s="47"/>
      <c r="AE23" s="47"/>
      <c r="AF23" s="47"/>
      <c r="AG23" s="47"/>
      <c r="AH23" s="47"/>
      <c r="AI23" s="47"/>
      <c r="AJ23" s="47"/>
      <c r="AK23" s="47"/>
      <c r="AL23" s="47"/>
      <c r="AM23" s="47"/>
      <c r="AN23" s="47"/>
      <c r="AO23" s="47"/>
      <c r="AP23" s="47"/>
      <c r="AQ23" s="47"/>
      <c r="AR23" s="47">
        <v>1</v>
      </c>
      <c r="AS23" s="47"/>
      <c r="AT23" s="47"/>
      <c r="AU23" s="47"/>
      <c r="AV23" s="47"/>
      <c r="AW23" s="47"/>
      <c r="AX23" s="47"/>
      <c r="AY23" s="47"/>
      <c r="AZ23" s="47"/>
      <c r="BA23" s="47"/>
      <c r="BB23" s="47"/>
      <c r="BC23" s="47">
        <v>3</v>
      </c>
    </row>
    <row r="24" spans="1:55" x14ac:dyDescent="0.3">
      <c r="A24">
        <v>22</v>
      </c>
      <c r="B24" s="9">
        <f>SMALL('1. Raw Data'!$A$2:$A$140, '2. Data and Exploration'!A24)</f>
        <v>42436</v>
      </c>
      <c r="C24">
        <f t="shared" si="1"/>
        <v>2</v>
      </c>
      <c r="D24">
        <f>SUM($C$3:C24)</f>
        <v>707</v>
      </c>
      <c r="F24">
        <f t="shared" si="2"/>
        <v>5</v>
      </c>
      <c r="G24" s="17">
        <f t="shared" si="0"/>
        <v>0.21782178217821782</v>
      </c>
      <c r="I24" s="19" t="s">
        <v>208</v>
      </c>
      <c r="J24" s="12">
        <f>MAX(days_to_next_inc)</f>
        <v>165</v>
      </c>
      <c r="Y24" s="43">
        <v>10</v>
      </c>
      <c r="Z24" s="47"/>
      <c r="AA24" s="47"/>
      <c r="AB24" s="47"/>
      <c r="AC24" s="47"/>
      <c r="AD24" s="47"/>
      <c r="AE24" s="47"/>
      <c r="AF24" s="47"/>
      <c r="AG24" s="47"/>
      <c r="AH24" s="47">
        <v>1</v>
      </c>
      <c r="AI24" s="47"/>
      <c r="AJ24" s="47"/>
      <c r="AK24" s="47"/>
      <c r="AL24" s="47"/>
      <c r="AM24" s="47"/>
      <c r="AN24" s="47">
        <v>1</v>
      </c>
      <c r="AO24" s="47"/>
      <c r="AP24" s="47"/>
      <c r="AQ24" s="47"/>
      <c r="AR24" s="47"/>
      <c r="AS24" s="47"/>
      <c r="AT24" s="47"/>
      <c r="AU24" s="47"/>
      <c r="AV24" s="47"/>
      <c r="AW24" s="47"/>
      <c r="AX24" s="47">
        <v>1</v>
      </c>
      <c r="AY24" s="47"/>
      <c r="AZ24" s="47"/>
      <c r="BA24" s="47"/>
      <c r="BB24" s="47"/>
      <c r="BC24" s="47">
        <v>3</v>
      </c>
    </row>
    <row r="25" spans="1:55" x14ac:dyDescent="0.3">
      <c r="A25">
        <v>23</v>
      </c>
      <c r="B25" s="9">
        <f>SMALL('1. Raw Data'!$A$2:$A$140, '2. Data and Exploration'!A25)</f>
        <v>42438</v>
      </c>
      <c r="C25">
        <f t="shared" si="1"/>
        <v>43</v>
      </c>
      <c r="D25">
        <f>SUM($C$3:C25)</f>
        <v>750</v>
      </c>
      <c r="F25">
        <f t="shared" si="2"/>
        <v>5</v>
      </c>
      <c r="G25" s="17">
        <f t="shared" si="0"/>
        <v>0.22772277227722773</v>
      </c>
      <c r="I25" s="21" t="s">
        <v>260</v>
      </c>
      <c r="J25" s="20">
        <f>_xlfn.STDEV.S(days_to_next_inc)</f>
        <v>26.69096706326463</v>
      </c>
      <c r="Y25" s="43">
        <v>11</v>
      </c>
      <c r="Z25" s="47"/>
      <c r="AA25" s="47"/>
      <c r="AB25" s="47"/>
      <c r="AC25" s="47"/>
      <c r="AD25" s="47"/>
      <c r="AE25" s="47"/>
      <c r="AF25" s="47"/>
      <c r="AG25" s="47">
        <v>1</v>
      </c>
      <c r="AH25" s="47"/>
      <c r="AI25" s="47"/>
      <c r="AJ25" s="47"/>
      <c r="AK25" s="47"/>
      <c r="AL25" s="47"/>
      <c r="AM25" s="47"/>
      <c r="AN25" s="47"/>
      <c r="AO25" s="47"/>
      <c r="AP25" s="47"/>
      <c r="AQ25" s="47"/>
      <c r="AR25" s="47"/>
      <c r="AS25" s="47"/>
      <c r="AT25" s="47"/>
      <c r="AU25" s="47"/>
      <c r="AV25" s="47"/>
      <c r="AW25" s="47"/>
      <c r="AX25" s="47"/>
      <c r="AY25" s="47"/>
      <c r="AZ25" s="47"/>
      <c r="BA25" s="47"/>
      <c r="BB25" s="47"/>
      <c r="BC25" s="47">
        <v>1</v>
      </c>
    </row>
    <row r="26" spans="1:55" ht="15" thickBot="1" x14ac:dyDescent="0.35">
      <c r="A26">
        <v>24</v>
      </c>
      <c r="B26" s="9">
        <f>SMALL('1. Raw Data'!$A$2:$A$140, '2. Data and Exploration'!A26)</f>
        <v>42481</v>
      </c>
      <c r="C26">
        <f t="shared" si="1"/>
        <v>14</v>
      </c>
      <c r="D26">
        <f>SUM($C$3:C26)</f>
        <v>764</v>
      </c>
      <c r="F26">
        <f t="shared" si="2"/>
        <v>5</v>
      </c>
      <c r="G26" s="17">
        <f t="shared" si="0"/>
        <v>0.23762376237623761</v>
      </c>
      <c r="I26" s="22" t="s">
        <v>261</v>
      </c>
      <c r="J26" s="24">
        <f>COUNT(C3:C103)</f>
        <v>101</v>
      </c>
      <c r="Y26" s="43">
        <v>13</v>
      </c>
      <c r="Z26" s="47"/>
      <c r="AA26" s="47"/>
      <c r="AB26" s="47"/>
      <c r="AC26" s="47"/>
      <c r="AD26" s="47"/>
      <c r="AE26" s="47">
        <v>1</v>
      </c>
      <c r="AF26" s="47"/>
      <c r="AG26" s="47"/>
      <c r="AH26" s="47"/>
      <c r="AI26" s="47"/>
      <c r="AJ26" s="47"/>
      <c r="AK26" s="47"/>
      <c r="AL26" s="47"/>
      <c r="AM26" s="47"/>
      <c r="AN26" s="47"/>
      <c r="AO26" s="47"/>
      <c r="AP26" s="47"/>
      <c r="AQ26" s="47"/>
      <c r="AR26" s="47"/>
      <c r="AS26" s="47"/>
      <c r="AT26" s="47"/>
      <c r="AU26" s="47"/>
      <c r="AV26" s="47"/>
      <c r="AW26" s="47"/>
      <c r="AX26" s="47"/>
      <c r="AY26" s="47"/>
      <c r="AZ26" s="47"/>
      <c r="BA26" s="47"/>
      <c r="BB26" s="47">
        <v>1</v>
      </c>
      <c r="BC26" s="47">
        <v>2</v>
      </c>
    </row>
    <row r="27" spans="1:55" x14ac:dyDescent="0.3">
      <c r="A27">
        <v>25</v>
      </c>
      <c r="B27" s="9">
        <f>SMALL('1. Raw Data'!$A$2:$A$140, '2. Data and Exploration'!A27)</f>
        <v>42495</v>
      </c>
      <c r="C27">
        <f t="shared" si="1"/>
        <v>38</v>
      </c>
      <c r="D27">
        <f>SUM($C$3:C27)</f>
        <v>802</v>
      </c>
      <c r="F27">
        <f t="shared" si="2"/>
        <v>6</v>
      </c>
      <c r="G27" s="17">
        <f t="shared" si="0"/>
        <v>0.24752475247524752</v>
      </c>
      <c r="Y27" s="43">
        <v>16</v>
      </c>
      <c r="Z27" s="47"/>
      <c r="AA27" s="47"/>
      <c r="AB27" s="47"/>
      <c r="AC27" s="47"/>
      <c r="AD27" s="47"/>
      <c r="AE27" s="47"/>
      <c r="AF27" s="47"/>
      <c r="AG27" s="47"/>
      <c r="AH27" s="47"/>
      <c r="AI27" s="47"/>
      <c r="AJ27" s="47"/>
      <c r="AK27" s="47"/>
      <c r="AL27" s="47"/>
      <c r="AM27" s="47"/>
      <c r="AN27" s="47"/>
      <c r="AO27" s="47"/>
      <c r="AP27" s="47"/>
      <c r="AQ27" s="47"/>
      <c r="AR27" s="47"/>
      <c r="AS27" s="47"/>
      <c r="AT27" s="47"/>
      <c r="AU27" s="47">
        <v>1</v>
      </c>
      <c r="AV27" s="47"/>
      <c r="AW27" s="47"/>
      <c r="AX27" s="47"/>
      <c r="AY27" s="47"/>
      <c r="AZ27" s="47"/>
      <c r="BA27" s="47"/>
      <c r="BB27" s="47"/>
      <c r="BC27" s="47">
        <v>1</v>
      </c>
    </row>
    <row r="28" spans="1:55" ht="15" thickBot="1" x14ac:dyDescent="0.35">
      <c r="A28">
        <v>26</v>
      </c>
      <c r="B28" s="9">
        <f>SMALL('1. Raw Data'!$A$2:$A$140, '2. Data and Exploration'!A28)</f>
        <v>42533</v>
      </c>
      <c r="C28">
        <f t="shared" si="1"/>
        <v>25</v>
      </c>
      <c r="D28">
        <f>SUM($C$3:C28)</f>
        <v>827</v>
      </c>
      <c r="F28">
        <f t="shared" si="2"/>
        <v>6</v>
      </c>
      <c r="G28" s="17">
        <f t="shared" si="0"/>
        <v>0.25742574257425743</v>
      </c>
      <c r="Y28" s="43">
        <v>17</v>
      </c>
      <c r="Z28" s="47"/>
      <c r="AA28" s="47"/>
      <c r="AB28" s="47"/>
      <c r="AC28" s="47"/>
      <c r="AD28" s="47"/>
      <c r="AE28" s="47"/>
      <c r="AF28" s="47"/>
      <c r="AG28" s="47"/>
      <c r="AH28" s="47"/>
      <c r="AI28" s="47"/>
      <c r="AJ28" s="47"/>
      <c r="AK28" s="47"/>
      <c r="AL28" s="47"/>
      <c r="AM28" s="47"/>
      <c r="AN28" s="47"/>
      <c r="AO28" s="47"/>
      <c r="AP28" s="47"/>
      <c r="AQ28" s="47">
        <v>1</v>
      </c>
      <c r="AR28" s="47"/>
      <c r="AS28" s="47"/>
      <c r="AT28" s="47"/>
      <c r="AU28" s="47"/>
      <c r="AV28" s="47"/>
      <c r="AW28" s="47"/>
      <c r="AX28" s="47"/>
      <c r="AY28" s="47"/>
      <c r="AZ28" s="47"/>
      <c r="BA28" s="47"/>
      <c r="BB28" s="47"/>
      <c r="BC28" s="47">
        <v>1</v>
      </c>
    </row>
    <row r="29" spans="1:55" ht="15" thickBot="1" x14ac:dyDescent="0.35">
      <c r="A29">
        <v>27</v>
      </c>
      <c r="B29" s="9">
        <f>SMALL('1. Raw Data'!$A$2:$A$140, '2. Data and Exploration'!A29)</f>
        <v>42558</v>
      </c>
      <c r="C29">
        <f t="shared" si="1"/>
        <v>4</v>
      </c>
      <c r="D29">
        <f>SUM($C$3:C29)</f>
        <v>831</v>
      </c>
      <c r="F29">
        <f t="shared" si="2"/>
        <v>6</v>
      </c>
      <c r="G29" s="17">
        <f t="shared" si="0"/>
        <v>0.26732673267326734</v>
      </c>
      <c r="I29" s="15" t="s">
        <v>262</v>
      </c>
      <c r="J29" s="16" t="s">
        <v>263</v>
      </c>
      <c r="Y29" s="43">
        <v>23</v>
      </c>
      <c r="Z29" s="47"/>
      <c r="AA29" s="47"/>
      <c r="AB29" s="47"/>
      <c r="AC29" s="47"/>
      <c r="AD29" s="47"/>
      <c r="AE29" s="47"/>
      <c r="AF29" s="47"/>
      <c r="AG29" s="47"/>
      <c r="AH29" s="47"/>
      <c r="AI29" s="47"/>
      <c r="AJ29" s="47"/>
      <c r="AK29" s="47"/>
      <c r="AL29" s="47"/>
      <c r="AM29" s="47"/>
      <c r="AN29" s="47"/>
      <c r="AO29" s="47"/>
      <c r="AP29" s="47"/>
      <c r="AQ29" s="47"/>
      <c r="AR29" s="47"/>
      <c r="AS29" s="47"/>
      <c r="AT29" s="47"/>
      <c r="AU29" s="47"/>
      <c r="AV29" s="47">
        <v>1</v>
      </c>
      <c r="AW29" s="47"/>
      <c r="AX29" s="47"/>
      <c r="AY29" s="47"/>
      <c r="AZ29" s="47"/>
      <c r="BA29" s="47"/>
      <c r="BB29" s="47"/>
      <c r="BC29" s="47">
        <v>1</v>
      </c>
    </row>
    <row r="30" spans="1:55" x14ac:dyDescent="0.3">
      <c r="A30">
        <v>28</v>
      </c>
      <c r="B30" s="9">
        <f>SMALL('1. Raw Data'!$A$2:$A$140, '2. Data and Exploration'!A30)</f>
        <v>42562</v>
      </c>
      <c r="C30">
        <f t="shared" si="1"/>
        <v>6</v>
      </c>
      <c r="D30">
        <f>SUM($C$3:C30)</f>
        <v>837</v>
      </c>
      <c r="F30">
        <f t="shared" si="2"/>
        <v>6</v>
      </c>
      <c r="G30" s="17">
        <f t="shared" si="0"/>
        <v>0.27722772277227725</v>
      </c>
      <c r="I30" s="35">
        <v>1</v>
      </c>
      <c r="J30" s="18">
        <f t="array" ref="J30">SUM(IF(MONTH($B$3:$B$104) = I30, 1, 0))</f>
        <v>6</v>
      </c>
      <c r="Y30" s="43">
        <v>27</v>
      </c>
      <c r="Z30" s="47"/>
      <c r="AA30" s="47"/>
      <c r="AB30" s="47"/>
      <c r="AC30" s="47"/>
      <c r="AD30" s="47"/>
      <c r="AE30" s="47"/>
      <c r="AF30" s="47"/>
      <c r="AG30" s="47"/>
      <c r="AH30" s="47"/>
      <c r="AI30" s="47"/>
      <c r="AJ30" s="47"/>
      <c r="AK30" s="47"/>
      <c r="AL30" s="47"/>
      <c r="AM30" s="47"/>
      <c r="AN30" s="47"/>
      <c r="AO30" s="47"/>
      <c r="AP30" s="47"/>
      <c r="AQ30" s="47"/>
      <c r="AR30" s="47"/>
      <c r="AS30" s="47">
        <v>1</v>
      </c>
      <c r="AT30" s="47"/>
      <c r="AU30" s="47"/>
      <c r="AV30" s="47"/>
      <c r="AW30" s="47"/>
      <c r="AX30" s="47"/>
      <c r="AY30" s="47"/>
      <c r="AZ30" s="47"/>
      <c r="BA30" s="47"/>
      <c r="BB30" s="47"/>
      <c r="BC30" s="47">
        <v>1</v>
      </c>
    </row>
    <row r="31" spans="1:55" x14ac:dyDescent="0.3">
      <c r="A31">
        <v>29</v>
      </c>
      <c r="B31" s="9">
        <f>SMALL('1. Raw Data'!$A$2:$A$140, '2. Data and Exploration'!A31)</f>
        <v>42568</v>
      </c>
      <c r="C31">
        <f t="shared" si="1"/>
        <v>13</v>
      </c>
      <c r="D31">
        <f>SUM($C$3:C31)</f>
        <v>850</v>
      </c>
      <c r="F31">
        <f t="shared" si="2"/>
        <v>7</v>
      </c>
      <c r="G31" s="17">
        <f t="shared" si="0"/>
        <v>0.28712871287128711</v>
      </c>
      <c r="I31" s="11">
        <v>2</v>
      </c>
      <c r="J31" s="12">
        <f t="array" ref="J31">SUM(IF(MONTH($B$3:$B$104) = I31, 1, 0))</f>
        <v>9</v>
      </c>
      <c r="Y31" s="43">
        <v>50</v>
      </c>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v>1</v>
      </c>
      <c r="BA31" s="47"/>
      <c r="BB31" s="47"/>
      <c r="BC31" s="47">
        <v>1</v>
      </c>
    </row>
    <row r="32" spans="1:55" x14ac:dyDescent="0.3">
      <c r="A32">
        <v>30</v>
      </c>
      <c r="B32" s="9">
        <f>SMALL('1. Raw Data'!$A$2:$A$140, '2. Data and Exploration'!A32)</f>
        <v>42581</v>
      </c>
      <c r="C32">
        <f t="shared" si="1"/>
        <v>21</v>
      </c>
      <c r="D32">
        <f>SUM($C$3:C32)</f>
        <v>871</v>
      </c>
      <c r="F32">
        <f t="shared" si="2"/>
        <v>7</v>
      </c>
      <c r="G32" s="17">
        <f t="shared" si="0"/>
        <v>0.29702970297029702</v>
      </c>
      <c r="I32" s="11">
        <v>3</v>
      </c>
      <c r="J32" s="12">
        <f t="array" ref="J32">SUM(IF(MONTH($B$3:$B$104) = I32, 1, 0))</f>
        <v>6</v>
      </c>
      <c r="Y32" s="43">
        <v>61</v>
      </c>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v>1</v>
      </c>
      <c r="BB32" s="47"/>
      <c r="BC32" s="47">
        <v>1</v>
      </c>
    </row>
    <row r="33" spans="1:55" x14ac:dyDescent="0.3">
      <c r="A33">
        <v>31</v>
      </c>
      <c r="B33" s="9">
        <f>SMALL('1. Raw Data'!$A$2:$A$140, '2. Data and Exploration'!A33)</f>
        <v>42602</v>
      </c>
      <c r="C33">
        <f t="shared" si="1"/>
        <v>34</v>
      </c>
      <c r="D33">
        <f>SUM($C$3:C33)</f>
        <v>905</v>
      </c>
      <c r="F33">
        <f t="shared" si="2"/>
        <v>7</v>
      </c>
      <c r="G33" s="17">
        <f t="shared" si="0"/>
        <v>0.30693069306930693</v>
      </c>
      <c r="I33" s="11">
        <v>4</v>
      </c>
      <c r="J33" s="12">
        <f t="array" ref="J33">SUM(IF(MONTH($B$3:$B$104) = I33, 1, 0))</f>
        <v>8</v>
      </c>
      <c r="Y33" s="43" t="s">
        <v>233</v>
      </c>
      <c r="Z33" s="47">
        <v>19</v>
      </c>
      <c r="AA33" s="47">
        <v>16</v>
      </c>
      <c r="AB33" s="47">
        <v>7</v>
      </c>
      <c r="AC33" s="47">
        <v>10</v>
      </c>
      <c r="AD33" s="47">
        <v>7</v>
      </c>
      <c r="AE33" s="47">
        <v>4</v>
      </c>
      <c r="AF33" s="47">
        <v>6</v>
      </c>
      <c r="AG33" s="47">
        <v>1</v>
      </c>
      <c r="AH33" s="47">
        <v>5</v>
      </c>
      <c r="AI33" s="47">
        <v>2</v>
      </c>
      <c r="AJ33" s="47">
        <v>1</v>
      </c>
      <c r="AK33" s="47">
        <v>2</v>
      </c>
      <c r="AL33" s="47">
        <v>1</v>
      </c>
      <c r="AM33" s="47">
        <v>1</v>
      </c>
      <c r="AN33" s="47">
        <v>4</v>
      </c>
      <c r="AO33" s="47">
        <v>1</v>
      </c>
      <c r="AP33" s="47">
        <v>2</v>
      </c>
      <c r="AQ33" s="47">
        <v>1</v>
      </c>
      <c r="AR33" s="47">
        <v>1</v>
      </c>
      <c r="AS33" s="47">
        <v>1</v>
      </c>
      <c r="AT33" s="47">
        <v>1</v>
      </c>
      <c r="AU33" s="47">
        <v>2</v>
      </c>
      <c r="AV33" s="47">
        <v>1</v>
      </c>
      <c r="AW33" s="47">
        <v>1</v>
      </c>
      <c r="AX33" s="47">
        <v>1</v>
      </c>
      <c r="AY33" s="47">
        <v>1</v>
      </c>
      <c r="AZ33" s="47">
        <v>1</v>
      </c>
      <c r="BA33" s="47">
        <v>1</v>
      </c>
      <c r="BB33" s="47">
        <v>1</v>
      </c>
      <c r="BC33" s="47">
        <v>102</v>
      </c>
    </row>
    <row r="34" spans="1:55" x14ac:dyDescent="0.3">
      <c r="A34">
        <v>32</v>
      </c>
      <c r="B34" s="9">
        <f>SMALL('1. Raw Data'!$A$2:$A$140, '2. Data and Exploration'!A34)</f>
        <v>42636</v>
      </c>
      <c r="C34">
        <f t="shared" si="1"/>
        <v>5</v>
      </c>
      <c r="D34">
        <f>SUM($C$3:C34)</f>
        <v>910</v>
      </c>
      <c r="F34">
        <f t="shared" si="2"/>
        <v>7</v>
      </c>
      <c r="G34" s="17">
        <f t="shared" si="0"/>
        <v>0.31683168316831684</v>
      </c>
      <c r="I34" s="11">
        <v>5</v>
      </c>
      <c r="J34" s="12">
        <f t="array" ref="J34">SUM(IF(MONTH($B$3:$B$104) = I34, 1, 0))</f>
        <v>10</v>
      </c>
    </row>
    <row r="35" spans="1:55" x14ac:dyDescent="0.3">
      <c r="A35">
        <v>33</v>
      </c>
      <c r="B35" s="9">
        <f>SMALL('1. Raw Data'!$A$2:$A$140, '2. Data and Exploration'!A35)</f>
        <v>42641</v>
      </c>
      <c r="C35">
        <f t="shared" si="1"/>
        <v>100</v>
      </c>
      <c r="D35">
        <f>SUM($C$3:C35)</f>
        <v>1010</v>
      </c>
      <c r="F35">
        <f t="shared" si="2"/>
        <v>8</v>
      </c>
      <c r="G35" s="17">
        <f t="shared" ref="G35:G66" si="3">(A35) / n</f>
        <v>0.32673267326732675</v>
      </c>
      <c r="I35" s="11">
        <v>6</v>
      </c>
      <c r="J35" s="12">
        <f t="array" ref="J35">SUM(IF(MONTH($B$3:$B$104) = I35, 1, 0))</f>
        <v>10</v>
      </c>
    </row>
    <row r="36" spans="1:55" x14ac:dyDescent="0.3">
      <c r="A36">
        <v>34</v>
      </c>
      <c r="B36" s="9">
        <f>SMALL('1. Raw Data'!$A$2:$A$140, '2. Data and Exploration'!A36)</f>
        <v>42741</v>
      </c>
      <c r="C36">
        <f t="shared" si="1"/>
        <v>75</v>
      </c>
      <c r="D36">
        <f>SUM($C$3:C36)</f>
        <v>1085</v>
      </c>
      <c r="F36">
        <f t="shared" ref="F36:F67" si="4">SMALL(days_to_next_inc,A35)</f>
        <v>8</v>
      </c>
      <c r="G36" s="17">
        <f t="shared" si="3"/>
        <v>0.33663366336633666</v>
      </c>
      <c r="I36" s="11">
        <v>7</v>
      </c>
      <c r="J36" s="12">
        <f t="array" ref="J36">SUM(IF(MONTH($B$3:$B$104) = I36, 1, 0))</f>
        <v>9</v>
      </c>
    </row>
    <row r="37" spans="1:55" x14ac:dyDescent="0.3">
      <c r="A37">
        <v>35</v>
      </c>
      <c r="B37" s="9">
        <f>SMALL('1. Raw Data'!$A$2:$A$140, '2. Data and Exploration'!A37)</f>
        <v>42816</v>
      </c>
      <c r="C37">
        <f t="shared" si="1"/>
        <v>4</v>
      </c>
      <c r="D37">
        <f>SUM($C$3:C37)</f>
        <v>1089</v>
      </c>
      <c r="F37">
        <f t="shared" si="4"/>
        <v>9</v>
      </c>
      <c r="G37" s="17">
        <f t="shared" si="3"/>
        <v>0.34653465346534651</v>
      </c>
      <c r="I37" s="11">
        <v>8</v>
      </c>
      <c r="J37" s="12">
        <f t="array" ref="J37">SUM(IF(MONTH($B$3:$B$104) = I37, 1, 0))</f>
        <v>9</v>
      </c>
    </row>
    <row r="38" spans="1:55" x14ac:dyDescent="0.3">
      <c r="A38">
        <v>36</v>
      </c>
      <c r="B38" s="9">
        <f>SMALL('1. Raw Data'!$A$2:$A$140, '2. Data and Exploration'!A38)</f>
        <v>42820</v>
      </c>
      <c r="C38">
        <f t="shared" si="1"/>
        <v>15</v>
      </c>
      <c r="D38">
        <f>SUM($C$3:C38)</f>
        <v>1104</v>
      </c>
      <c r="F38">
        <f t="shared" si="4"/>
        <v>11</v>
      </c>
      <c r="G38" s="17">
        <f t="shared" si="3"/>
        <v>0.35643564356435642</v>
      </c>
      <c r="I38" s="11">
        <v>9</v>
      </c>
      <c r="J38" s="12">
        <f t="array" ref="J38">SUM(IF(MONTH($B$3:$B$104) = I38, 1, 0))</f>
        <v>7</v>
      </c>
    </row>
    <row r="39" spans="1:55" x14ac:dyDescent="0.3">
      <c r="A39">
        <v>37</v>
      </c>
      <c r="B39" s="9">
        <f>SMALL('1. Raw Data'!$A$2:$A$140, '2. Data and Exploration'!A39)</f>
        <v>42835</v>
      </c>
      <c r="C39">
        <f t="shared" si="1"/>
        <v>3</v>
      </c>
      <c r="D39">
        <f>SUM($C$3:C39)</f>
        <v>1107</v>
      </c>
      <c r="F39">
        <f t="shared" si="4"/>
        <v>11</v>
      </c>
      <c r="G39" s="17">
        <f t="shared" si="3"/>
        <v>0.36633663366336633</v>
      </c>
      <c r="I39" s="11">
        <v>10</v>
      </c>
      <c r="J39" s="12">
        <f t="array" ref="J39">SUM(IF(MONTH($B$3:$B$104) = I39, 1, 0))</f>
        <v>8</v>
      </c>
    </row>
    <row r="40" spans="1:55" x14ac:dyDescent="0.3">
      <c r="A40">
        <v>38</v>
      </c>
      <c r="B40" s="9">
        <f>SMALL('1. Raw Data'!$A$2:$A$140, '2. Data and Exploration'!A40)</f>
        <v>42838</v>
      </c>
      <c r="C40">
        <f t="shared" si="1"/>
        <v>29</v>
      </c>
      <c r="D40">
        <f>SUM($C$3:C40)</f>
        <v>1136</v>
      </c>
      <c r="F40">
        <f t="shared" si="4"/>
        <v>11</v>
      </c>
      <c r="G40" s="17">
        <f t="shared" si="3"/>
        <v>0.37623762376237624</v>
      </c>
      <c r="I40" s="11">
        <v>11</v>
      </c>
      <c r="J40" s="12">
        <f t="array" ref="J40">SUM(IF(MONTH($B$3:$B$104) = I40, 1, 0))</f>
        <v>11</v>
      </c>
    </row>
    <row r="41" spans="1:55" ht="15" thickBot="1" x14ac:dyDescent="0.35">
      <c r="A41">
        <v>39</v>
      </c>
      <c r="B41" s="9">
        <f>SMALL('1. Raw Data'!$A$2:$A$140, '2. Data and Exploration'!A41)</f>
        <v>42867</v>
      </c>
      <c r="C41">
        <f t="shared" si="1"/>
        <v>15</v>
      </c>
      <c r="D41">
        <f>SUM($C$3:C41)</f>
        <v>1151</v>
      </c>
      <c r="F41">
        <f t="shared" si="4"/>
        <v>12</v>
      </c>
      <c r="G41" s="17">
        <f t="shared" si="3"/>
        <v>0.38613861386138615</v>
      </c>
      <c r="I41" s="13">
        <v>12</v>
      </c>
      <c r="J41" s="14">
        <f t="array" ref="J41">SUM(IF(MONTH($B$3:$B$104) = I41, 1, 0))</f>
        <v>9</v>
      </c>
    </row>
    <row r="42" spans="1:55" x14ac:dyDescent="0.3">
      <c r="A42">
        <v>40</v>
      </c>
      <c r="B42" s="9">
        <f>SMALL('1. Raw Data'!$A$2:$A$140, '2. Data and Exploration'!A42)</f>
        <v>42882</v>
      </c>
      <c r="C42">
        <f t="shared" si="1"/>
        <v>9</v>
      </c>
      <c r="D42">
        <f>SUM($C$3:C42)</f>
        <v>1160</v>
      </c>
      <c r="F42">
        <f t="shared" si="4"/>
        <v>13</v>
      </c>
      <c r="G42" s="17">
        <f t="shared" si="3"/>
        <v>0.39603960396039606</v>
      </c>
    </row>
    <row r="43" spans="1:55" x14ac:dyDescent="0.3">
      <c r="A43">
        <v>41</v>
      </c>
      <c r="B43" s="9">
        <f>SMALL('1. Raw Data'!$A$2:$A$140, '2. Data and Exploration'!A43)</f>
        <v>42891</v>
      </c>
      <c r="C43">
        <f t="shared" si="1"/>
        <v>1</v>
      </c>
      <c r="D43">
        <f>SUM($C$3:C43)</f>
        <v>1161</v>
      </c>
      <c r="F43">
        <f t="shared" si="4"/>
        <v>13</v>
      </c>
      <c r="G43" s="17">
        <f t="shared" si="3"/>
        <v>0.40594059405940597</v>
      </c>
    </row>
    <row r="44" spans="1:55" x14ac:dyDescent="0.3">
      <c r="A44">
        <v>42</v>
      </c>
      <c r="B44" s="9">
        <f>SMALL('1. Raw Data'!$A$2:$A$140, '2. Data and Exploration'!A44)</f>
        <v>42892</v>
      </c>
      <c r="C44">
        <f t="shared" si="1"/>
        <v>2</v>
      </c>
      <c r="D44">
        <f>SUM($C$3:C44)</f>
        <v>1163</v>
      </c>
      <c r="F44">
        <f t="shared" si="4"/>
        <v>13</v>
      </c>
      <c r="G44" s="17">
        <f t="shared" si="3"/>
        <v>0.41584158415841582</v>
      </c>
    </row>
    <row r="45" spans="1:55" x14ac:dyDescent="0.3">
      <c r="A45">
        <v>43</v>
      </c>
      <c r="B45" s="9">
        <f>SMALL('1. Raw Data'!$A$2:$A$140, '2. Data and Exploration'!A45)</f>
        <v>42894</v>
      </c>
      <c r="C45">
        <f t="shared" si="1"/>
        <v>6</v>
      </c>
      <c r="D45">
        <f>SUM($C$3:C45)</f>
        <v>1169</v>
      </c>
      <c r="F45">
        <f t="shared" si="4"/>
        <v>14</v>
      </c>
      <c r="G45" s="17">
        <f t="shared" si="3"/>
        <v>0.42574257425742573</v>
      </c>
    </row>
    <row r="46" spans="1:55" x14ac:dyDescent="0.3">
      <c r="A46">
        <v>44</v>
      </c>
      <c r="B46" s="9">
        <f>SMALL('1. Raw Data'!$A$2:$A$140, '2. Data and Exploration'!A46)</f>
        <v>42900</v>
      </c>
      <c r="C46">
        <f t="shared" si="1"/>
        <v>0</v>
      </c>
      <c r="D46">
        <f>SUM($C$3:C46)</f>
        <v>1169</v>
      </c>
      <c r="F46">
        <f t="shared" si="4"/>
        <v>14</v>
      </c>
      <c r="G46" s="17">
        <f t="shared" si="3"/>
        <v>0.43564356435643564</v>
      </c>
    </row>
    <row r="47" spans="1:55" x14ac:dyDescent="0.3">
      <c r="A47">
        <v>45</v>
      </c>
      <c r="B47" s="9">
        <f>SMALL('1. Raw Data'!$A$2:$A$140, '2. Data and Exploration'!A47)</f>
        <v>42900</v>
      </c>
      <c r="C47">
        <f t="shared" si="1"/>
        <v>16</v>
      </c>
      <c r="D47">
        <f>SUM($C$3:C47)</f>
        <v>1185</v>
      </c>
      <c r="F47">
        <f t="shared" si="4"/>
        <v>14</v>
      </c>
      <c r="G47" s="17">
        <f t="shared" si="3"/>
        <v>0.44554455445544555</v>
      </c>
    </row>
    <row r="48" spans="1:55" x14ac:dyDescent="0.3">
      <c r="A48">
        <v>46</v>
      </c>
      <c r="B48" s="9">
        <f>SMALL('1. Raw Data'!$A$2:$A$140, '2. Data and Exploration'!A48)</f>
        <v>42916</v>
      </c>
      <c r="C48">
        <f t="shared" si="1"/>
        <v>1</v>
      </c>
      <c r="D48">
        <f>SUM($C$3:C48)</f>
        <v>1186</v>
      </c>
      <c r="F48">
        <f t="shared" si="4"/>
        <v>14</v>
      </c>
      <c r="G48" s="17">
        <f t="shared" si="3"/>
        <v>0.45544554455445546</v>
      </c>
    </row>
    <row r="49" spans="1:7" x14ac:dyDescent="0.3">
      <c r="A49">
        <v>47</v>
      </c>
      <c r="B49" s="9">
        <f>SMALL('1. Raw Data'!$A$2:$A$140, '2. Data and Exploration'!A49)</f>
        <v>42917</v>
      </c>
      <c r="C49">
        <f t="shared" si="1"/>
        <v>58</v>
      </c>
      <c r="D49">
        <f>SUM($C$3:C49)</f>
        <v>1244</v>
      </c>
      <c r="F49">
        <f t="shared" si="4"/>
        <v>14</v>
      </c>
      <c r="G49" s="17">
        <f t="shared" si="3"/>
        <v>0.46534653465346537</v>
      </c>
    </row>
    <row r="50" spans="1:7" x14ac:dyDescent="0.3">
      <c r="A50">
        <v>48</v>
      </c>
      <c r="B50" s="9">
        <f>SMALL('1. Raw Data'!$A$2:$A$140, '2. Data and Exploration'!A50)</f>
        <v>42975</v>
      </c>
      <c r="C50">
        <f t="shared" si="1"/>
        <v>13</v>
      </c>
      <c r="D50">
        <f>SUM($C$3:C50)</f>
        <v>1257</v>
      </c>
      <c r="F50">
        <f t="shared" si="4"/>
        <v>15</v>
      </c>
      <c r="G50" s="17">
        <f t="shared" si="3"/>
        <v>0.47524752475247523</v>
      </c>
    </row>
    <row r="51" spans="1:7" x14ac:dyDescent="0.3">
      <c r="A51">
        <v>49</v>
      </c>
      <c r="B51" s="9">
        <f>SMALL('1. Raw Data'!$A$2:$A$140, '2. Data and Exploration'!A51)</f>
        <v>42988</v>
      </c>
      <c r="C51">
        <f t="shared" si="1"/>
        <v>14</v>
      </c>
      <c r="D51">
        <f>SUM($C$3:C51)</f>
        <v>1271</v>
      </c>
      <c r="F51">
        <f t="shared" si="4"/>
        <v>15</v>
      </c>
      <c r="G51" s="17">
        <f t="shared" si="3"/>
        <v>0.48514851485148514</v>
      </c>
    </row>
    <row r="52" spans="1:7" x14ac:dyDescent="0.3">
      <c r="A52">
        <v>50</v>
      </c>
      <c r="B52" s="9">
        <f>SMALL('1. Raw Data'!$A$2:$A$140, '2. Data and Exploration'!A52)</f>
        <v>43002</v>
      </c>
      <c r="C52">
        <f t="shared" si="1"/>
        <v>7</v>
      </c>
      <c r="D52">
        <f>SUM($C$3:C52)</f>
        <v>1278</v>
      </c>
      <c r="F52">
        <f t="shared" si="4"/>
        <v>16</v>
      </c>
      <c r="G52" s="17">
        <f t="shared" si="3"/>
        <v>0.49504950495049505</v>
      </c>
    </row>
    <row r="53" spans="1:7" x14ac:dyDescent="0.3">
      <c r="A53">
        <v>51</v>
      </c>
      <c r="B53" s="9">
        <f>SMALL('1. Raw Data'!$A$2:$A$140, '2. Data and Exploration'!A53)</f>
        <v>43009</v>
      </c>
      <c r="C53">
        <f t="shared" si="1"/>
        <v>35</v>
      </c>
      <c r="D53">
        <f>SUM($C$3:C53)</f>
        <v>1313</v>
      </c>
      <c r="F53">
        <f t="shared" si="4"/>
        <v>16</v>
      </c>
      <c r="G53" s="17">
        <f t="shared" si="3"/>
        <v>0.50495049504950495</v>
      </c>
    </row>
    <row r="54" spans="1:7" x14ac:dyDescent="0.3">
      <c r="A54">
        <v>52</v>
      </c>
      <c r="B54" s="9">
        <f>SMALL('1. Raw Data'!$A$2:$A$140, '2. Data and Exploration'!A54)</f>
        <v>43044</v>
      </c>
      <c r="C54">
        <f t="shared" si="1"/>
        <v>8</v>
      </c>
      <c r="D54">
        <f>SUM($C$3:C54)</f>
        <v>1321</v>
      </c>
      <c r="F54">
        <f t="shared" si="4"/>
        <v>17</v>
      </c>
      <c r="G54" s="17">
        <f t="shared" si="3"/>
        <v>0.51485148514851486</v>
      </c>
    </row>
    <row r="55" spans="1:7" x14ac:dyDescent="0.3">
      <c r="A55">
        <v>53</v>
      </c>
      <c r="B55" s="9">
        <f>SMALL('1. Raw Data'!$A$2:$A$140, '2. Data and Exploration'!A55)</f>
        <v>43052</v>
      </c>
      <c r="C55">
        <f t="shared" si="1"/>
        <v>24</v>
      </c>
      <c r="D55">
        <f>SUM($C$3:C55)</f>
        <v>1345</v>
      </c>
      <c r="F55">
        <f t="shared" si="4"/>
        <v>17</v>
      </c>
      <c r="G55" s="17">
        <f t="shared" si="3"/>
        <v>0.52475247524752477</v>
      </c>
    </row>
    <row r="56" spans="1:7" x14ac:dyDescent="0.3">
      <c r="A56">
        <v>54</v>
      </c>
      <c r="B56" s="9">
        <f>SMALL('1. Raw Data'!$A$2:$A$140, '2. Data and Exploration'!A56)</f>
        <v>43076</v>
      </c>
      <c r="C56">
        <f t="shared" si="1"/>
        <v>24</v>
      </c>
      <c r="D56">
        <f>SUM($C$3:C56)</f>
        <v>1369</v>
      </c>
      <c r="F56">
        <f t="shared" si="4"/>
        <v>18</v>
      </c>
      <c r="G56" s="17">
        <f t="shared" si="3"/>
        <v>0.53465346534653468</v>
      </c>
    </row>
    <row r="57" spans="1:7" x14ac:dyDescent="0.3">
      <c r="A57">
        <v>55</v>
      </c>
      <c r="B57" s="9">
        <f>SMALL('1. Raw Data'!$A$2:$A$140, '2. Data and Exploration'!A57)</f>
        <v>43100</v>
      </c>
      <c r="C57">
        <f t="shared" si="1"/>
        <v>23</v>
      </c>
      <c r="D57">
        <f>SUM($C$3:C57)</f>
        <v>1392</v>
      </c>
      <c r="F57">
        <f t="shared" si="4"/>
        <v>18</v>
      </c>
      <c r="G57" s="17">
        <f t="shared" si="3"/>
        <v>0.54455445544554459</v>
      </c>
    </row>
    <row r="58" spans="1:7" x14ac:dyDescent="0.3">
      <c r="A58">
        <v>56</v>
      </c>
      <c r="B58" s="9">
        <f>SMALL('1. Raw Data'!$A$2:$A$140, '2. Data and Exploration'!A58)</f>
        <v>43123</v>
      </c>
      <c r="C58">
        <f t="shared" si="1"/>
        <v>5</v>
      </c>
      <c r="D58">
        <f>SUM($C$3:C58)</f>
        <v>1397</v>
      </c>
      <c r="F58">
        <f t="shared" si="4"/>
        <v>18</v>
      </c>
      <c r="G58" s="17">
        <f t="shared" si="3"/>
        <v>0.5544554455445545</v>
      </c>
    </row>
    <row r="59" spans="1:7" x14ac:dyDescent="0.3">
      <c r="A59">
        <v>57</v>
      </c>
      <c r="B59" s="9">
        <f>SMALL('1. Raw Data'!$A$2:$A$140, '2. Data and Exploration'!A59)</f>
        <v>43128</v>
      </c>
      <c r="C59">
        <f t="shared" si="1"/>
        <v>17</v>
      </c>
      <c r="D59">
        <f>SUM($C$3:C59)</f>
        <v>1414</v>
      </c>
      <c r="F59">
        <f t="shared" si="4"/>
        <v>19</v>
      </c>
      <c r="G59" s="17">
        <f t="shared" si="3"/>
        <v>0.5643564356435643</v>
      </c>
    </row>
    <row r="60" spans="1:7" x14ac:dyDescent="0.3">
      <c r="A60">
        <v>58</v>
      </c>
      <c r="B60" s="9">
        <f>SMALL('1. Raw Data'!$A$2:$A$140, '2. Data and Exploration'!A60)</f>
        <v>43145</v>
      </c>
      <c r="C60">
        <f t="shared" si="1"/>
        <v>23</v>
      </c>
      <c r="D60">
        <f>SUM($C$3:C60)</f>
        <v>1437</v>
      </c>
      <c r="F60">
        <f t="shared" si="4"/>
        <v>20</v>
      </c>
      <c r="G60" s="17">
        <f t="shared" si="3"/>
        <v>0.57425742574257421</v>
      </c>
    </row>
    <row r="61" spans="1:7" x14ac:dyDescent="0.3">
      <c r="A61">
        <v>59</v>
      </c>
      <c r="B61" s="9">
        <f>SMALL('1. Raw Data'!$A$2:$A$140, '2. Data and Exploration'!A61)</f>
        <v>43168</v>
      </c>
      <c r="C61">
        <f t="shared" si="1"/>
        <v>25</v>
      </c>
      <c r="D61">
        <f>SUM($C$3:C61)</f>
        <v>1462</v>
      </c>
      <c r="F61">
        <f t="shared" si="4"/>
        <v>21</v>
      </c>
      <c r="G61" s="17">
        <f t="shared" si="3"/>
        <v>0.58415841584158412</v>
      </c>
    </row>
    <row r="62" spans="1:7" x14ac:dyDescent="0.3">
      <c r="A62">
        <v>60</v>
      </c>
      <c r="B62" s="9">
        <f>SMALL('1. Raw Data'!$A$2:$A$140, '2. Data and Exploration'!A62)</f>
        <v>43193</v>
      </c>
      <c r="C62">
        <f t="shared" si="1"/>
        <v>19</v>
      </c>
      <c r="D62">
        <f>SUM($C$3:C62)</f>
        <v>1481</v>
      </c>
      <c r="F62">
        <f t="shared" si="4"/>
        <v>23</v>
      </c>
      <c r="G62" s="17">
        <f t="shared" si="3"/>
        <v>0.59405940594059403</v>
      </c>
    </row>
    <row r="63" spans="1:7" x14ac:dyDescent="0.3">
      <c r="A63">
        <v>61</v>
      </c>
      <c r="B63" s="9">
        <f>SMALL('1. Raw Data'!$A$2:$A$140, '2. Data and Exploration'!A63)</f>
        <v>43212</v>
      </c>
      <c r="C63">
        <f t="shared" si="1"/>
        <v>26</v>
      </c>
      <c r="D63">
        <f>SUM($C$3:C63)</f>
        <v>1507</v>
      </c>
      <c r="F63">
        <f t="shared" si="4"/>
        <v>23</v>
      </c>
      <c r="G63" s="17">
        <f t="shared" si="3"/>
        <v>0.60396039603960394</v>
      </c>
    </row>
    <row r="64" spans="1:7" x14ac:dyDescent="0.3">
      <c r="A64">
        <v>62</v>
      </c>
      <c r="B64" s="9">
        <f>SMALL('1. Raw Data'!$A$2:$A$140, '2. Data and Exploration'!A64)</f>
        <v>43238</v>
      </c>
      <c r="C64">
        <f t="shared" si="1"/>
        <v>12</v>
      </c>
      <c r="D64">
        <f>SUM($C$3:C64)</f>
        <v>1519</v>
      </c>
      <c r="F64">
        <f t="shared" si="4"/>
        <v>23</v>
      </c>
      <c r="G64" s="17">
        <f t="shared" si="3"/>
        <v>0.61386138613861385</v>
      </c>
    </row>
    <row r="65" spans="1:7" x14ac:dyDescent="0.3">
      <c r="A65">
        <v>63</v>
      </c>
      <c r="B65" s="9">
        <f>SMALL('1. Raw Data'!$A$2:$A$140, '2. Data and Exploration'!A65)</f>
        <v>43250</v>
      </c>
      <c r="C65">
        <f t="shared" si="1"/>
        <v>18</v>
      </c>
      <c r="D65">
        <f>SUM($C$3:C65)</f>
        <v>1537</v>
      </c>
      <c r="F65">
        <f t="shared" si="4"/>
        <v>24</v>
      </c>
      <c r="G65" s="17">
        <f t="shared" si="3"/>
        <v>0.62376237623762376</v>
      </c>
    </row>
    <row r="66" spans="1:7" x14ac:dyDescent="0.3">
      <c r="A66">
        <v>64</v>
      </c>
      <c r="B66" s="9">
        <f>SMALL('1. Raw Data'!$A$2:$A$140, '2. Data and Exploration'!A66)</f>
        <v>43268</v>
      </c>
      <c r="C66">
        <f t="shared" si="1"/>
        <v>11</v>
      </c>
      <c r="D66">
        <f>SUM($C$3:C66)</f>
        <v>1548</v>
      </c>
      <c r="F66">
        <f t="shared" si="4"/>
        <v>24</v>
      </c>
      <c r="G66" s="17">
        <f t="shared" si="3"/>
        <v>0.63366336633663367</v>
      </c>
    </row>
    <row r="67" spans="1:7" x14ac:dyDescent="0.3">
      <c r="A67">
        <v>65</v>
      </c>
      <c r="B67" s="9">
        <f>SMALL('1. Raw Data'!$A$2:$A$140, '2. Data and Exploration'!A67)</f>
        <v>43279</v>
      </c>
      <c r="C67">
        <f t="shared" si="1"/>
        <v>59</v>
      </c>
      <c r="D67">
        <f>SUM($C$3:C67)</f>
        <v>1607</v>
      </c>
      <c r="F67">
        <f t="shared" si="4"/>
        <v>24</v>
      </c>
      <c r="G67" s="17">
        <f t="shared" ref="G67:G98" si="5">(A67) / n</f>
        <v>0.64356435643564358</v>
      </c>
    </row>
    <row r="68" spans="1:7" x14ac:dyDescent="0.3">
      <c r="A68">
        <v>66</v>
      </c>
      <c r="B68" s="9">
        <f>SMALL('1. Raw Data'!$A$2:$A$140, '2. Data and Exploration'!A68)</f>
        <v>43338</v>
      </c>
      <c r="C68">
        <f t="shared" ref="C68:C103" si="6">B69 - B68</f>
        <v>11</v>
      </c>
      <c r="D68">
        <f>SUM($C$3:C68)</f>
        <v>1618</v>
      </c>
      <c r="F68">
        <f t="shared" ref="F68:F104" si="7">SMALL(days_to_next_inc,A67)</f>
        <v>24</v>
      </c>
      <c r="G68" s="17">
        <f t="shared" si="5"/>
        <v>0.65346534653465349</v>
      </c>
    </row>
    <row r="69" spans="1:7" x14ac:dyDescent="0.3">
      <c r="A69">
        <v>67</v>
      </c>
      <c r="B69" s="9">
        <f>SMALL('1. Raw Data'!$A$2:$A$140, '2. Data and Exploration'!A69)</f>
        <v>43349</v>
      </c>
      <c r="C69">
        <f t="shared" si="6"/>
        <v>14</v>
      </c>
      <c r="D69">
        <f>SUM($C$3:C69)</f>
        <v>1632</v>
      </c>
      <c r="F69">
        <f t="shared" si="7"/>
        <v>25</v>
      </c>
      <c r="G69" s="17">
        <f t="shared" si="5"/>
        <v>0.6633663366336634</v>
      </c>
    </row>
    <row r="70" spans="1:7" x14ac:dyDescent="0.3">
      <c r="A70">
        <v>68</v>
      </c>
      <c r="B70" s="9">
        <f>SMALL('1. Raw Data'!$A$2:$A$140, '2. Data and Exploration'!A70)</f>
        <v>43363</v>
      </c>
      <c r="C70">
        <f t="shared" si="6"/>
        <v>13</v>
      </c>
      <c r="D70">
        <f>SUM($C$3:C70)</f>
        <v>1645</v>
      </c>
      <c r="F70">
        <f t="shared" si="7"/>
        <v>25</v>
      </c>
      <c r="G70" s="17">
        <f t="shared" si="5"/>
        <v>0.67326732673267331</v>
      </c>
    </row>
    <row r="71" spans="1:7" x14ac:dyDescent="0.3">
      <c r="A71">
        <v>69</v>
      </c>
      <c r="B71" s="9">
        <f>SMALL('1. Raw Data'!$A$2:$A$140, '2. Data and Exploration'!A71)</f>
        <v>43376</v>
      </c>
      <c r="C71">
        <f t="shared" si="6"/>
        <v>24</v>
      </c>
      <c r="D71">
        <f>SUM($C$3:C71)</f>
        <v>1669</v>
      </c>
      <c r="F71">
        <f t="shared" si="7"/>
        <v>26</v>
      </c>
      <c r="G71" s="17">
        <f t="shared" si="5"/>
        <v>0.68316831683168322</v>
      </c>
    </row>
    <row r="72" spans="1:7" x14ac:dyDescent="0.3">
      <c r="A72">
        <v>70</v>
      </c>
      <c r="B72" s="9">
        <f>SMALL('1. Raw Data'!$A$2:$A$140, '2. Data and Exploration'!A72)</f>
        <v>43400</v>
      </c>
      <c r="C72">
        <f t="shared" si="6"/>
        <v>6</v>
      </c>
      <c r="D72">
        <f>SUM($C$3:C72)</f>
        <v>1675</v>
      </c>
      <c r="F72">
        <f t="shared" si="7"/>
        <v>27</v>
      </c>
      <c r="G72" s="17">
        <f t="shared" si="5"/>
        <v>0.69306930693069302</v>
      </c>
    </row>
    <row r="73" spans="1:7" x14ac:dyDescent="0.3">
      <c r="A73">
        <v>71</v>
      </c>
      <c r="B73" s="9">
        <f>SMALL('1. Raw Data'!$A$2:$A$140, '2. Data and Exploration'!A73)</f>
        <v>43406</v>
      </c>
      <c r="C73">
        <f t="shared" si="6"/>
        <v>5</v>
      </c>
      <c r="D73">
        <f>SUM($C$3:C73)</f>
        <v>1680</v>
      </c>
      <c r="F73">
        <f t="shared" si="7"/>
        <v>29</v>
      </c>
      <c r="G73" s="17">
        <f t="shared" si="5"/>
        <v>0.70297029702970293</v>
      </c>
    </row>
    <row r="74" spans="1:7" x14ac:dyDescent="0.3">
      <c r="A74">
        <v>72</v>
      </c>
      <c r="B74" s="9">
        <f>SMALL('1. Raw Data'!$A$2:$A$140, '2. Data and Exploration'!A74)</f>
        <v>43411</v>
      </c>
      <c r="C74">
        <f t="shared" si="6"/>
        <v>4</v>
      </c>
      <c r="D74">
        <f>SUM($C$3:C74)</f>
        <v>1684</v>
      </c>
      <c r="F74">
        <f t="shared" si="7"/>
        <v>29</v>
      </c>
      <c r="G74" s="17">
        <f t="shared" si="5"/>
        <v>0.71287128712871284</v>
      </c>
    </row>
    <row r="75" spans="1:7" x14ac:dyDescent="0.3">
      <c r="A75">
        <v>73</v>
      </c>
      <c r="B75" s="9">
        <f>SMALL('1. Raw Data'!$A$2:$A$140, '2. Data and Exploration'!A75)</f>
        <v>43415</v>
      </c>
      <c r="C75">
        <f t="shared" si="6"/>
        <v>8</v>
      </c>
      <c r="D75">
        <f>SUM($C$3:C75)</f>
        <v>1692</v>
      </c>
      <c r="F75">
        <f t="shared" si="7"/>
        <v>30</v>
      </c>
      <c r="G75" s="17">
        <f t="shared" si="5"/>
        <v>0.72277227722772275</v>
      </c>
    </row>
    <row r="76" spans="1:7" x14ac:dyDescent="0.3">
      <c r="A76">
        <v>74</v>
      </c>
      <c r="B76" s="9">
        <f>SMALL('1. Raw Data'!$A$2:$A$140, '2. Data and Exploration'!A76)</f>
        <v>43423</v>
      </c>
      <c r="C76">
        <f t="shared" si="6"/>
        <v>65</v>
      </c>
      <c r="D76">
        <f>SUM($C$3:C76)</f>
        <v>1757</v>
      </c>
      <c r="F76">
        <f t="shared" si="7"/>
        <v>31</v>
      </c>
      <c r="G76" s="17">
        <f t="shared" si="5"/>
        <v>0.73267326732673266</v>
      </c>
    </row>
    <row r="77" spans="1:7" x14ac:dyDescent="0.3">
      <c r="A77">
        <v>75</v>
      </c>
      <c r="B77" s="9">
        <f>SMALL('1. Raw Data'!$A$2:$A$140, '2. Data and Exploration'!A77)</f>
        <v>43488</v>
      </c>
      <c r="C77">
        <f t="shared" si="6"/>
        <v>3</v>
      </c>
      <c r="D77">
        <f>SUM($C$3:C77)</f>
        <v>1760</v>
      </c>
      <c r="F77">
        <f t="shared" si="7"/>
        <v>34</v>
      </c>
      <c r="G77" s="17">
        <f t="shared" si="5"/>
        <v>0.74257425742574257</v>
      </c>
    </row>
    <row r="78" spans="1:7" x14ac:dyDescent="0.3">
      <c r="A78">
        <v>76</v>
      </c>
      <c r="B78" s="9">
        <f>SMALL('1. Raw Data'!$A$2:$A$140, '2. Data and Exploration'!A78)</f>
        <v>43491</v>
      </c>
      <c r="C78">
        <f t="shared" si="6"/>
        <v>20</v>
      </c>
      <c r="D78">
        <f>SUM($C$3:C78)</f>
        <v>1780</v>
      </c>
      <c r="F78">
        <f t="shared" si="7"/>
        <v>35</v>
      </c>
      <c r="G78" s="17">
        <f t="shared" si="5"/>
        <v>0.75247524752475248</v>
      </c>
    </row>
    <row r="79" spans="1:7" x14ac:dyDescent="0.3">
      <c r="A79">
        <v>77</v>
      </c>
      <c r="B79" s="9">
        <f>SMALL('1. Raw Data'!$A$2:$A$140, '2. Data and Exploration'!A79)</f>
        <v>43511</v>
      </c>
      <c r="C79">
        <f t="shared" si="6"/>
        <v>71</v>
      </c>
      <c r="D79">
        <f>SUM($C$3:C79)</f>
        <v>1851</v>
      </c>
      <c r="F79">
        <f t="shared" si="7"/>
        <v>35</v>
      </c>
      <c r="G79" s="17">
        <f t="shared" si="5"/>
        <v>0.76237623762376239</v>
      </c>
    </row>
    <row r="80" spans="1:7" x14ac:dyDescent="0.3">
      <c r="A80">
        <v>78</v>
      </c>
      <c r="B80" s="9">
        <f>SMALL('1. Raw Data'!$A$2:$A$140, '2. Data and Exploration'!A80)</f>
        <v>43582</v>
      </c>
      <c r="C80">
        <f t="shared" si="6"/>
        <v>3</v>
      </c>
      <c r="D80">
        <f>SUM($C$3:C80)</f>
        <v>1854</v>
      </c>
      <c r="F80">
        <f t="shared" si="7"/>
        <v>36</v>
      </c>
      <c r="G80" s="17">
        <f t="shared" si="5"/>
        <v>0.7722772277227723</v>
      </c>
    </row>
    <row r="81" spans="1:7" x14ac:dyDescent="0.3">
      <c r="A81">
        <v>79</v>
      </c>
      <c r="B81" s="9">
        <f>SMALL('1. Raw Data'!$A$2:$A$140, '2. Data and Exploration'!A81)</f>
        <v>43585</v>
      </c>
      <c r="C81">
        <f t="shared" si="6"/>
        <v>7</v>
      </c>
      <c r="D81">
        <f>SUM($C$3:C81)</f>
        <v>1861</v>
      </c>
      <c r="F81">
        <f t="shared" si="7"/>
        <v>36</v>
      </c>
      <c r="G81" s="17">
        <f t="shared" si="5"/>
        <v>0.78217821782178221</v>
      </c>
    </row>
    <row r="82" spans="1:7" x14ac:dyDescent="0.3">
      <c r="A82">
        <v>80</v>
      </c>
      <c r="B82" s="9">
        <f>SMALL('1. Raw Data'!$A$2:$A$140, '2. Data and Exploration'!A82)</f>
        <v>43592</v>
      </c>
      <c r="C82">
        <f t="shared" si="6"/>
        <v>24</v>
      </c>
      <c r="D82">
        <f>SUM($C$3:C82)</f>
        <v>1885</v>
      </c>
      <c r="F82">
        <f t="shared" si="7"/>
        <v>38</v>
      </c>
      <c r="G82" s="17">
        <f t="shared" si="5"/>
        <v>0.79207920792079212</v>
      </c>
    </row>
    <row r="83" spans="1:7" x14ac:dyDescent="0.3">
      <c r="A83">
        <v>81</v>
      </c>
      <c r="B83" s="9">
        <f>SMALL('1. Raw Data'!$A$2:$A$140, '2. Data and Exploration'!A83)</f>
        <v>43616</v>
      </c>
      <c r="C83">
        <f t="shared" si="6"/>
        <v>58</v>
      </c>
      <c r="D83">
        <f>SUM($C$3:C83)</f>
        <v>1943</v>
      </c>
      <c r="F83">
        <f t="shared" si="7"/>
        <v>38</v>
      </c>
      <c r="G83" s="17">
        <f t="shared" si="5"/>
        <v>0.80198019801980203</v>
      </c>
    </row>
    <row r="84" spans="1:7" x14ac:dyDescent="0.3">
      <c r="A84">
        <v>82</v>
      </c>
      <c r="B84" s="9">
        <f>SMALL('1. Raw Data'!$A$2:$A$140, '2. Data and Exploration'!A84)</f>
        <v>43674</v>
      </c>
      <c r="C84">
        <f t="shared" si="6"/>
        <v>6</v>
      </c>
      <c r="D84">
        <f>SUM($C$3:C84)</f>
        <v>1949</v>
      </c>
      <c r="F84">
        <f t="shared" si="7"/>
        <v>38</v>
      </c>
      <c r="G84" s="17">
        <f t="shared" si="5"/>
        <v>0.81188118811881194</v>
      </c>
    </row>
    <row r="85" spans="1:7" x14ac:dyDescent="0.3">
      <c r="A85">
        <v>83</v>
      </c>
      <c r="B85" s="9">
        <f>SMALL('1. Raw Data'!$A$2:$A$140, '2. Data and Exploration'!A85)</f>
        <v>43680</v>
      </c>
      <c r="C85">
        <f t="shared" si="6"/>
        <v>1</v>
      </c>
      <c r="D85">
        <f>SUM($C$3:C85)</f>
        <v>1950</v>
      </c>
      <c r="F85">
        <f t="shared" si="7"/>
        <v>40</v>
      </c>
      <c r="G85" s="17">
        <f t="shared" si="5"/>
        <v>0.82178217821782173</v>
      </c>
    </row>
    <row r="86" spans="1:7" x14ac:dyDescent="0.3">
      <c r="A86">
        <v>84</v>
      </c>
      <c r="B86" s="9">
        <f>SMALL('1. Raw Data'!$A$2:$A$140, '2. Data and Exploration'!A86)</f>
        <v>43681</v>
      </c>
      <c r="C86">
        <f t="shared" si="6"/>
        <v>27</v>
      </c>
      <c r="D86">
        <f>SUM($C$3:C86)</f>
        <v>1977</v>
      </c>
      <c r="F86">
        <f t="shared" si="7"/>
        <v>41</v>
      </c>
      <c r="G86" s="17">
        <f t="shared" si="5"/>
        <v>0.83168316831683164</v>
      </c>
    </row>
    <row r="87" spans="1:7" x14ac:dyDescent="0.3">
      <c r="A87">
        <v>85</v>
      </c>
      <c r="B87" s="9">
        <f>SMALL('1. Raw Data'!$A$2:$A$140, '2. Data and Exploration'!A87)</f>
        <v>43708</v>
      </c>
      <c r="C87">
        <f t="shared" si="6"/>
        <v>44</v>
      </c>
      <c r="D87">
        <f>SUM($C$3:C87)</f>
        <v>2021</v>
      </c>
      <c r="F87">
        <f t="shared" si="7"/>
        <v>43</v>
      </c>
      <c r="G87" s="17">
        <f t="shared" si="5"/>
        <v>0.84158415841584155</v>
      </c>
    </row>
    <row r="88" spans="1:7" x14ac:dyDescent="0.3">
      <c r="A88">
        <v>86</v>
      </c>
      <c r="B88" s="9">
        <f>SMALL('1. Raw Data'!$A$2:$A$140, '2. Data and Exploration'!A88)</f>
        <v>43752</v>
      </c>
      <c r="C88">
        <f t="shared" si="6"/>
        <v>17</v>
      </c>
      <c r="D88">
        <f>SUM($C$3:C88)</f>
        <v>2038</v>
      </c>
      <c r="F88">
        <f t="shared" si="7"/>
        <v>44</v>
      </c>
      <c r="G88" s="17">
        <f t="shared" si="5"/>
        <v>0.85148514851485146</v>
      </c>
    </row>
    <row r="89" spans="1:7" x14ac:dyDescent="0.3">
      <c r="A89">
        <v>87</v>
      </c>
      <c r="B89" s="9">
        <f>SMALL('1. Raw Data'!$A$2:$A$140, '2. Data and Exploration'!A89)</f>
        <v>43769</v>
      </c>
      <c r="C89">
        <f t="shared" si="6"/>
        <v>14</v>
      </c>
      <c r="D89">
        <f>SUM($C$3:C89)</f>
        <v>2052</v>
      </c>
      <c r="F89">
        <f t="shared" si="7"/>
        <v>47</v>
      </c>
      <c r="G89" s="17">
        <f t="shared" si="5"/>
        <v>0.86138613861386137</v>
      </c>
    </row>
    <row r="90" spans="1:7" x14ac:dyDescent="0.3">
      <c r="A90">
        <v>88</v>
      </c>
      <c r="B90" s="9">
        <f>SMALL('1. Raw Data'!$A$2:$A$140, '2. Data and Exploration'!A90)</f>
        <v>43783</v>
      </c>
      <c r="C90">
        <f t="shared" si="6"/>
        <v>3</v>
      </c>
      <c r="D90">
        <f>SUM($C$3:C90)</f>
        <v>2055</v>
      </c>
      <c r="F90">
        <f t="shared" si="7"/>
        <v>49</v>
      </c>
      <c r="G90" s="17">
        <f t="shared" si="5"/>
        <v>0.87128712871287128</v>
      </c>
    </row>
    <row r="91" spans="1:7" x14ac:dyDescent="0.3">
      <c r="A91">
        <v>89</v>
      </c>
      <c r="B91" s="9">
        <f>SMALL('1. Raw Data'!$A$2:$A$140, '2. Data and Exploration'!A91)</f>
        <v>43786</v>
      </c>
      <c r="C91">
        <f t="shared" si="6"/>
        <v>18</v>
      </c>
      <c r="D91">
        <f>SUM($C$3:C91)</f>
        <v>2073</v>
      </c>
      <c r="F91">
        <f t="shared" si="7"/>
        <v>51</v>
      </c>
      <c r="G91" s="17">
        <f t="shared" si="5"/>
        <v>0.88118811881188119</v>
      </c>
    </row>
    <row r="92" spans="1:7" x14ac:dyDescent="0.3">
      <c r="A92">
        <v>90</v>
      </c>
      <c r="B92" s="9">
        <f>SMALL('1. Raw Data'!$A$2:$A$140, '2. Data and Exploration'!A92)</f>
        <v>43804</v>
      </c>
      <c r="C92">
        <f t="shared" si="6"/>
        <v>1</v>
      </c>
      <c r="D92">
        <f>SUM($C$3:C92)</f>
        <v>2074</v>
      </c>
      <c r="F92">
        <f t="shared" si="7"/>
        <v>58</v>
      </c>
      <c r="G92" s="17">
        <f t="shared" si="5"/>
        <v>0.8910891089108911</v>
      </c>
    </row>
    <row r="93" spans="1:7" x14ac:dyDescent="0.3">
      <c r="A93">
        <v>91</v>
      </c>
      <c r="B93" s="9">
        <f>SMALL('1. Raw Data'!$A$2:$A$140, '2. Data and Exploration'!A93)</f>
        <v>43805</v>
      </c>
      <c r="C93">
        <f t="shared" si="6"/>
        <v>4</v>
      </c>
      <c r="D93">
        <f>SUM($C$3:C93)</f>
        <v>2078</v>
      </c>
      <c r="F93">
        <f t="shared" si="7"/>
        <v>58</v>
      </c>
      <c r="G93" s="17">
        <f t="shared" si="5"/>
        <v>0.90099009900990101</v>
      </c>
    </row>
    <row r="94" spans="1:7" x14ac:dyDescent="0.3">
      <c r="A94">
        <v>92</v>
      </c>
      <c r="B94" s="9">
        <f>SMALL('1. Raw Data'!$A$2:$A$140, '2. Data and Exploration'!A94)</f>
        <v>43809</v>
      </c>
      <c r="C94">
        <f t="shared" si="6"/>
        <v>38</v>
      </c>
      <c r="D94">
        <f>SUM($C$3:C94)</f>
        <v>2116</v>
      </c>
      <c r="F94">
        <f t="shared" si="7"/>
        <v>59</v>
      </c>
      <c r="G94" s="17">
        <f t="shared" si="5"/>
        <v>0.91089108910891092</v>
      </c>
    </row>
    <row r="95" spans="1:7" x14ac:dyDescent="0.3">
      <c r="A95">
        <v>93</v>
      </c>
      <c r="B95" s="9">
        <f>SMALL('1. Raw Data'!$A$2:$A$140, '2. Data and Exploration'!A95)</f>
        <v>43847</v>
      </c>
      <c r="C95">
        <f t="shared" si="6"/>
        <v>40</v>
      </c>
      <c r="D95">
        <f>SUM($C$3:C95)</f>
        <v>2156</v>
      </c>
      <c r="F95">
        <f t="shared" si="7"/>
        <v>62</v>
      </c>
      <c r="G95" s="17">
        <f t="shared" si="5"/>
        <v>0.92079207920792083</v>
      </c>
    </row>
    <row r="96" spans="1:7" x14ac:dyDescent="0.3">
      <c r="A96">
        <v>94</v>
      </c>
      <c r="B96" s="9">
        <f>SMALL('1. Raw Data'!$A$2:$A$140, '2. Data and Exploration'!A96)</f>
        <v>43887</v>
      </c>
      <c r="C96">
        <f t="shared" si="6"/>
        <v>165</v>
      </c>
      <c r="D96">
        <f>SUM($C$3:C96)</f>
        <v>2321</v>
      </c>
      <c r="F96">
        <f t="shared" si="7"/>
        <v>65</v>
      </c>
      <c r="G96" s="17">
        <f t="shared" si="5"/>
        <v>0.93069306930693074</v>
      </c>
    </row>
    <row r="97" spans="1:7" x14ac:dyDescent="0.3">
      <c r="A97">
        <v>95</v>
      </c>
      <c r="B97" s="9">
        <f>SMALL('1. Raw Data'!$A$2:$A$140, '2. Data and Exploration'!A97)</f>
        <v>44052</v>
      </c>
      <c r="C97">
        <f t="shared" si="6"/>
        <v>41</v>
      </c>
      <c r="D97">
        <f>SUM($C$3:C97)</f>
        <v>2362</v>
      </c>
      <c r="F97">
        <f t="shared" si="7"/>
        <v>66</v>
      </c>
      <c r="G97" s="17">
        <f t="shared" si="5"/>
        <v>0.94059405940594054</v>
      </c>
    </row>
    <row r="98" spans="1:7" x14ac:dyDescent="0.3">
      <c r="A98">
        <v>96</v>
      </c>
      <c r="B98" s="9">
        <f>SMALL('1. Raw Data'!$A$2:$A$140, '2. Data and Exploration'!A98)</f>
        <v>44093</v>
      </c>
      <c r="C98">
        <f t="shared" si="6"/>
        <v>62</v>
      </c>
      <c r="D98">
        <f>SUM($C$3:C98)</f>
        <v>2424</v>
      </c>
      <c r="F98">
        <f t="shared" si="7"/>
        <v>71</v>
      </c>
      <c r="G98" s="17">
        <f t="shared" si="5"/>
        <v>0.95049504950495045</v>
      </c>
    </row>
    <row r="99" spans="1:7" x14ac:dyDescent="0.3">
      <c r="A99">
        <v>97</v>
      </c>
      <c r="B99" s="9">
        <f>SMALL('1. Raw Data'!$A$2:$A$140, '2. Data and Exploration'!A99)</f>
        <v>44155</v>
      </c>
      <c r="C99">
        <f t="shared" si="6"/>
        <v>36</v>
      </c>
      <c r="D99">
        <f>SUM($C$3:C99)</f>
        <v>2460</v>
      </c>
      <c r="F99">
        <f t="shared" si="7"/>
        <v>73</v>
      </c>
      <c r="G99" s="17">
        <f t="shared" ref="G99:G104" si="8">(A99) / n</f>
        <v>0.96039603960396036</v>
      </c>
    </row>
    <row r="100" spans="1:7" x14ac:dyDescent="0.3">
      <c r="A100">
        <v>98</v>
      </c>
      <c r="B100" s="9">
        <f>SMALL('1. Raw Data'!$A$2:$A$140, '2. Data and Exploration'!A100)</f>
        <v>44191</v>
      </c>
      <c r="C100">
        <f t="shared" si="6"/>
        <v>38</v>
      </c>
      <c r="D100">
        <f>SUM($C$3:C100)</f>
        <v>2498</v>
      </c>
      <c r="F100">
        <f t="shared" si="7"/>
        <v>75</v>
      </c>
      <c r="G100" s="17">
        <f t="shared" si="8"/>
        <v>0.97029702970297027</v>
      </c>
    </row>
    <row r="101" spans="1:7" x14ac:dyDescent="0.3">
      <c r="A101">
        <v>99</v>
      </c>
      <c r="B101" s="9">
        <f>SMALL('1. Raw Data'!$A$2:$A$140, '2. Data and Exploration'!A101)</f>
        <v>44229</v>
      </c>
      <c r="C101">
        <f t="shared" si="6"/>
        <v>0</v>
      </c>
      <c r="D101">
        <f>SUM($C$3:C101)</f>
        <v>2498</v>
      </c>
      <c r="F101">
        <f t="shared" si="7"/>
        <v>80</v>
      </c>
      <c r="G101" s="17">
        <f t="shared" si="8"/>
        <v>0.98019801980198018</v>
      </c>
    </row>
    <row r="102" spans="1:7" x14ac:dyDescent="0.3">
      <c r="A102">
        <v>100</v>
      </c>
      <c r="B102" s="9">
        <f>SMALL('1. Raw Data'!$A$2:$A$140, '2. Data and Exploration'!A102)</f>
        <v>44229</v>
      </c>
      <c r="C102">
        <f t="shared" si="6"/>
        <v>7</v>
      </c>
      <c r="D102">
        <f>SUM($C$3:C102)</f>
        <v>2505</v>
      </c>
      <c r="F102">
        <f t="shared" si="7"/>
        <v>100</v>
      </c>
      <c r="G102" s="17">
        <f t="shared" si="8"/>
        <v>0.99009900990099009</v>
      </c>
    </row>
    <row r="103" spans="1:7" x14ac:dyDescent="0.3">
      <c r="A103">
        <v>101</v>
      </c>
      <c r="B103" s="9">
        <f>SMALL('1. Raw Data'!$A$2:$A$140, '2. Data and Exploration'!A103)</f>
        <v>44236</v>
      </c>
      <c r="C103">
        <f t="shared" si="6"/>
        <v>35</v>
      </c>
      <c r="D103">
        <f>SUM($C$3:C103)</f>
        <v>2540</v>
      </c>
      <c r="F103">
        <f t="shared" si="7"/>
        <v>107</v>
      </c>
      <c r="G103" s="17">
        <f t="shared" si="8"/>
        <v>1</v>
      </c>
    </row>
    <row r="104" spans="1:7" x14ac:dyDescent="0.3">
      <c r="A104">
        <v>102</v>
      </c>
      <c r="B104" s="9">
        <f>SMALL('1. Raw Data'!$A$2:$A$140, '2. Data and Exploration'!A104)</f>
        <v>44271</v>
      </c>
      <c r="F104">
        <f t="shared" si="7"/>
        <v>165</v>
      </c>
      <c r="G104" s="17">
        <f t="shared" si="8"/>
        <v>1.0099009900990099</v>
      </c>
    </row>
    <row r="105" spans="1:7" x14ac:dyDescent="0.3">
      <c r="B105" s="9"/>
      <c r="G105" s="17"/>
    </row>
    <row r="106" spans="1:7" x14ac:dyDescent="0.3">
      <c r="B106" s="9"/>
      <c r="G106" s="17"/>
    </row>
    <row r="107" spans="1:7" x14ac:dyDescent="0.3">
      <c r="B107" s="9"/>
      <c r="G107" s="17"/>
    </row>
    <row r="108" spans="1:7" x14ac:dyDescent="0.3">
      <c r="B108" s="9"/>
      <c r="G108" s="17"/>
    </row>
    <row r="109" spans="1:7" x14ac:dyDescent="0.3">
      <c r="B109" s="9"/>
      <c r="G109" s="17"/>
    </row>
    <row r="110" spans="1:7" x14ac:dyDescent="0.3">
      <c r="B110" s="9"/>
      <c r="G110" s="17"/>
    </row>
    <row r="111" spans="1:7" x14ac:dyDescent="0.3">
      <c r="B111" s="9"/>
      <c r="G111" s="17"/>
    </row>
    <row r="112" spans="1:7" x14ac:dyDescent="0.3">
      <c r="B112" s="9"/>
      <c r="G112" s="17"/>
    </row>
    <row r="113" spans="2:7" x14ac:dyDescent="0.3">
      <c r="B113" s="9"/>
      <c r="G113" s="17"/>
    </row>
    <row r="114" spans="2:7" x14ac:dyDescent="0.3">
      <c r="B114" s="9"/>
      <c r="G114" s="17"/>
    </row>
    <row r="115" spans="2:7" x14ac:dyDescent="0.3">
      <c r="B115" s="9"/>
    </row>
    <row r="116" spans="2:7" x14ac:dyDescent="0.3">
      <c r="B116" s="9"/>
    </row>
    <row r="117" spans="2:7" x14ac:dyDescent="0.3">
      <c r="B117" s="9"/>
    </row>
    <row r="118" spans="2:7" x14ac:dyDescent="0.3">
      <c r="B118" s="9"/>
    </row>
    <row r="119" spans="2:7" x14ac:dyDescent="0.3">
      <c r="B119" s="9"/>
    </row>
    <row r="120" spans="2:7" x14ac:dyDescent="0.3">
      <c r="B120" s="9"/>
    </row>
    <row r="121" spans="2:7" x14ac:dyDescent="0.3">
      <c r="B121" s="9"/>
    </row>
    <row r="122" spans="2:7" x14ac:dyDescent="0.3">
      <c r="B122" s="9"/>
    </row>
    <row r="123" spans="2:7" x14ac:dyDescent="0.3">
      <c r="B123" s="9"/>
    </row>
    <row r="124" spans="2:7" x14ac:dyDescent="0.3">
      <c r="B124" s="9"/>
    </row>
    <row r="125" spans="2:7" x14ac:dyDescent="0.3">
      <c r="B125" s="9"/>
    </row>
    <row r="126" spans="2:7" x14ac:dyDescent="0.3">
      <c r="B126" s="9"/>
    </row>
    <row r="127" spans="2:7" x14ac:dyDescent="0.3">
      <c r="B127" s="9"/>
    </row>
    <row r="128" spans="2:7" x14ac:dyDescent="0.3">
      <c r="B128" s="9"/>
    </row>
    <row r="129" spans="2:2" x14ac:dyDescent="0.3">
      <c r="B129" s="9"/>
    </row>
    <row r="130" spans="2:2" x14ac:dyDescent="0.3">
      <c r="B130" s="9"/>
    </row>
    <row r="131" spans="2:2" x14ac:dyDescent="0.3">
      <c r="B131" s="9"/>
    </row>
    <row r="132" spans="2:2" x14ac:dyDescent="0.3">
      <c r="B132" s="9"/>
    </row>
    <row r="133" spans="2:2" x14ac:dyDescent="0.3">
      <c r="B133" s="9"/>
    </row>
    <row r="134" spans="2:2" x14ac:dyDescent="0.3">
      <c r="B134" s="9"/>
    </row>
    <row r="135" spans="2:2" x14ac:dyDescent="0.3">
      <c r="B135" s="9"/>
    </row>
  </sheetData>
  <phoneticPr fontId="9" type="noConversion"/>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68CFE-AC59-4DA2-A694-DD09B5050576}">
  <dimension ref="B5:O27"/>
  <sheetViews>
    <sheetView tabSelected="1" workbookViewId="0">
      <selection activeCell="E2" sqref="E2"/>
    </sheetView>
  </sheetViews>
  <sheetFormatPr defaultRowHeight="14.4" x14ac:dyDescent="0.3"/>
  <cols>
    <col min="2" max="2" width="44.5546875" customWidth="1"/>
    <col min="3" max="3" width="12" bestFit="1" customWidth="1"/>
    <col min="5" max="5" width="27.44140625" customWidth="1"/>
    <col min="10" max="10" width="12" bestFit="1" customWidth="1"/>
  </cols>
  <sheetData>
    <row r="5" spans="2:3" ht="15" thickBot="1" x14ac:dyDescent="0.35"/>
    <row r="6" spans="2:3" ht="15" thickBot="1" x14ac:dyDescent="0.35">
      <c r="B6" s="15" t="s">
        <v>267</v>
      </c>
      <c r="C6" s="68">
        <f>tau</f>
        <v>25.14851485148515</v>
      </c>
    </row>
    <row r="7" spans="2:3" ht="15" thickBot="1" x14ac:dyDescent="0.35"/>
    <row r="8" spans="2:3" x14ac:dyDescent="0.3">
      <c r="B8" s="70" t="s">
        <v>268</v>
      </c>
      <c r="C8" s="71"/>
    </row>
    <row r="9" spans="2:3" x14ac:dyDescent="0.3">
      <c r="B9" s="74" t="s">
        <v>223</v>
      </c>
      <c r="C9" s="75">
        <v>0.05</v>
      </c>
    </row>
    <row r="10" spans="2:3" x14ac:dyDescent="0.3">
      <c r="B10" s="19" t="s">
        <v>269</v>
      </c>
      <c r="C10" s="72">
        <f>n</f>
        <v>101</v>
      </c>
    </row>
    <row r="11" spans="2:3" x14ac:dyDescent="0.3">
      <c r="B11" s="21" t="s">
        <v>273</v>
      </c>
      <c r="C11" s="20">
        <f>2*n*mean/_xlfn.CHISQ.INV(1-C9/2,2*n)</f>
        <v>20.883556334921362</v>
      </c>
    </row>
    <row r="12" spans="2:3" ht="15" thickBot="1" x14ac:dyDescent="0.35">
      <c r="B12" s="22" t="s">
        <v>274</v>
      </c>
      <c r="C12" s="24">
        <f>2*n*mean/_xlfn.CHISQ.INV(C9/2,2*n)</f>
        <v>30.875393202568315</v>
      </c>
    </row>
    <row r="13" spans="2:3" ht="15" thickBot="1" x14ac:dyDescent="0.35"/>
    <row r="14" spans="2:3" x14ac:dyDescent="0.3">
      <c r="B14" s="70" t="s">
        <v>270</v>
      </c>
      <c r="C14" s="71"/>
    </row>
    <row r="15" spans="2:3" x14ac:dyDescent="0.3">
      <c r="B15" s="69" t="s">
        <v>228</v>
      </c>
      <c r="C15" s="77">
        <v>0.8</v>
      </c>
    </row>
    <row r="16" spans="2:3" x14ac:dyDescent="0.3">
      <c r="B16" s="19" t="s">
        <v>227</v>
      </c>
      <c r="C16" s="78">
        <f>(1-C15)/2</f>
        <v>9.9999999999999978E-2</v>
      </c>
    </row>
    <row r="17" spans="2:15" x14ac:dyDescent="0.3">
      <c r="B17" s="19" t="s">
        <v>230</v>
      </c>
      <c r="C17" s="78">
        <f>1 - (1-C15)/2</f>
        <v>0.9</v>
      </c>
    </row>
    <row r="18" spans="2:15" ht="15" thickBot="1" x14ac:dyDescent="0.35">
      <c r="B18" s="19" t="s">
        <v>271</v>
      </c>
      <c r="C18" s="79">
        <f>-tau_dol * LN(1 - C16)</f>
        <v>2.2003022642165795</v>
      </c>
    </row>
    <row r="19" spans="2:15" ht="15" thickBot="1" x14ac:dyDescent="0.35">
      <c r="B19" s="21" t="s">
        <v>272</v>
      </c>
      <c r="C19" s="79">
        <f>-tau_hor * LN(1 - (C17))</f>
        <v>71.093220128563502</v>
      </c>
      <c r="E19" s="83" t="s">
        <v>278</v>
      </c>
      <c r="F19" s="81"/>
      <c r="G19" s="81"/>
      <c r="H19" s="81"/>
      <c r="I19" s="81"/>
      <c r="J19" s="81"/>
      <c r="K19" s="81"/>
      <c r="L19" s="81"/>
      <c r="M19" s="81"/>
      <c r="N19" s="81"/>
      <c r="O19" s="82"/>
    </row>
    <row r="20" spans="2:15" ht="15" thickBot="1" x14ac:dyDescent="0.35">
      <c r="B20" s="48" t="s">
        <v>229</v>
      </c>
      <c r="C20" s="80">
        <f>1-C9</f>
        <v>0.95</v>
      </c>
      <c r="E20" s="83" t="s">
        <v>284</v>
      </c>
      <c r="F20" s="81"/>
      <c r="G20" s="81"/>
      <c r="H20" s="81"/>
      <c r="I20" s="81"/>
      <c r="J20" s="81"/>
      <c r="K20" s="81"/>
      <c r="L20" s="81"/>
      <c r="M20" s="81"/>
      <c r="N20" s="81"/>
      <c r="O20" s="82"/>
    </row>
    <row r="21" spans="2:15" ht="15" thickBot="1" x14ac:dyDescent="0.35"/>
    <row r="22" spans="2:15" x14ac:dyDescent="0.3">
      <c r="B22" s="10" t="s">
        <v>286</v>
      </c>
      <c r="C22" s="76"/>
    </row>
    <row r="23" spans="2:15" x14ac:dyDescent="0.3">
      <c r="B23" s="19" t="s">
        <v>275</v>
      </c>
      <c r="C23" s="49">
        <f>'1. Raw Data'!A103</f>
        <v>44271</v>
      </c>
    </row>
    <row r="24" spans="2:15" x14ac:dyDescent="0.3">
      <c r="B24" s="19" t="s">
        <v>276</v>
      </c>
      <c r="C24" s="73">
        <v>44286</v>
      </c>
    </row>
    <row r="25" spans="2:15" x14ac:dyDescent="0.3">
      <c r="B25" s="19" t="s">
        <v>277</v>
      </c>
      <c r="C25" s="12">
        <f>C24-C23</f>
        <v>15</v>
      </c>
    </row>
    <row r="26" spans="2:15" x14ac:dyDescent="0.3">
      <c r="B26" s="74" t="s">
        <v>285</v>
      </c>
      <c r="C26" s="84">
        <v>16</v>
      </c>
    </row>
    <row r="27" spans="2:15" ht="15" thickBot="1" x14ac:dyDescent="0.35">
      <c r="B27" s="48" t="s">
        <v>236</v>
      </c>
      <c r="C27" s="50">
        <f>IF(C26 &gt;= C25, 1-EXP(-(C26-C25)/tau), 0)</f>
        <v>3.8983575904254164E-2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5F1B-304C-48BD-862E-72D82C9A79D7}">
  <dimension ref="B1:Q57"/>
  <sheetViews>
    <sheetView topLeftCell="E1" zoomScale="84" workbookViewId="0">
      <selection activeCell="N23" sqref="N23"/>
    </sheetView>
  </sheetViews>
  <sheetFormatPr defaultRowHeight="14.4" x14ac:dyDescent="0.3"/>
  <cols>
    <col min="3" max="3" width="10.5546875" bestFit="1" customWidth="1"/>
    <col min="7" max="7" width="8.33203125" customWidth="1"/>
    <col min="8" max="8" width="15.77734375" bestFit="1" customWidth="1"/>
    <col min="9" max="9" width="15.33203125" bestFit="1" customWidth="1"/>
    <col min="14" max="14" width="44" bestFit="1" customWidth="1"/>
    <col min="15" max="15" width="9.6640625" bestFit="1" customWidth="1"/>
  </cols>
  <sheetData>
    <row r="1" spans="2:9" ht="15" thickBot="1" x14ac:dyDescent="0.35"/>
    <row r="2" spans="2:9" x14ac:dyDescent="0.3">
      <c r="B2" s="26" t="s">
        <v>206</v>
      </c>
      <c r="C2" s="27"/>
      <c r="D2" s="28"/>
      <c r="F2" s="26" t="s">
        <v>215</v>
      </c>
      <c r="G2" s="27"/>
      <c r="H2" s="27"/>
      <c r="I2" s="28"/>
    </row>
    <row r="3" spans="2:9" ht="15" thickBot="1" x14ac:dyDescent="0.35">
      <c r="B3" s="29" t="s">
        <v>214</v>
      </c>
      <c r="C3" s="30"/>
      <c r="D3" s="31"/>
      <c r="F3" s="29" t="s">
        <v>216</v>
      </c>
      <c r="G3" s="33">
        <f>mean</f>
        <v>25.14851485148515</v>
      </c>
      <c r="H3" s="33">
        <f>tau_dol</f>
        <v>20.883556334921362</v>
      </c>
      <c r="I3" s="34">
        <f>tau_hor</f>
        <v>30.875393202568315</v>
      </c>
    </row>
    <row r="4" spans="2:9" ht="15" thickBot="1" x14ac:dyDescent="0.35">
      <c r="B4" s="23" t="s">
        <v>212</v>
      </c>
      <c r="C4" s="30" t="s">
        <v>213</v>
      </c>
      <c r="D4" s="23" t="s">
        <v>211</v>
      </c>
      <c r="F4" s="29"/>
      <c r="G4" s="30" t="s">
        <v>217</v>
      </c>
      <c r="H4" s="30" t="s">
        <v>224</v>
      </c>
      <c r="I4" s="31" t="s">
        <v>225</v>
      </c>
    </row>
    <row r="5" spans="2:9" x14ac:dyDescent="0.3">
      <c r="B5">
        <v>0</v>
      </c>
      <c r="C5">
        <f t="array" ref="C5">SUM(IF(days_to_next_inc&lt;=B5,1, 0))</f>
        <v>2</v>
      </c>
      <c r="D5" s="25">
        <f t="array" ref="D5">SUM(IF(days_to_next_inc &lt;= B5, 1, 0)) / n</f>
        <v>1.9801980198019802E-2</v>
      </c>
      <c r="G5" s="32">
        <f t="shared" ref="G5:G36" si="0" xml:space="preserve"> 1 - EXP(-B5 / tau)</f>
        <v>0</v>
      </c>
      <c r="H5" s="25">
        <f t="shared" ref="H5:H36" si="1" xml:space="preserve"> 1 - EXP(-B5 / tau_dol)</f>
        <v>0</v>
      </c>
      <c r="I5" s="25">
        <f t="shared" ref="I5:I36" si="2" xml:space="preserve"> 1 - EXP(-B5 / tau_hor)</f>
        <v>0</v>
      </c>
    </row>
    <row r="6" spans="2:9" x14ac:dyDescent="0.3">
      <c r="B6">
        <v>1</v>
      </c>
      <c r="C6">
        <f t="array" ref="C6">SUM(IF(days_to_next_inc&lt;=B6,1, 0))</f>
        <v>6</v>
      </c>
      <c r="D6" s="25">
        <f t="array" ref="D6">SUM(IF(days_to_next_inc &lt;= B6, 1, 0)) / n</f>
        <v>5.9405940594059403E-2</v>
      </c>
      <c r="G6" s="32">
        <f t="shared" si="0"/>
        <v>3.8983575904254164E-2</v>
      </c>
      <c r="H6" s="25">
        <f t="shared" si="1"/>
        <v>4.6756181082448722E-2</v>
      </c>
      <c r="I6" s="25">
        <f t="shared" si="2"/>
        <v>3.1869369061068853E-2</v>
      </c>
    </row>
    <row r="7" spans="2:9" x14ac:dyDescent="0.3">
      <c r="B7">
        <v>2</v>
      </c>
      <c r="C7">
        <f t="array" ref="C7">SUM(IF(days_to_next_inc&lt;=B7,1, 0))</f>
        <v>8</v>
      </c>
      <c r="D7" s="25">
        <f t="array" ref="D7">SUM(IF(days_to_next_inc &lt;= B7, 1, 0)) / n</f>
        <v>7.9207920792079209E-2</v>
      </c>
      <c r="G7" s="32">
        <f t="shared" si="0"/>
        <v>7.6447432618225508E-2</v>
      </c>
      <c r="H7" s="25">
        <f t="shared" si="1"/>
        <v>9.1326221695482657E-2</v>
      </c>
      <c r="I7" s="25">
        <f t="shared" si="2"/>
        <v>6.2723081437787154E-2</v>
      </c>
    </row>
    <row r="8" spans="2:9" x14ac:dyDescent="0.3">
      <c r="B8">
        <v>3</v>
      </c>
      <c r="C8">
        <f t="array" ref="C8">SUM(IF(days_to_next_inc&lt;=B8,1, 0))</f>
        <v>13</v>
      </c>
      <c r="D8" s="25">
        <f t="array" ref="D8">SUM(IF(days_to_next_inc &lt;= B8, 1, 0)) / n</f>
        <v>0.12871287128712872</v>
      </c>
      <c r="G8" s="32">
        <f t="shared" si="0"/>
        <v>0.11245081423032177</v>
      </c>
      <c r="H8" s="25">
        <f t="shared" si="1"/>
        <v>0.13381233741876153</v>
      </c>
      <c r="I8" s="25">
        <f t="shared" si="2"/>
        <v>9.2593505467867709E-2</v>
      </c>
    </row>
    <row r="9" spans="2:9" x14ac:dyDescent="0.3">
      <c r="B9">
        <v>4</v>
      </c>
      <c r="C9">
        <f t="array" ref="C9">SUM(IF(days_to_next_inc&lt;=B9,1, 0))</f>
        <v>18</v>
      </c>
      <c r="D9" s="25">
        <f t="array" ref="D9">SUM(IF(days_to_next_inc &lt;= B9, 1, 0)) / n</f>
        <v>0.17821782178217821</v>
      </c>
      <c r="G9" s="32">
        <f t="shared" si="0"/>
        <v>0.14705065528253303</v>
      </c>
      <c r="H9" s="25">
        <f t="shared" si="1"/>
        <v>0.17431196462179299</v>
      </c>
      <c r="I9" s="25">
        <f t="shared" si="2"/>
        <v>0.12151197793052304</v>
      </c>
    </row>
    <row r="10" spans="2:9" x14ac:dyDescent="0.3">
      <c r="B10">
        <v>5</v>
      </c>
      <c r="C10">
        <f t="array" ref="C10">SUM(IF(days_to_next_inc&lt;=B10,1, 0))</f>
        <v>23</v>
      </c>
      <c r="D10" s="25">
        <f t="array" ref="D10">SUM(IF(days_to_next_inc &lt;= B10, 1, 0)) / n</f>
        <v>0.22772277227722773</v>
      </c>
      <c r="G10" s="32">
        <f t="shared" si="0"/>
        <v>0.18030167080481019</v>
      </c>
      <c r="H10" s="25">
        <f t="shared" si="1"/>
        <v>0.2129179839215477</v>
      </c>
      <c r="I10" s="25">
        <f t="shared" si="2"/>
        <v>0.14950883692158368</v>
      </c>
    </row>
    <row r="11" spans="2:9" x14ac:dyDescent="0.3">
      <c r="B11">
        <v>6</v>
      </c>
      <c r="C11">
        <f t="array" ref="C11">SUM(IF(days_to_next_inc&lt;=B11,1, 0))</f>
        <v>27</v>
      </c>
      <c r="D11" s="25">
        <f t="array" ref="D11">SUM(IF(days_to_next_inc &lt;= B11, 1, 0)) / n</f>
        <v>0.26732673267326734</v>
      </c>
      <c r="G11" s="32">
        <f t="shared" si="0"/>
        <v>0.21225644283958123</v>
      </c>
      <c r="H11" s="25">
        <f t="shared" si="1"/>
        <v>0.24971893319205063</v>
      </c>
      <c r="I11" s="25">
        <f t="shared" si="2"/>
        <v>0.17661345368090742</v>
      </c>
    </row>
    <row r="12" spans="2:9" x14ac:dyDescent="0.3">
      <c r="B12">
        <v>7</v>
      </c>
      <c r="C12">
        <f t="array" ref="C12">SUM(IF(days_to_next_inc&lt;=B12,1, 0))</f>
        <v>31</v>
      </c>
      <c r="D12" s="25">
        <f t="array" ref="D12">SUM(IF(days_to_next_inc &lt;= B12, 1, 0)) / n</f>
        <v>0.30693069306930693</v>
      </c>
      <c r="G12" s="32">
        <f t="shared" si="0"/>
        <v>0.24296550359323155</v>
      </c>
      <c r="H12" s="25">
        <f t="shared" si="1"/>
        <v>0.2847992106144559</v>
      </c>
      <c r="I12" s="25">
        <f t="shared" si="2"/>
        <v>0.20285426340546953</v>
      </c>
    </row>
    <row r="13" spans="2:9" x14ac:dyDescent="0.3">
      <c r="B13">
        <v>8</v>
      </c>
      <c r="C13">
        <f t="array" ref="C13">SUM(IF(days_to_next_inc&lt;=B13,1, 0))</f>
        <v>33</v>
      </c>
      <c r="D13" s="25">
        <f t="array" ref="D13">SUM(IF(days_to_next_inc &lt;= B13, 1, 0)) / n</f>
        <v>0.32673267326732675</v>
      </c>
      <c r="G13" s="32">
        <f t="shared" si="0"/>
        <v>0.27247741534604364</v>
      </c>
      <c r="H13" s="25">
        <f t="shared" si="1"/>
        <v>0.31823926823327675</v>
      </c>
      <c r="I13" s="25">
        <f t="shared" si="2"/>
        <v>0.22825879508045821</v>
      </c>
    </row>
    <row r="14" spans="2:9" x14ac:dyDescent="0.3">
      <c r="B14">
        <v>9</v>
      </c>
      <c r="C14">
        <f t="array" ref="C14">SUM(IF(days_to_next_inc&lt;=B14,1, 0))</f>
        <v>34</v>
      </c>
      <c r="D14" s="25">
        <f t="array" ref="D14">SUM(IF(days_to_next_inc &lt;= B14, 1, 0)) / n</f>
        <v>0.33663366336633666</v>
      </c>
      <c r="G14" s="32">
        <f t="shared" si="0"/>
        <v>0.30083884724696031</v>
      </c>
      <c r="H14" s="25">
        <f t="shared" si="1"/>
        <v>0.35011579646266433</v>
      </c>
      <c r="I14" s="25">
        <f t="shared" si="2"/>
        <v>0.25285370035967303</v>
      </c>
    </row>
    <row r="15" spans="2:9" x14ac:dyDescent="0.3">
      <c r="B15">
        <v>11</v>
      </c>
      <c r="C15">
        <f t="array" ref="C15">SUM(IF(days_to_next_inc&lt;=B15,1, 0))</f>
        <v>37</v>
      </c>
      <c r="D15" s="25">
        <f t="array" ref="D15">SUM(IF(days_to_next_inc &lt;= B15, 1, 0)) / n</f>
        <v>0.36633663366336633</v>
      </c>
      <c r="G15" s="32">
        <f t="shared" si="0"/>
        <v>0.35428792236132922</v>
      </c>
      <c r="H15" s="25">
        <f t="shared" si="1"/>
        <v>0.40946726531130728</v>
      </c>
      <c r="I15" s="25">
        <f t="shared" si="2"/>
        <v>0.29971701855795463</v>
      </c>
    </row>
    <row r="16" spans="2:9" x14ac:dyDescent="0.3">
      <c r="B16">
        <v>12</v>
      </c>
      <c r="C16">
        <f t="array" ref="C16">SUM(IF(days_to_next_inc&lt;=B16,1, 0))</f>
        <v>38</v>
      </c>
      <c r="D16" s="25">
        <f t="array" ref="D16">SUM(IF(days_to_next_inc &lt;= B16, 1, 0)) / n</f>
        <v>0.37623762376237624</v>
      </c>
      <c r="G16" s="32">
        <f t="shared" si="0"/>
        <v>0.37946008815224996</v>
      </c>
      <c r="H16" s="25">
        <f t="shared" si="1"/>
        <v>0.43707832078952547</v>
      </c>
      <c r="I16" s="25">
        <f t="shared" si="2"/>
        <v>0.32203459534071688</v>
      </c>
    </row>
    <row r="17" spans="2:17" x14ac:dyDescent="0.3">
      <c r="B17">
        <v>13</v>
      </c>
      <c r="C17">
        <f t="array" ref="C17">SUM(IF(days_to_next_inc&lt;=B17,1, 0))</f>
        <v>41</v>
      </c>
      <c r="D17" s="25">
        <f t="array" ref="D17">SUM(IF(days_to_next_inc &lt;= B17, 1, 0)) / n</f>
        <v>0.40594059405940597</v>
      </c>
      <c r="G17" s="32">
        <f t="shared" si="0"/>
        <v>0.40365095290738595</v>
      </c>
      <c r="H17" s="25">
        <f t="shared" si="1"/>
        <v>0.46339838875792649</v>
      </c>
      <c r="I17" s="25">
        <f t="shared" si="2"/>
        <v>0.34364092503244048</v>
      </c>
    </row>
    <row r="18" spans="2:17" x14ac:dyDescent="0.3">
      <c r="B18">
        <v>14</v>
      </c>
      <c r="C18">
        <f t="array" ref="C18">SUM(IF(days_to_next_inc&lt;=B18,1, 0))</f>
        <v>46</v>
      </c>
      <c r="D18" s="25">
        <f t="array" ref="D18">SUM(IF(days_to_next_inc &lt;= B18, 1, 0)) / n</f>
        <v>0.45544554455445546</v>
      </c>
      <c r="G18" s="32">
        <f t="shared" si="0"/>
        <v>0.42689877125015041</v>
      </c>
      <c r="H18" s="25">
        <f t="shared" si="1"/>
        <v>0.48848783086229464</v>
      </c>
      <c r="I18" s="25">
        <f t="shared" si="2"/>
        <v>0.36455867462916336</v>
      </c>
    </row>
    <row r="19" spans="2:17" x14ac:dyDescent="0.3">
      <c r="B19">
        <v>15</v>
      </c>
      <c r="C19">
        <f t="array" ref="C19">SUM(IF(days_to_next_inc&lt;=B19,1, 0))</f>
        <v>48</v>
      </c>
      <c r="D19" s="25">
        <f t="array" ref="D19">SUM(IF(days_to_next_inc &lt;= B19, 1, 0)) / n</f>
        <v>0.47524752475247523</v>
      </c>
      <c r="G19" s="32">
        <f t="shared" si="0"/>
        <v>0.44924030650194158</v>
      </c>
      <c r="H19" s="25">
        <f t="shared" si="1"/>
        <v>0.51240418646837338</v>
      </c>
      <c r="I19" s="25">
        <f t="shared" si="2"/>
        <v>0.38480978874406135</v>
      </c>
    </row>
    <row r="20" spans="2:17" x14ac:dyDescent="0.3">
      <c r="B20">
        <v>16</v>
      </c>
      <c r="C20">
        <f t="array" ref="C20">SUM(IF(days_to_next_inc&lt;=B20,1, 0))</f>
        <v>50</v>
      </c>
      <c r="D20" s="25">
        <f t="array" ref="D20">SUM(IF(days_to_next_inc &lt;= B20, 1, 0)) / n</f>
        <v>0.49504950495049505</v>
      </c>
      <c r="G20" s="32">
        <f t="shared" si="0"/>
        <v>0.47071088881842682</v>
      </c>
      <c r="H20" s="25">
        <f t="shared" si="1"/>
        <v>0.53520230462090201</v>
      </c>
      <c r="I20" s="25">
        <f t="shared" si="2"/>
        <v>0.40441551262933384</v>
      </c>
    </row>
    <row r="21" spans="2:17" x14ac:dyDescent="0.3">
      <c r="B21">
        <v>17</v>
      </c>
      <c r="C21">
        <f t="array" ref="C21">SUM(IF(days_to_next_inc&lt;=B21,1, 0))</f>
        <v>52</v>
      </c>
      <c r="D21" s="25">
        <f t="array" ref="D21">SUM(IF(days_to_next_inc &lt;= B21, 1, 0)) / n</f>
        <v>0.51485148514851486</v>
      </c>
      <c r="G21" s="32">
        <f t="shared" si="0"/>
        <v>0.49134447105946888</v>
      </c>
      <c r="H21" s="25">
        <f t="shared" si="1"/>
        <v>0.55693446983275186</v>
      </c>
      <c r="I21" s="25">
        <f t="shared" si="2"/>
        <v>0.42339641446439702</v>
      </c>
    </row>
    <row r="22" spans="2:17" ht="15" thickBot="1" x14ac:dyDescent="0.35">
      <c r="B22">
        <v>18</v>
      </c>
      <c r="C22">
        <f t="array" ref="C22">SUM(IF(days_to_next_inc&lt;=B22,1, 0))</f>
        <v>55</v>
      </c>
      <c r="D22" s="25">
        <f t="array" ref="D22">SUM(IF(days_to_next_inc &lt;= B22, 1, 0)) / n</f>
        <v>0.54455445544554459</v>
      </c>
      <c r="G22" s="32">
        <f t="shared" si="0"/>
        <v>0.51117368248104067</v>
      </c>
      <c r="H22" s="25">
        <f t="shared" si="1"/>
        <v>0.57765052199264288</v>
      </c>
      <c r="I22" s="25">
        <f t="shared" si="2"/>
        <v>0.44177240693376685</v>
      </c>
    </row>
    <row r="23" spans="2:17" ht="15" thickBot="1" x14ac:dyDescent="0.35">
      <c r="B23">
        <v>19</v>
      </c>
      <c r="C23">
        <f t="array" ref="C23">SUM(IF(days_to_next_inc&lt;=B23,1, 0))</f>
        <v>56</v>
      </c>
      <c r="D23" s="25">
        <f t="array" ref="D23">SUM(IF(days_to_next_inc &lt;= B23, 1, 0)) / n</f>
        <v>0.5544554455445545</v>
      </c>
      <c r="G23" s="32">
        <f t="shared" si="0"/>
        <v>0.53022988033403806</v>
      </c>
      <c r="H23" s="25">
        <f t="shared" si="1"/>
        <v>0.59739797066643252</v>
      </c>
      <c r="I23" s="25">
        <f t="shared" si="2"/>
        <v>0.45956276811726671</v>
      </c>
      <c r="N23" s="38" t="s">
        <v>226</v>
      </c>
      <c r="O23" s="39"/>
      <c r="P23" s="39"/>
      <c r="Q23" s="40"/>
    </row>
    <row r="24" spans="2:17" x14ac:dyDescent="0.3">
      <c r="B24">
        <v>20</v>
      </c>
      <c r="C24">
        <f t="array" ref="C24">SUM(IF(days_to_next_inc&lt;=B24,1, 0))</f>
        <v>57</v>
      </c>
      <c r="D24" s="25">
        <f t="array" ref="D24">SUM(IF(days_to_next_inc &lt;= B24, 1, 0)) / n</f>
        <v>0.5643564356435643</v>
      </c>
      <c r="G24" s="32">
        <f t="shared" si="0"/>
        <v>0.54854319945158658</v>
      </c>
      <c r="H24" s="25">
        <f t="shared" si="1"/>
        <v>0.61622210405411426</v>
      </c>
      <c r="I24" s="25">
        <f t="shared" si="2"/>
        <v>0.47678616171448007</v>
      </c>
      <c r="N24" s="37" t="s">
        <v>218</v>
      </c>
      <c r="O24" s="86">
        <f t="array" ref="O24">1/(12*52) + SUM((G5:G56-D5:D56)^2)</f>
        <v>2.8473228873236937E-2</v>
      </c>
      <c r="P24" s="87"/>
      <c r="Q24" s="88"/>
    </row>
    <row r="25" spans="2:17" x14ac:dyDescent="0.3">
      <c r="B25">
        <v>21</v>
      </c>
      <c r="C25">
        <f t="array" ref="C25">SUM(IF(days_to_next_inc&lt;=B25,1, 0))</f>
        <v>58</v>
      </c>
      <c r="D25" s="25">
        <f t="array" ref="D25">SUM(IF(days_to_next_inc &lt;= B25, 1, 0)) / n</f>
        <v>0.57425742574257421</v>
      </c>
      <c r="G25" s="32">
        <f t="shared" si="0"/>
        <v>0.56614259990325744</v>
      </c>
      <c r="H25" s="25">
        <f t="shared" si="1"/>
        <v>0.63416609285240111</v>
      </c>
      <c r="I25" s="25">
        <f t="shared" si="2"/>
        <v>0.49346065662465965</v>
      </c>
      <c r="N25" s="36" t="s">
        <v>219</v>
      </c>
      <c r="O25" s="89">
        <f>(1 + 0.16/52)*O24</f>
        <v>2.8560838808231511E-2</v>
      </c>
      <c r="P25" s="90"/>
      <c r="Q25" s="91"/>
    </row>
    <row r="26" spans="2:17" x14ac:dyDescent="0.3">
      <c r="B26">
        <v>23</v>
      </c>
      <c r="C26">
        <f t="array" ref="C26">SUM(IF(days_to_next_inc&lt;=B26,1, 0))</f>
        <v>61</v>
      </c>
      <c r="D26" s="25">
        <f t="array" ref="D26">SUM(IF(days_to_next_inc &lt;= B26, 1, 0)) / n</f>
        <v>0.60396039603960394</v>
      </c>
      <c r="G26" s="32">
        <f t="shared" si="0"/>
        <v>0.59930988426307175</v>
      </c>
      <c r="H26" s="25">
        <f t="shared" si="1"/>
        <v>0.66757632136028744</v>
      </c>
      <c r="I26" s="25">
        <f t="shared" si="2"/>
        <v>0.52523236511063442</v>
      </c>
      <c r="N26" s="36" t="s">
        <v>223</v>
      </c>
      <c r="O26" s="41">
        <v>0.01</v>
      </c>
      <c r="P26" s="41">
        <v>0.05</v>
      </c>
      <c r="Q26" s="42">
        <v>0.1</v>
      </c>
    </row>
    <row r="27" spans="2:17" x14ac:dyDescent="0.3">
      <c r="B27">
        <v>24</v>
      </c>
      <c r="C27">
        <f t="array" ref="C27">SUM(IF(days_to_next_inc&lt;=B27,1, 0))</f>
        <v>65</v>
      </c>
      <c r="D27" s="25">
        <f t="array" ref="D27">SUM(IF(days_to_next_inc &lt;= B27, 1, 0)) / n</f>
        <v>0.64356435643564358</v>
      </c>
      <c r="G27" s="32">
        <f t="shared" si="0"/>
        <v>0.6149302178039866</v>
      </c>
      <c r="H27" s="25">
        <f t="shared" si="1"/>
        <v>0.68311918307485953</v>
      </c>
      <c r="I27" s="25">
        <f t="shared" si="2"/>
        <v>0.54036291008517445</v>
      </c>
      <c r="N27" s="36" t="s">
        <v>231</v>
      </c>
      <c r="O27" s="41">
        <v>0.33700000000000002</v>
      </c>
      <c r="P27" s="41">
        <v>0.224</v>
      </c>
      <c r="Q27" s="41">
        <v>0.17699999999999999</v>
      </c>
    </row>
    <row r="28" spans="2:17" ht="15" thickBot="1" x14ac:dyDescent="0.35">
      <c r="B28">
        <v>25</v>
      </c>
      <c r="C28">
        <f t="array" ref="C28">SUM(IF(days_to_next_inc&lt;=B28,1, 0))</f>
        <v>67</v>
      </c>
      <c r="D28" s="25">
        <f t="array" ref="D28">SUM(IF(days_to_next_inc &lt;= B28, 1, 0)) / n</f>
        <v>0.6633663366336634</v>
      </c>
      <c r="G28" s="32">
        <f t="shared" si="0"/>
        <v>0.62994161488665956</v>
      </c>
      <c r="H28" s="25">
        <f t="shared" si="1"/>
        <v>0.69793531993256575</v>
      </c>
      <c r="I28" s="25">
        <f t="shared" si="2"/>
        <v>0.5550112541378257</v>
      </c>
      <c r="O28" s="43"/>
      <c r="P28" s="43"/>
      <c r="Q28" s="43"/>
    </row>
    <row r="29" spans="2:17" ht="15" thickBot="1" x14ac:dyDescent="0.35">
      <c r="B29">
        <v>26</v>
      </c>
      <c r="C29">
        <f t="array" ref="C29">SUM(IF(days_to_next_inc&lt;=B29,1, 0))</f>
        <v>68</v>
      </c>
      <c r="D29" s="25">
        <f t="array" ref="D29">SUM(IF(days_to_next_inc &lt;= B29, 1, 0)) / n</f>
        <v>0.67326732673267331</v>
      </c>
      <c r="G29" s="32">
        <f t="shared" si="0"/>
        <v>0.64436781403173116</v>
      </c>
      <c r="H29" s="25">
        <f t="shared" si="1"/>
        <v>0.71205871081241057</v>
      </c>
      <c r="I29" s="25">
        <f t="shared" si="2"/>
        <v>0.5691927647077295</v>
      </c>
      <c r="N29" s="38" t="s">
        <v>220</v>
      </c>
      <c r="O29" s="39"/>
      <c r="P29" s="39"/>
      <c r="Q29" s="40"/>
    </row>
    <row r="30" spans="2:17" x14ac:dyDescent="0.3">
      <c r="B30">
        <v>27</v>
      </c>
      <c r="C30">
        <f t="array" ref="C30">SUM(IF(days_to_next_inc&lt;=B30,1, 0))</f>
        <v>69</v>
      </c>
      <c r="D30" s="25">
        <f t="array" ref="D30">SUM(IF(days_to_next_inc &lt;= B30, 1, 0)) / n</f>
        <v>0.68316831683168322</v>
      </c>
      <c r="G30" s="32">
        <f t="shared" si="0"/>
        <v>0.65823162834742099</v>
      </c>
      <c r="H30" s="25">
        <f t="shared" si="1"/>
        <v>0.72552174587077922</v>
      </c>
      <c r="I30" s="25">
        <f t="shared" si="2"/>
        <v>0.58292231948343765</v>
      </c>
      <c r="N30" s="37" t="s">
        <v>221</v>
      </c>
      <c r="O30" s="92">
        <f t="array" ref="O30">MAX(ABS(G5:G56-D5:D56))</f>
        <v>6.3965189476075379E-2</v>
      </c>
      <c r="P30" s="93"/>
      <c r="Q30" s="94"/>
    </row>
    <row r="31" spans="2:17" x14ac:dyDescent="0.3">
      <c r="B31">
        <v>29</v>
      </c>
      <c r="C31">
        <f t="array" ref="C31">SUM(IF(days_to_next_inc&lt;=B31,1, 0))</f>
        <v>71</v>
      </c>
      <c r="D31" s="25">
        <f t="array" ref="D31">SUM(IF(days_to_next_inc &lt;= B31, 1, 0)) / n</f>
        <v>0.70297029702970293</v>
      </c>
      <c r="G31" s="32">
        <f t="shared" si="0"/>
        <v>0.68435894291037225</v>
      </c>
      <c r="H31" s="25">
        <f t="shared" si="1"/>
        <v>0.75058880775797354</v>
      </c>
      <c r="I31" s="25">
        <f t="shared" si="2"/>
        <v>0.60908271680436132</v>
      </c>
      <c r="N31" s="36" t="s">
        <v>222</v>
      </c>
      <c r="O31" s="95">
        <f>n</f>
        <v>101</v>
      </c>
      <c r="P31" s="96"/>
      <c r="Q31" s="97"/>
    </row>
    <row r="32" spans="2:17" x14ac:dyDescent="0.3">
      <c r="B32">
        <v>30</v>
      </c>
      <c r="C32">
        <f t="array" ref="C32">SUM(IF(days_to_next_inc&lt;=B32,1, 0))</f>
        <v>72</v>
      </c>
      <c r="D32" s="25">
        <f t="array" ref="D32">SUM(IF(days_to_next_inc &lt;= B32, 1, 0)) / n</f>
        <v>0.71287128712871284</v>
      </c>
      <c r="G32" s="32">
        <f t="shared" si="0"/>
        <v>0.69666376001792463</v>
      </c>
      <c r="H32" s="25">
        <f t="shared" si="1"/>
        <v>0.76225032262643122</v>
      </c>
      <c r="I32" s="25">
        <f t="shared" si="2"/>
        <v>0.62154100397487355</v>
      </c>
      <c r="N32" s="36" t="s">
        <v>223</v>
      </c>
      <c r="O32" s="41">
        <v>0.01</v>
      </c>
      <c r="P32" s="41">
        <v>0.05</v>
      </c>
      <c r="Q32" s="41">
        <v>0.1</v>
      </c>
    </row>
    <row r="33" spans="2:17" x14ac:dyDescent="0.3">
      <c r="B33">
        <v>31</v>
      </c>
      <c r="C33">
        <f t="array" ref="C33">SUM(IF(days_to_next_inc&lt;=B33,1, 0))</f>
        <v>73</v>
      </c>
      <c r="D33" s="25">
        <f t="array" ref="D33">SUM(IF(days_to_next_inc &lt;= B33, 1, 0)) / n</f>
        <v>0.72277227722772275</v>
      </c>
      <c r="G33" s="32">
        <f t="shared" si="0"/>
        <v>0.70848889135377702</v>
      </c>
      <c r="H33" s="25">
        <f t="shared" si="1"/>
        <v>0.77336658959400351</v>
      </c>
      <c r="I33" s="25">
        <f t="shared" si="2"/>
        <v>0.63360225339367993</v>
      </c>
      <c r="N33" s="36" t="s">
        <v>231</v>
      </c>
      <c r="O33" s="41">
        <f>1.25/SQRT(O31)</f>
        <v>0.12437964877624864</v>
      </c>
      <c r="P33" s="41">
        <f>1.06/SQRT(O31)</f>
        <v>0.10547394216225886</v>
      </c>
      <c r="Q33" s="41">
        <f>0.96 / SQRT(O31)</f>
        <v>9.5523570260158952E-2</v>
      </c>
    </row>
    <row r="34" spans="2:17" x14ac:dyDescent="0.3">
      <c r="B34">
        <v>34</v>
      </c>
      <c r="C34">
        <f t="array" ref="C34">SUM(IF(days_to_next_inc&lt;=B34,1, 0))</f>
        <v>74</v>
      </c>
      <c r="D34" s="25">
        <f t="array" ref="D34">SUM(IF(days_to_next_inc &lt;= B34, 1, 0)) / n</f>
        <v>0.73267326732673266</v>
      </c>
      <c r="G34" s="32">
        <f t="shared" si="0"/>
        <v>0.74126955287822849</v>
      </c>
      <c r="H34" s="25">
        <f t="shared" si="1"/>
        <v>0.80369293597761537</v>
      </c>
      <c r="I34" s="25">
        <f t="shared" si="2"/>
        <v>0.66752830514748662</v>
      </c>
    </row>
    <row r="35" spans="2:17" x14ac:dyDescent="0.3">
      <c r="B35">
        <v>35</v>
      </c>
      <c r="C35">
        <f t="array" ref="C35">SUM(IF(days_to_next_inc&lt;=B35,1, 0))</f>
        <v>76</v>
      </c>
      <c r="D35" s="25">
        <f t="array" ref="D35">SUM(IF(days_to_next_inc &lt;= B35, 1, 0)) / n</f>
        <v>0.75247524752475248</v>
      </c>
      <c r="G35" s="32">
        <f t="shared" si="0"/>
        <v>0.75135579090234184</v>
      </c>
      <c r="H35" s="25">
        <f t="shared" si="1"/>
        <v>0.81287150461080981</v>
      </c>
      <c r="I35" s="25">
        <f t="shared" si="2"/>
        <v>0.6781239682931004</v>
      </c>
    </row>
    <row r="36" spans="2:17" x14ac:dyDescent="0.3">
      <c r="B36">
        <v>36</v>
      </c>
      <c r="C36">
        <f t="array" ref="C36">SUM(IF(days_to_next_inc&lt;=B36,1, 0))</f>
        <v>78</v>
      </c>
      <c r="D36" s="25">
        <f t="array" ref="D36">SUM(IF(days_to_next_inc &lt;= B36, 1, 0)) / n</f>
        <v>0.7722772277227723</v>
      </c>
      <c r="G36" s="32">
        <f t="shared" si="0"/>
        <v>0.76104883130085355</v>
      </c>
      <c r="H36" s="25">
        <f t="shared" si="1"/>
        <v>0.82162091842691298</v>
      </c>
      <c r="I36" s="25">
        <f t="shared" si="2"/>
        <v>0.68838195433948002</v>
      </c>
    </row>
    <row r="37" spans="2:17" x14ac:dyDescent="0.3">
      <c r="B37">
        <v>38</v>
      </c>
      <c r="C37">
        <f t="array" ref="C37">SUM(IF(days_to_next_inc&lt;=B37,1, 0))</f>
        <v>81</v>
      </c>
      <c r="D37" s="25">
        <f t="array" ref="D37">SUM(IF(days_to_next_inc &lt;= B37, 1, 0)) / n</f>
        <v>0.80198019801980203</v>
      </c>
      <c r="G37" s="32">
        <f t="shared" ref="G37:G56" si="3" xml:space="preserve"> 1 - EXP(-B37 / tau)</f>
        <v>0.77931603466902777</v>
      </c>
      <c r="H37" s="25">
        <f t="shared" ref="H37:H56" si="4" xml:space="preserve"> 1 - EXP(-B37 / tau_dol)</f>
        <v>0.83791160597649328</v>
      </c>
      <c r="I37" s="25">
        <f t="shared" ref="I37:I56" si="5" xml:space="preserve"> 1 - EXP(-B37 / tau_hor)</f>
        <v>0.7079275983949288</v>
      </c>
    </row>
    <row r="38" spans="2:17" x14ac:dyDescent="0.3">
      <c r="B38">
        <v>40</v>
      </c>
      <c r="C38">
        <f t="array" ref="C38">SUM(IF(days_to_next_inc&lt;=B38,1, 0))</f>
        <v>82</v>
      </c>
      <c r="D38" s="25">
        <f t="array" ref="D38">SUM(IF(days_to_next_inc &lt;= B38, 1, 0)) / n</f>
        <v>0.81188118811881194</v>
      </c>
      <c r="G38" s="32">
        <f t="shared" si="3"/>
        <v>0.79618675723859011</v>
      </c>
      <c r="H38" s="25">
        <f t="shared" si="4"/>
        <v>0.8527145265833489</v>
      </c>
      <c r="I38" s="25">
        <f t="shared" si="5"/>
        <v>0.72624727942653378</v>
      </c>
    </row>
    <row r="39" spans="2:17" x14ac:dyDescent="0.3">
      <c r="B39">
        <v>41</v>
      </c>
      <c r="C39">
        <f t="array" ref="C39">SUM(IF(days_to_next_inc&lt;=B39,1, 0))</f>
        <v>83</v>
      </c>
      <c r="D39" s="25">
        <f t="array" ref="D39">SUM(IF(days_to_next_inc &lt;= B39, 1, 0)) / n</f>
        <v>0.82178217821782173</v>
      </c>
      <c r="G39" s="32">
        <f t="shared" si="3"/>
        <v>0.80413212625807173</v>
      </c>
      <c r="H39" s="25">
        <f t="shared" si="4"/>
        <v>0.85960103284923195</v>
      </c>
      <c r="I39" s="25">
        <f t="shared" si="5"/>
        <v>0.73497160590996125</v>
      </c>
    </row>
    <row r="40" spans="2:17" x14ac:dyDescent="0.3">
      <c r="B40">
        <v>43</v>
      </c>
      <c r="C40">
        <f t="array" ref="C40">SUM(IF(days_to_next_inc&lt;=B40,1, 0))</f>
        <v>84</v>
      </c>
      <c r="D40" s="25">
        <f t="array" ref="D40">SUM(IF(days_to_next_inc &lt;= B40, 1, 0)) / n</f>
        <v>0.83168316831683164</v>
      </c>
      <c r="G40" s="32">
        <f t="shared" si="3"/>
        <v>0.81910572233803292</v>
      </c>
      <c r="H40" s="25">
        <f t="shared" si="4"/>
        <v>0.87242314004905985</v>
      </c>
      <c r="I40" s="25">
        <f t="shared" si="5"/>
        <v>0.75159500345579677</v>
      </c>
    </row>
    <row r="41" spans="2:17" x14ac:dyDescent="0.3">
      <c r="B41">
        <v>44</v>
      </c>
      <c r="C41">
        <f t="array" ref="C41">SUM(IF(days_to_next_inc&lt;=B41,1, 0))</f>
        <v>85</v>
      </c>
      <c r="D41" s="25">
        <f t="array" ref="D41">SUM(IF(days_to_next_inc &lt;= B41, 1, 0)) / n</f>
        <v>0.84158415841584155</v>
      </c>
      <c r="G41" s="32">
        <f t="shared" si="3"/>
        <v>0.8261576281419134</v>
      </c>
      <c r="H41" s="25">
        <f t="shared" si="4"/>
        <v>0.87838814681485622</v>
      </c>
      <c r="I41" s="25">
        <f t="shared" si="5"/>
        <v>0.75951151396727745</v>
      </c>
    </row>
    <row r="42" spans="2:17" x14ac:dyDescent="0.3">
      <c r="B42">
        <v>47</v>
      </c>
      <c r="C42">
        <f t="array" ref="C42">SUM(IF(days_to_next_inc&lt;=B42,1, 0))</f>
        <v>86</v>
      </c>
      <c r="D42" s="25">
        <f t="array" ref="D42">SUM(IF(days_to_next_inc &lt;= B42, 1, 0)) / n</f>
        <v>0.85148514851485146</v>
      </c>
      <c r="G42" s="32">
        <f t="shared" si="3"/>
        <v>0.84570634440508563</v>
      </c>
      <c r="H42" s="25">
        <f t="shared" si="4"/>
        <v>0.8946613131473875</v>
      </c>
      <c r="I42" s="25">
        <f t="shared" si="5"/>
        <v>0.78177918591370754</v>
      </c>
    </row>
    <row r="43" spans="2:17" x14ac:dyDescent="0.3">
      <c r="B43">
        <v>49</v>
      </c>
      <c r="C43">
        <f t="array" ref="C43">SUM(IF(days_to_next_inc&lt;=B43,1, 0))</f>
        <v>87</v>
      </c>
      <c r="D43" s="25">
        <f t="array" ref="D43">SUM(IF(days_to_next_inc &lt;= B43, 1, 0)) / n</f>
        <v>0.86138613861386137</v>
      </c>
      <c r="G43" s="32">
        <f t="shared" si="3"/>
        <v>0.85750169824459754</v>
      </c>
      <c r="H43" s="25">
        <f t="shared" si="4"/>
        <v>0.90428149741600028</v>
      </c>
      <c r="I43" s="25">
        <f t="shared" si="5"/>
        <v>0.79546666780706232</v>
      </c>
    </row>
    <row r="44" spans="2:17" x14ac:dyDescent="0.3">
      <c r="B44">
        <v>51</v>
      </c>
      <c r="C44">
        <f t="array" ref="C44">SUM(IF(days_to_next_inc&lt;=B44,1, 0))</f>
        <v>88</v>
      </c>
      <c r="D44" s="25">
        <f t="array" ref="D44">SUM(IF(days_to_next_inc &lt;= B44, 1, 0)) / n</f>
        <v>0.87128712871287128</v>
      </c>
      <c r="G44" s="32">
        <f t="shared" si="3"/>
        <v>0.86839532756625526</v>
      </c>
      <c r="H44" s="25">
        <f t="shared" si="4"/>
        <v>0.91302310660334618</v>
      </c>
      <c r="I44" s="25">
        <f t="shared" si="5"/>
        <v>0.808295628658942</v>
      </c>
    </row>
    <row r="45" spans="2:17" x14ac:dyDescent="0.3">
      <c r="B45">
        <v>58</v>
      </c>
      <c r="C45">
        <f t="array" ref="C45">SUM(IF(days_to_next_inc&lt;=B45,1, 0))</f>
        <v>90</v>
      </c>
      <c r="D45" s="25">
        <f t="array" ref="D45">SUM(IF(days_to_next_inc &lt;= B45, 1, 0)) / n</f>
        <v>0.8910891089108911</v>
      </c>
      <c r="G45" s="32">
        <f t="shared" si="3"/>
        <v>0.90037072307934229</v>
      </c>
      <c r="H45" s="25">
        <f t="shared" si="4"/>
        <v>0.93779405718441089</v>
      </c>
      <c r="I45" s="25">
        <f t="shared" si="5"/>
        <v>0.84718367769894087</v>
      </c>
    </row>
    <row r="46" spans="2:17" x14ac:dyDescent="0.3">
      <c r="B46">
        <v>59</v>
      </c>
      <c r="C46">
        <f t="array" ref="C46">SUM(IF(days_to_next_inc&lt;=B46,1, 0))</f>
        <v>91</v>
      </c>
      <c r="D46" s="25">
        <f t="array" ref="D46">SUM(IF(days_to_next_inc &lt;= B46, 1, 0)) / n</f>
        <v>0.90099009900990101</v>
      </c>
      <c r="G46" s="32">
        <f t="shared" si="3"/>
        <v>0.90425462855846472</v>
      </c>
      <c r="H46" s="25">
        <f t="shared" si="4"/>
        <v>0.94070256951110109</v>
      </c>
      <c r="I46" s="25">
        <f t="shared" si="5"/>
        <v>0.85205383747290853</v>
      </c>
    </row>
    <row r="47" spans="2:17" x14ac:dyDescent="0.3">
      <c r="B47">
        <v>62</v>
      </c>
      <c r="C47">
        <f t="array" ref="C47">SUM(IF(days_to_next_inc&lt;=B47,1, 0))</f>
        <v>92</v>
      </c>
      <c r="D47" s="25">
        <f t="array" ref="D47">SUM(IF(days_to_next_inc &lt;= B47, 1, 0)) / n</f>
        <v>0.91089108910891092</v>
      </c>
      <c r="G47" s="32">
        <f t="shared" si="3"/>
        <v>0.91502127353584994</v>
      </c>
      <c r="H47" s="25">
        <f t="shared" si="4"/>
        <v>0.94863729728774715</v>
      </c>
      <c r="I47" s="25">
        <f t="shared" si="5"/>
        <v>0.86575269128181087</v>
      </c>
    </row>
    <row r="48" spans="2:17" x14ac:dyDescent="0.3">
      <c r="B48">
        <v>65</v>
      </c>
      <c r="C48">
        <f t="array" ref="C48">SUM(IF(days_to_next_inc&lt;=B48,1, 0))</f>
        <v>93</v>
      </c>
      <c r="D48" s="25">
        <f t="array" ref="D48">SUM(IF(days_to_next_inc &lt;= B48, 1, 0)) / n</f>
        <v>0.92079207920792083</v>
      </c>
      <c r="G48" s="32">
        <f t="shared" si="3"/>
        <v>0.92457720051899939</v>
      </c>
      <c r="H48" s="25">
        <f t="shared" si="4"/>
        <v>0.95551026059381872</v>
      </c>
      <c r="I48" s="25">
        <f t="shared" si="5"/>
        <v>0.87818312019565503</v>
      </c>
    </row>
    <row r="49" spans="2:9" x14ac:dyDescent="0.3">
      <c r="B49">
        <v>66</v>
      </c>
      <c r="C49">
        <f t="array" ref="C49">SUM(IF(days_to_next_inc&lt;=B49,1, 0))</f>
        <v>94</v>
      </c>
      <c r="D49" s="25">
        <f t="array" ref="D49">SUM(IF(days_to_next_inc &lt;= B49, 1, 0)) / n</f>
        <v>0.93069306930693074</v>
      </c>
      <c r="G49" s="32">
        <f t="shared" si="3"/>
        <v>0.92751745094747839</v>
      </c>
      <c r="H49" s="25">
        <f t="shared" si="4"/>
        <v>0.95759043090580509</v>
      </c>
      <c r="I49" s="25">
        <f t="shared" si="5"/>
        <v>0.88206534729600761</v>
      </c>
    </row>
    <row r="50" spans="2:9" x14ac:dyDescent="0.3">
      <c r="B50">
        <v>71</v>
      </c>
      <c r="C50">
        <f t="array" ref="C50">SUM(IF(days_to_next_inc&lt;=B50,1, 0))</f>
        <v>95</v>
      </c>
      <c r="D50" s="25">
        <f t="array" ref="D50">SUM(IF(days_to_next_inc &lt;= B50, 1, 0)) / n</f>
        <v>0.94059405940594054</v>
      </c>
      <c r="G50" s="32">
        <f t="shared" si="3"/>
        <v>0.94058617564583968</v>
      </c>
      <c r="H50" s="25">
        <f t="shared" si="4"/>
        <v>0.96662019085632256</v>
      </c>
      <c r="I50" s="25">
        <f t="shared" si="5"/>
        <v>0.89969762005453235</v>
      </c>
    </row>
    <row r="51" spans="2:9" x14ac:dyDescent="0.3">
      <c r="B51">
        <v>73</v>
      </c>
      <c r="C51">
        <f t="array" ref="C51">SUM(IF(days_to_next_inc&lt;=B51,1, 0))</f>
        <v>96</v>
      </c>
      <c r="D51" s="25">
        <f t="array" ref="D51">SUM(IF(days_to_next_inc &lt;= B51, 1, 0)) / n</f>
        <v>0.95049504950495045</v>
      </c>
      <c r="G51" s="32">
        <f t="shared" si="3"/>
        <v>0.94512820997974534</v>
      </c>
      <c r="H51" s="25">
        <f t="shared" si="4"/>
        <v>0.96966864270633102</v>
      </c>
      <c r="I51" s="25">
        <f t="shared" si="5"/>
        <v>0.90598889440025576</v>
      </c>
    </row>
    <row r="52" spans="2:9" x14ac:dyDescent="0.3">
      <c r="B52">
        <v>75</v>
      </c>
      <c r="C52">
        <f t="array" ref="C52">SUM(IF(days_to_next_inc&lt;=B52,1, 0))</f>
        <v>97</v>
      </c>
      <c r="D52" s="25">
        <f t="array" ref="D52">SUM(IF(days_to_next_inc &lt;= B52, 1, 0)) / n</f>
        <v>0.96039603960396036</v>
      </c>
      <c r="G52" s="32">
        <f t="shared" si="3"/>
        <v>0.94932301744996028</v>
      </c>
      <c r="H52" s="25">
        <f t="shared" si="4"/>
        <v>0.97243869096685753</v>
      </c>
      <c r="I52" s="25">
        <f t="shared" si="5"/>
        <v>0.91188556063284498</v>
      </c>
    </row>
    <row r="53" spans="2:9" x14ac:dyDescent="0.3">
      <c r="B53">
        <v>80</v>
      </c>
      <c r="C53">
        <f t="array" ref="C53">SUM(IF(days_to_next_inc&lt;=B53,1, 0))</f>
        <v>98</v>
      </c>
      <c r="D53" s="25">
        <f t="array" ref="D53">SUM(IF(days_to_next_inc &lt;= B53, 1, 0)) / n</f>
        <v>0.97029702970297027</v>
      </c>
      <c r="G53" s="32">
        <f t="shared" si="3"/>
        <v>0.95846016207507856</v>
      </c>
      <c r="H53" s="25">
        <f t="shared" si="4"/>
        <v>0.97830698932043292</v>
      </c>
      <c r="I53" s="25">
        <f t="shared" si="5"/>
        <v>0.92505944797862572</v>
      </c>
    </row>
    <row r="54" spans="2:9" x14ac:dyDescent="0.3">
      <c r="B54">
        <v>100</v>
      </c>
      <c r="C54">
        <f t="array" ref="C54">SUM(IF(days_to_next_inc&lt;=B54,1, 0))</f>
        <v>99</v>
      </c>
      <c r="D54" s="25">
        <f t="array" ref="D54">SUM(IF(days_to_next_inc &lt;= B54, 1, 0)) / n</f>
        <v>0.98019801980198018</v>
      </c>
      <c r="G54" s="32">
        <f t="shared" si="3"/>
        <v>0.98124655767511537</v>
      </c>
      <c r="H54" s="25">
        <f t="shared" si="4"/>
        <v>0.99167470200466412</v>
      </c>
      <c r="I54" s="25">
        <f t="shared" si="5"/>
        <v>0.96079006613366114</v>
      </c>
    </row>
    <row r="55" spans="2:9" x14ac:dyDescent="0.3">
      <c r="B55">
        <v>107</v>
      </c>
      <c r="C55">
        <f t="array" ref="C55">SUM(IF(days_to_next_inc&lt;=B55,1, 0))</f>
        <v>100</v>
      </c>
      <c r="D55" s="25">
        <f t="array" ref="D55">SUM(IF(days_to_next_inc &lt;= B55, 1, 0)) / n</f>
        <v>0.99009900990099009</v>
      </c>
      <c r="G55" s="32">
        <f t="shared" si="3"/>
        <v>0.98580299723368758</v>
      </c>
      <c r="H55" s="25">
        <f t="shared" si="4"/>
        <v>0.99404574030186588</v>
      </c>
      <c r="I55" s="25">
        <f t="shared" si="5"/>
        <v>0.9687439683862944</v>
      </c>
    </row>
    <row r="56" spans="2:9" x14ac:dyDescent="0.3">
      <c r="B56">
        <v>165</v>
      </c>
      <c r="C56">
        <f t="array" ref="C56">SUM(IF(days_to_next_inc&lt;=B56,1, 0))</f>
        <v>101</v>
      </c>
      <c r="D56" s="25">
        <f t="array" ref="D56">SUM(IF(days_to_next_inc &lt;= B56, 1, 0)) / n</f>
        <v>1</v>
      </c>
      <c r="G56" s="32">
        <f t="shared" si="3"/>
        <v>0.9985855628799517</v>
      </c>
      <c r="H56" s="25">
        <f t="shared" si="4"/>
        <v>0.99962960966170866</v>
      </c>
      <c r="I56" s="25">
        <f t="shared" si="5"/>
        <v>0.99522356819906788</v>
      </c>
    </row>
    <row r="57" spans="2:9" x14ac:dyDescent="0.3">
      <c r="E57" s="25"/>
      <c r="F57" s="25"/>
    </row>
  </sheetData>
  <mergeCells count="4">
    <mergeCell ref="O24:Q24"/>
    <mergeCell ref="O25:Q25"/>
    <mergeCell ref="O30:Q30"/>
    <mergeCell ref="O31:Q31"/>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0. Cover Sheet</vt:lpstr>
      <vt:lpstr>1. Raw Data</vt:lpstr>
      <vt:lpstr>2. Data and Exploration</vt:lpstr>
      <vt:lpstr>3. Exp Model</vt:lpstr>
      <vt:lpstr>4. Validation</vt:lpstr>
      <vt:lpstr>days_to_next_inc</vt:lpstr>
      <vt:lpstr>mean</vt:lpstr>
      <vt:lpstr>n</vt:lpstr>
      <vt:lpstr>tau</vt:lpstr>
      <vt:lpstr>tau_dol</vt:lpstr>
      <vt:lpstr>tau_hor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Matas</dc:creator>
  <cp:lastModifiedBy>Jan Matas</cp:lastModifiedBy>
  <dcterms:created xsi:type="dcterms:W3CDTF">2021-03-22T15:37:25Z</dcterms:created>
  <dcterms:modified xsi:type="dcterms:W3CDTF">2021-04-11T23:48:20Z</dcterms:modified>
</cp:coreProperties>
</file>