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BFDDFB5F-F82B-4E93-A2D8-3F4E70A0B63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1技术上" sheetId="1" r:id="rId1"/>
    <sheet name="02经济上" sheetId="2" r:id="rId2"/>
    <sheet name="Sheet1" sheetId="4" r:id="rId3"/>
    <sheet name="te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7" i="2" l="1"/>
  <c r="L14" i="2"/>
  <c r="E7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N21" i="2" s="1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I6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E7" i="3"/>
  <c r="C8" i="3"/>
  <c r="J5" i="3"/>
  <c r="K5" i="3"/>
  <c r="G33" i="2"/>
  <c r="C8" i="2"/>
  <c r="N28" i="2" l="1"/>
  <c r="N12" i="2"/>
  <c r="N8" i="2"/>
  <c r="M24" i="2"/>
  <c r="M20" i="2"/>
  <c r="M16" i="2"/>
  <c r="M12" i="2"/>
  <c r="M8" i="2"/>
  <c r="M6" i="2"/>
  <c r="M23" i="2"/>
  <c r="M19" i="2"/>
  <c r="M17" i="2"/>
  <c r="N22" i="2"/>
  <c r="N18" i="2"/>
  <c r="N31" i="2"/>
  <c r="N27" i="2"/>
  <c r="N23" i="2"/>
  <c r="N19" i="2"/>
  <c r="N15" i="2"/>
  <c r="N11" i="2"/>
  <c r="N7" i="2"/>
  <c r="M31" i="2"/>
  <c r="M27" i="2"/>
  <c r="N10" i="2"/>
  <c r="M10" i="2"/>
  <c r="I5" i="3"/>
  <c r="M11" i="2"/>
  <c r="M7" i="2"/>
  <c r="N26" i="2"/>
  <c r="M30" i="2"/>
  <c r="M22" i="2"/>
  <c r="M18" i="2"/>
  <c r="M14" i="2"/>
  <c r="M32" i="2"/>
  <c r="N30" i="2"/>
  <c r="N14" i="2"/>
  <c r="N6" i="2"/>
  <c r="N32" i="2"/>
  <c r="M28" i="2"/>
  <c r="N29" i="2"/>
  <c r="N25" i="2"/>
  <c r="N17" i="2"/>
  <c r="N13" i="2"/>
  <c r="N9" i="2"/>
  <c r="M26" i="2"/>
  <c r="M29" i="2"/>
  <c r="M25" i="2"/>
  <c r="M21" i="2"/>
  <c r="M13" i="2"/>
  <c r="M9" i="2"/>
  <c r="L28" i="2"/>
  <c r="L29" i="2"/>
  <c r="L21" i="2"/>
  <c r="L13" i="2"/>
  <c r="L30" i="2"/>
  <c r="L25" i="2"/>
  <c r="L17" i="2"/>
  <c r="L27" i="2"/>
  <c r="L19" i="2"/>
  <c r="L24" i="2"/>
  <c r="L16" i="2"/>
  <c r="L10" i="2"/>
  <c r="L31" i="2"/>
  <c r="L23" i="2"/>
  <c r="L15" i="2"/>
  <c r="L9" i="2"/>
  <c r="L22" i="2"/>
  <c r="L6" i="2"/>
  <c r="L32" i="2"/>
  <c r="L11" i="2"/>
  <c r="L26" i="2"/>
  <c r="L20" i="2"/>
  <c r="L12" i="2"/>
  <c r="L18" i="2"/>
  <c r="L7" i="2"/>
  <c r="L8" i="2"/>
  <c r="M15" i="2" l="1"/>
  <c r="N16" i="2"/>
  <c r="N20" i="2"/>
  <c r="N24" i="2"/>
  <c r="G32" i="3" l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B17" i="3"/>
  <c r="C5" i="3" s="1"/>
  <c r="G16" i="3"/>
  <c r="G15" i="3"/>
  <c r="G14" i="3"/>
  <c r="G13" i="3"/>
  <c r="G12" i="3"/>
  <c r="G11" i="3"/>
  <c r="G10" i="3"/>
  <c r="G9" i="3"/>
  <c r="G8" i="3"/>
  <c r="G7" i="3"/>
  <c r="G6" i="3"/>
  <c r="G5" i="3"/>
  <c r="G23" i="2"/>
  <c r="G24" i="2"/>
  <c r="G25" i="2"/>
  <c r="G26" i="2"/>
  <c r="G27" i="2"/>
  <c r="G28" i="2"/>
  <c r="G29" i="2"/>
  <c r="G30" i="2"/>
  <c r="G31" i="2"/>
  <c r="G32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5" i="2"/>
  <c r="C5" i="2"/>
  <c r="K8" i="3" l="1"/>
  <c r="K16" i="3"/>
  <c r="K20" i="3"/>
  <c r="K24" i="3"/>
  <c r="K32" i="3"/>
  <c r="I21" i="3"/>
  <c r="J9" i="3"/>
  <c r="I30" i="3"/>
  <c r="K9" i="3"/>
  <c r="K13" i="3"/>
  <c r="K17" i="3"/>
  <c r="K21" i="3"/>
  <c r="K25" i="3"/>
  <c r="K29" i="3"/>
  <c r="I7" i="3"/>
  <c r="L6" i="3" s="1"/>
  <c r="I15" i="3"/>
  <c r="I23" i="3"/>
  <c r="I31" i="3"/>
  <c r="J17" i="3"/>
  <c r="J6" i="3"/>
  <c r="J10" i="3"/>
  <c r="J14" i="3"/>
  <c r="J18" i="3"/>
  <c r="J22" i="3"/>
  <c r="J26" i="3"/>
  <c r="J30" i="3"/>
  <c r="I8" i="3"/>
  <c r="I16" i="3"/>
  <c r="I24" i="3"/>
  <c r="I32" i="3"/>
  <c r="K6" i="3"/>
  <c r="K10" i="3"/>
  <c r="K14" i="3"/>
  <c r="K18" i="3"/>
  <c r="K22" i="3"/>
  <c r="K26" i="3"/>
  <c r="K30" i="3"/>
  <c r="I9" i="3"/>
  <c r="I17" i="3"/>
  <c r="I25" i="3"/>
  <c r="J29" i="3"/>
  <c r="J7" i="3"/>
  <c r="J11" i="3"/>
  <c r="J15" i="3"/>
  <c r="J19" i="3"/>
  <c r="J23" i="3"/>
  <c r="J27" i="3"/>
  <c r="J31" i="3"/>
  <c r="I10" i="3"/>
  <c r="I18" i="3"/>
  <c r="I26" i="3"/>
  <c r="K11" i="3"/>
  <c r="K31" i="3"/>
  <c r="I19" i="3"/>
  <c r="I6" i="3"/>
  <c r="K7" i="3"/>
  <c r="K15" i="3"/>
  <c r="K19" i="3"/>
  <c r="K23" i="3"/>
  <c r="K27" i="3"/>
  <c r="I11" i="3"/>
  <c r="I27" i="3"/>
  <c r="J21" i="3"/>
  <c r="J8" i="3"/>
  <c r="J12" i="3"/>
  <c r="J16" i="3"/>
  <c r="J20" i="3"/>
  <c r="J24" i="3"/>
  <c r="J28" i="3"/>
  <c r="J32" i="3"/>
  <c r="I12" i="3"/>
  <c r="I20" i="3"/>
  <c r="I28" i="3"/>
  <c r="K12" i="3"/>
  <c r="K28" i="3"/>
  <c r="I13" i="3"/>
  <c r="I29" i="3"/>
  <c r="J13" i="3"/>
  <c r="J25" i="3"/>
  <c r="I14" i="3"/>
  <c r="I22" i="3"/>
  <c r="B17" i="2" l="1"/>
  <c r="C7" i="1" l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I6" i="1"/>
  <c r="I7" i="1"/>
  <c r="I8" i="1"/>
  <c r="I9" i="1"/>
  <c r="I10" i="1"/>
  <c r="I11" i="1"/>
  <c r="I12" i="1"/>
  <c r="I13" i="1"/>
  <c r="I14" i="1"/>
  <c r="I15" i="1"/>
  <c r="I5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F8" i="1"/>
  <c r="F9" i="1"/>
  <c r="F10" i="1"/>
  <c r="F11" i="1"/>
  <c r="F12" i="1"/>
  <c r="F13" i="1"/>
  <c r="F14" i="1"/>
  <c r="F15" i="1"/>
  <c r="F5" i="1"/>
  <c r="F6" i="1"/>
  <c r="F7" i="1"/>
</calcChain>
</file>

<file path=xl/sharedStrings.xml><?xml version="1.0" encoding="utf-8"?>
<sst xmlns="http://schemas.openxmlformats.org/spreadsheetml/2006/main" count="149" uniqueCount="86">
  <si>
    <t>采油速度</t>
    <phoneticPr fontId="1" type="noConversion"/>
  </si>
  <si>
    <t>油井开发井数量与总井数比</t>
    <phoneticPr fontId="1" type="noConversion"/>
  </si>
  <si>
    <t>油井生产时效</t>
    <phoneticPr fontId="1" type="noConversion"/>
  </si>
  <si>
    <t>N</t>
    <phoneticPr fontId="1" type="noConversion"/>
  </si>
  <si>
    <t>η</t>
    <phoneticPr fontId="1" type="noConversion"/>
  </si>
  <si>
    <t>A</t>
    <phoneticPr fontId="1" type="noConversion"/>
  </si>
  <si>
    <t>qo</t>
    <phoneticPr fontId="1" type="noConversion"/>
  </si>
  <si>
    <t>Rot</t>
    <phoneticPr fontId="1" type="noConversion"/>
  </si>
  <si>
    <t>Vo</t>
    <phoneticPr fontId="1" type="noConversion"/>
  </si>
  <si>
    <t>基本信息</t>
    <phoneticPr fontId="1" type="noConversion"/>
  </si>
  <si>
    <t>单井产量</t>
    <phoneticPr fontId="1" type="noConversion"/>
  </si>
  <si>
    <t>计算</t>
    <phoneticPr fontId="1" type="noConversion"/>
  </si>
  <si>
    <t>井网密度</t>
    <phoneticPr fontId="1" type="noConversion"/>
  </si>
  <si>
    <t>平均井距</t>
    <phoneticPr fontId="1" type="noConversion"/>
  </si>
  <si>
    <t>采收率-驱油效率</t>
    <phoneticPr fontId="1" type="noConversion"/>
  </si>
  <si>
    <t>钻井和地面总费用，万元</t>
    <phoneticPr fontId="1" type="noConversion"/>
  </si>
  <si>
    <t>a</t>
    <phoneticPr fontId="1" type="noConversion"/>
  </si>
  <si>
    <t>P</t>
    <phoneticPr fontId="1" type="noConversion"/>
  </si>
  <si>
    <t>C</t>
    <phoneticPr fontId="1" type="noConversion"/>
  </si>
  <si>
    <t>F</t>
    <phoneticPr fontId="1" type="noConversion"/>
  </si>
  <si>
    <t>基本参数</t>
    <phoneticPr fontId="1" type="noConversion"/>
  </si>
  <si>
    <t>变化率</t>
    <phoneticPr fontId="1" type="noConversion"/>
  </si>
  <si>
    <t>总收益</t>
    <phoneticPr fontId="1" type="noConversion"/>
  </si>
  <si>
    <t>收益(元/吨)</t>
  </si>
  <si>
    <t>密度(V=1%)</t>
    <phoneticPr fontId="1" type="noConversion"/>
  </si>
  <si>
    <t>密度(V=1.25%)</t>
    <phoneticPr fontId="1" type="noConversion"/>
  </si>
  <si>
    <t>密度(V=1.5%)</t>
    <phoneticPr fontId="1" type="noConversion"/>
  </si>
  <si>
    <t>井距(V=1%)</t>
    <phoneticPr fontId="1" type="noConversion"/>
  </si>
  <si>
    <t>井距(V=1.25%)</t>
    <phoneticPr fontId="1" type="noConversion"/>
  </si>
  <si>
    <t>井距(V=1.5%)</t>
    <phoneticPr fontId="1" type="noConversion"/>
  </si>
  <si>
    <t>产油能力(t/d /m /Mpa)</t>
  </si>
  <si>
    <t>来源</t>
    <phoneticPr fontId="1" type="noConversion"/>
  </si>
  <si>
    <t>表7试油数据</t>
    <phoneticPr fontId="1" type="noConversion"/>
  </si>
  <si>
    <t>01连井剖面</t>
    <phoneticPr fontId="1" type="noConversion"/>
  </si>
  <si>
    <t>单井日产油量计算数据</t>
    <phoneticPr fontId="1" type="noConversion"/>
  </si>
  <si>
    <t>数据</t>
    <phoneticPr fontId="1" type="noConversion"/>
  </si>
  <si>
    <t>有效厚度平均值，m</t>
    <phoneticPr fontId="1" type="noConversion"/>
  </si>
  <si>
    <t>生产压差，Mpa</t>
    <phoneticPr fontId="1" type="noConversion"/>
  </si>
  <si>
    <t>假设</t>
    <phoneticPr fontId="1" type="noConversion"/>
  </si>
  <si>
    <r>
      <t>含有面积，km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</si>
  <si>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单井日产油量 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/d</t>
    </r>
    <phoneticPr fontId="1" type="noConversion"/>
  </si>
  <si>
    <r>
      <t>地质储量，10</t>
    </r>
    <r>
      <rPr>
        <vertAlign val="superscript"/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>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</si>
  <si>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油的密度，kg/m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</si>
  <si>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t>表4</t>
    <phoneticPr fontId="1" type="noConversion"/>
  </si>
  <si>
    <r>
      <t>含油面积，km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</si>
  <si>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平台储量计算</t>
    <phoneticPr fontId="1" type="noConversion"/>
  </si>
  <si>
    <t>井网指数-参数</t>
    <phoneticPr fontId="1" type="noConversion"/>
  </si>
  <si>
    <t>渗透率K，mD</t>
    <phoneticPr fontId="1" type="noConversion"/>
  </si>
  <si>
    <r>
      <t>原油粘度μ</t>
    </r>
    <r>
      <rPr>
        <vertAlign val="subscript"/>
        <sz val="11"/>
        <color theme="1"/>
        <rFont val="等线"/>
        <family val="3"/>
        <charset val="134"/>
        <scheme val="minor"/>
      </rPr>
      <t>o</t>
    </r>
    <r>
      <rPr>
        <sz val="11"/>
        <color theme="1"/>
        <rFont val="等线"/>
        <family val="2"/>
        <scheme val="minor"/>
      </rPr>
      <t>，mPa·s</t>
    </r>
    <phoneticPr fontId="1" type="noConversion"/>
  </si>
  <si>
    <t>流度，mD/mPa·s</t>
    <phoneticPr fontId="1" type="noConversion"/>
  </si>
  <si>
    <t>参数表计算</t>
    <phoneticPr fontId="1" type="noConversion"/>
  </si>
  <si>
    <t>备注</t>
    <phoneticPr fontId="1" type="noConversion"/>
  </si>
  <si>
    <r>
      <t>采收率-井网指数，井/km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</si>
  <si>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井网密度，井/km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</si>
  <si>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井距，m</t>
    <phoneticPr fontId="1" type="noConversion"/>
  </si>
  <si>
    <r>
      <t>原油价格，元/m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</si>
  <si>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原油生产成本，元/m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</si>
  <si>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t>可以使用经验公式</t>
    <phoneticPr fontId="1" type="noConversion"/>
  </si>
  <si>
    <t>【表5】</t>
    <phoneticPr fontId="1" type="noConversion"/>
  </si>
  <si>
    <t>【表2】</t>
    <phoneticPr fontId="1" type="noConversion"/>
  </si>
  <si>
    <t>【表4】</t>
    <phoneticPr fontId="1" type="noConversion"/>
  </si>
  <si>
    <t>【表8】</t>
    <phoneticPr fontId="1" type="noConversion"/>
  </si>
  <si>
    <r>
      <t>直接计算</t>
    </r>
    <r>
      <rPr>
        <sz val="11"/>
        <color rgb="FFFF0000"/>
        <rFont val="等线"/>
        <family val="3"/>
        <charset val="134"/>
        <scheme val="minor"/>
      </rPr>
      <t>33*64*50</t>
    </r>
    <r>
      <rPr>
        <vertAlign val="superscript"/>
        <sz val="11"/>
        <color rgb="FFFF0000"/>
        <rFont val="等线"/>
        <family val="3"/>
        <charset val="134"/>
        <scheme val="minor"/>
      </rPr>
      <t>2</t>
    </r>
    <phoneticPr fontId="1" type="noConversion"/>
  </si>
  <si>
    <r>
      <t>【表8】</t>
    </r>
    <r>
      <rPr>
        <sz val="11"/>
        <color rgb="FFFF0000"/>
        <rFont val="等线"/>
        <family val="3"/>
        <charset val="134"/>
        <scheme val="minor"/>
      </rPr>
      <t>1600元/吨</t>
    </r>
    <r>
      <rPr>
        <sz val="11"/>
        <color theme="1"/>
        <rFont val="等线"/>
        <family val="2"/>
        <scheme val="minor"/>
      </rPr>
      <t>，脱气原油密度</t>
    </r>
    <r>
      <rPr>
        <sz val="11"/>
        <color rgb="FFFF0000"/>
        <rFont val="等线"/>
        <family val="3"/>
        <charset val="134"/>
        <scheme val="minor"/>
      </rPr>
      <t>813kg/m</t>
    </r>
    <r>
      <rPr>
        <vertAlign val="superscript"/>
        <sz val="11"/>
        <color rgb="FFFF0000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【表4】</t>
    </r>
    <phoneticPr fontId="1" type="noConversion"/>
  </si>
  <si>
    <t>原油价格-参数</t>
    <phoneticPr fontId="1" type="noConversion"/>
  </si>
  <si>
    <t>汇率</t>
    <phoneticPr fontId="1" type="noConversion"/>
  </si>
  <si>
    <t>Deepseek</t>
  </si>
  <si>
    <t>Deepseek</t>
    <phoneticPr fontId="1" type="noConversion"/>
  </si>
  <si>
    <t>，，</t>
    <phoneticPr fontId="1" type="noConversion"/>
  </si>
  <si>
    <t>总收益，万元</t>
    <phoneticPr fontId="1" type="noConversion"/>
  </si>
  <si>
    <t>原油价格，元/吨</t>
    <phoneticPr fontId="1" type="noConversion"/>
  </si>
  <si>
    <r>
      <t>1桶原油=? 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</si>
  <si>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脱气原油密度，kg/m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</si>
  <si>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t>原油生产成本，元/吨</t>
    <phoneticPr fontId="1" type="noConversion"/>
  </si>
  <si>
    <t>原油价格，? $/桶</t>
    <phoneticPr fontId="1" type="noConversion"/>
  </si>
  <si>
    <t>收益(3000元/吨)</t>
    <phoneticPr fontId="1" type="noConversion"/>
  </si>
  <si>
    <t>变化率(3000元/吨)</t>
    <phoneticPr fontId="1" type="noConversion"/>
  </si>
  <si>
    <t>收益(3500元/吨)</t>
    <phoneticPr fontId="1" type="noConversion"/>
  </si>
  <si>
    <t>收益(4000元/吨)</t>
    <phoneticPr fontId="1" type="noConversion"/>
  </si>
  <si>
    <t>变化率(3500元/吨)</t>
    <phoneticPr fontId="1" type="noConversion"/>
  </si>
  <si>
    <t>变化率(4000元/吨)</t>
    <phoneticPr fontId="1" type="noConversion"/>
  </si>
  <si>
    <t>Deepseek，油藏工程课程数据验证</t>
    <phoneticPr fontId="1" type="noConversion"/>
  </si>
  <si>
    <t>原油价格，? $一桶</t>
    <phoneticPr fontId="1" type="noConversion"/>
  </si>
  <si>
    <t>原油生产成本-参数</t>
    <phoneticPr fontId="1" type="noConversion"/>
  </si>
  <si>
    <t>原油价格，? 元/吨</t>
    <phoneticPr fontId="1" type="noConversion"/>
  </si>
  <si>
    <t>【表4】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</si>
</sst>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2"/>
      <color rgb="FF333333"/>
      <name val="Calibri"/>
      <family val="2"/>
      <charset val="161"/>
    </font>
    <font>
      <sz val="11"/>
      <color rgb="FFFF0000"/>
      <name val="等线"/>
      <family val="2"/>
      <scheme val="minor"/>
    </font>
    <font>
      <vertAlign val="superscript"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FF00"/>
      <name val="等线"/>
      <family val="2"/>
      <scheme val="minor"/>
    </font>
    <font>
      <sz val="11"/>
      <color rgb="FFFFFF00"/>
      <name val="等线"/>
      <family val="3"/>
      <charset val="134"/>
      <scheme val="minor"/>
    </font>
    <font>
      <vertAlign val="superscript"/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4" fontId="3" fillId="9" borderId="1" xfId="0" applyNumberFormat="1" applyFont="1" applyFill="1" applyBorder="1" applyAlignment="1">
      <alignment horizontal="center" vertical="center"/>
    </xf>
    <xf numFmtId="0" fontId="0" fillId="13" borderId="1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3" fillId="0" borderId="0" xfId="0" applyFont="1"/>
    <xf numFmtId="0" fontId="10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FF99"/>
      <color rgb="FFFFA3A3"/>
      <color rgb="FFFFFF66"/>
      <color rgb="FFC7A1E3"/>
      <color rgb="FFFF66CC"/>
      <color rgb="FFB17ED8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64072390010481E-2"/>
          <c:y val="3.5650041799145965E-2"/>
          <c:w val="0.78915636709901549"/>
          <c:h val="0.810113580982426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'01技术上'!$F$4</c:f>
              <c:strCache>
                <c:ptCount val="1"/>
                <c:pt idx="0">
                  <c:v>密度(V=1%)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'01技术上'!$F$5:$F$15</c:f>
              <c:numCache>
                <c:formatCode>General</c:formatCode>
                <c:ptCount val="11"/>
                <c:pt idx="0">
                  <c:v>7.0048061955168119</c:v>
                </c:pt>
                <c:pt idx="1">
                  <c:v>4.6698707970112077</c:v>
                </c:pt>
                <c:pt idx="2">
                  <c:v>3.502403097758406</c:v>
                </c:pt>
                <c:pt idx="3">
                  <c:v>2.8019224782067247</c:v>
                </c:pt>
                <c:pt idx="4">
                  <c:v>2.3349353985056038</c:v>
                </c:pt>
                <c:pt idx="5">
                  <c:v>2.0013731987190893</c:v>
                </c:pt>
                <c:pt idx="6">
                  <c:v>1.751201548879203</c:v>
                </c:pt>
                <c:pt idx="7">
                  <c:v>1.556623599003736</c:v>
                </c:pt>
                <c:pt idx="8">
                  <c:v>1.4009612391033623</c:v>
                </c:pt>
                <c:pt idx="9">
                  <c:v>1.2736011264576022</c:v>
                </c:pt>
                <c:pt idx="10">
                  <c:v>1.1674676992528019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D-4AE6-AA52-9C513A69CC4C}"/>
            </c:ext>
          </c:extLst>
        </c:ser>
        <c:ser>
          <c:idx val="1"/>
          <c:order val="1"/>
          <c:tx>
            <c:strRef>
              <c:f>'01技术上'!$G$4</c:f>
              <c:strCache>
                <c:ptCount val="1"/>
                <c:pt idx="0">
                  <c:v>密度(V=1.25%)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'01技术上'!$G$5:$G$15</c:f>
              <c:numCache>
                <c:formatCode>General</c:formatCode>
                <c:ptCount val="11"/>
                <c:pt idx="0">
                  <c:v>8.7560077443960154</c:v>
                </c:pt>
                <c:pt idx="1">
                  <c:v>5.8373384962640094</c:v>
                </c:pt>
                <c:pt idx="2">
                  <c:v>4.3780038721980077</c:v>
                </c:pt>
                <c:pt idx="3">
                  <c:v>3.502403097758406</c:v>
                </c:pt>
                <c:pt idx="4">
                  <c:v>2.9186692481320047</c:v>
                </c:pt>
                <c:pt idx="5">
                  <c:v>2.5017164983988609</c:v>
                </c:pt>
                <c:pt idx="6">
                  <c:v>2.1890019360990038</c:v>
                </c:pt>
                <c:pt idx="7">
                  <c:v>1.9457794987546699</c:v>
                </c:pt>
                <c:pt idx="8">
                  <c:v>1.751201548879203</c:v>
                </c:pt>
                <c:pt idx="9">
                  <c:v>1.5920014080720026</c:v>
                </c:pt>
                <c:pt idx="10">
                  <c:v>1.4593346240660023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6D-4AE6-AA52-9C513A69CC4C}"/>
            </c:ext>
          </c:extLst>
        </c:ser>
        <c:ser>
          <c:idx val="2"/>
          <c:order val="2"/>
          <c:tx>
            <c:strRef>
              <c:f>'01技术上'!$H$4</c:f>
              <c:strCache>
                <c:ptCount val="1"/>
                <c:pt idx="0">
                  <c:v>密度(V=1.5%)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'01技术上'!$H$5:$H$15</c:f>
              <c:numCache>
                <c:formatCode>General</c:formatCode>
                <c:ptCount val="11"/>
                <c:pt idx="0">
                  <c:v>10.507209293275217</c:v>
                </c:pt>
                <c:pt idx="1">
                  <c:v>7.0048061955168111</c:v>
                </c:pt>
                <c:pt idx="2">
                  <c:v>5.2536046466376085</c:v>
                </c:pt>
                <c:pt idx="3">
                  <c:v>4.2028837173100868</c:v>
                </c:pt>
                <c:pt idx="4">
                  <c:v>3.5024030977584055</c:v>
                </c:pt>
                <c:pt idx="5">
                  <c:v>3.002059798078633</c:v>
                </c:pt>
                <c:pt idx="6">
                  <c:v>2.6268023233188043</c:v>
                </c:pt>
                <c:pt idx="7">
                  <c:v>2.3349353985056038</c:v>
                </c:pt>
                <c:pt idx="8">
                  <c:v>2.1014418586550434</c:v>
                </c:pt>
                <c:pt idx="9">
                  <c:v>1.9104016896864031</c:v>
                </c:pt>
                <c:pt idx="10">
                  <c:v>1.7512015488792028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6D-4AE6-AA52-9C513A69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34496"/>
        <c:axId val="1758134976"/>
      </c:scatterChart>
      <c:scatterChart>
        <c:scatterStyle val="lineMarker"/>
        <c:varyColors val="0"/>
        <c:ser>
          <c:idx val="3"/>
          <c:order val="3"/>
          <c:tx>
            <c:strRef>
              <c:f>'01技术上'!$I$4</c:f>
              <c:strCache>
                <c:ptCount val="1"/>
                <c:pt idx="0">
                  <c:v>井距(V=1%)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'01技术上'!$I$5:$I$15</c:f>
              <c:numCache>
                <c:formatCode>General</c:formatCode>
                <c:ptCount val="11"/>
                <c:pt idx="0">
                  <c:v>377.83478470578763</c:v>
                </c:pt>
                <c:pt idx="1">
                  <c:v>462.75121480175864</c:v>
                </c:pt>
                <c:pt idx="2">
                  <c:v>534.33907686724331</c:v>
                </c:pt>
                <c:pt idx="3">
                  <c:v>597.40924945482072</c:v>
                </c:pt>
                <c:pt idx="4">
                  <c:v>654.42904397727239</c:v>
                </c:pt>
                <c:pt idx="5">
                  <c:v>706.86415658727606</c:v>
                </c:pt>
                <c:pt idx="6">
                  <c:v>755.66956941157525</c:v>
                </c:pt>
                <c:pt idx="7">
                  <c:v>801.50861530086502</c:v>
                </c:pt>
                <c:pt idx="8">
                  <c:v>844.86426286613903</c:v>
                </c:pt>
                <c:pt idx="9">
                  <c:v>886.10111439675939</c:v>
                </c:pt>
                <c:pt idx="10">
                  <c:v>925.50242960351727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6D-4AE6-AA52-9C513A69CC4C}"/>
            </c:ext>
          </c:extLst>
        </c:ser>
        <c:ser>
          <c:idx val="4"/>
          <c:order val="4"/>
          <c:tx>
            <c:strRef>
              <c:f>'01技术上'!$J$4</c:f>
              <c:strCache>
                <c:ptCount val="1"/>
                <c:pt idx="0">
                  <c:v>井距(V=1.25%)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'01技术上'!$J$5:$J$15</c:f>
              <c:numCache>
                <c:formatCode>General</c:formatCode>
                <c:ptCount val="11"/>
                <c:pt idx="0">
                  <c:v>337.94570514645562</c:v>
                </c:pt>
                <c:pt idx="1">
                  <c:v>413.89726918693572</c:v>
                </c:pt>
                <c:pt idx="2">
                  <c:v>477.92739956385657</c:v>
                </c:pt>
                <c:pt idx="3">
                  <c:v>534.33907686724331</c:v>
                </c:pt>
                <c:pt idx="4">
                  <c:v>585.33913151335219</c:v>
                </c:pt>
                <c:pt idx="5">
                  <c:v>632.23852199488203</c:v>
                </c:pt>
                <c:pt idx="6">
                  <c:v>675.89141029291125</c:v>
                </c:pt>
                <c:pt idx="7">
                  <c:v>716.89109934578494</c:v>
                </c:pt>
                <c:pt idx="8">
                  <c:v>755.66956941157525</c:v>
                </c:pt>
                <c:pt idx="9">
                  <c:v>792.55293069178867</c:v>
                </c:pt>
                <c:pt idx="10">
                  <c:v>827.79453837387143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6D-4AE6-AA52-9C513A69CC4C}"/>
            </c:ext>
          </c:extLst>
        </c:ser>
        <c:ser>
          <c:idx val="5"/>
          <c:order val="5"/>
          <c:tx>
            <c:strRef>
              <c:f>'01技术上'!$K$4</c:f>
              <c:strCache>
                <c:ptCount val="1"/>
                <c:pt idx="0">
                  <c:v>井距(V=1.5%)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'01技术上'!$K$5:$K$15</c:f>
              <c:numCache>
                <c:formatCode>General</c:formatCode>
                <c:ptCount val="11"/>
                <c:pt idx="0">
                  <c:v>308.50080986783911</c:v>
                </c:pt>
                <c:pt idx="1">
                  <c:v>377.83478470578768</c:v>
                </c:pt>
                <c:pt idx="2">
                  <c:v>436.28602931818159</c:v>
                </c:pt>
                <c:pt idx="3">
                  <c:v>487.78260959446015</c:v>
                </c:pt>
                <c:pt idx="4">
                  <c:v>534.33907686724342</c:v>
                </c:pt>
                <c:pt idx="5">
                  <c:v>577.15216703387171</c:v>
                </c:pt>
                <c:pt idx="6">
                  <c:v>617.00161973567822</c:v>
                </c:pt>
                <c:pt idx="7">
                  <c:v>654.42904397727239</c:v>
                </c:pt>
                <c:pt idx="8">
                  <c:v>689.82878197822606</c:v>
                </c:pt>
                <c:pt idx="9">
                  <c:v>723.49853026120195</c:v>
                </c:pt>
                <c:pt idx="10">
                  <c:v>755.66956941157537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6D-4AE6-AA52-9C513A69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570320"/>
        <c:axId val="1857567440"/>
      </c:scatterChart>
      <c:valAx>
        <c:axId val="1758134496"/>
        <c:scaling>
          <c:orientation val="minMax"/>
          <c:max val="6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单井日产油量，m</a:t>
                </a:r>
                <a:r>
                  <a:rPr lang="zh-CN" altLang="en-US" sz="1000" b="0" i="0" u="none" strike="noStrike" kern="1200" baseline="300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3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/d</a:t>
                </a:r>
              </a:p>
            </c:rich>
          </c:tx>
          <c:layout>
            <c:manualLayout>
              <c:xMode val="edge"/>
              <c:yMode val="edge"/>
              <c:x val="0.36916840808712409"/>
              <c:y val="0.92324642120556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altLang="en-US" sz="10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8134976"/>
        <c:crosses val="autoZero"/>
        <c:crossBetween val="midCat"/>
        <c:minorUnit val="5"/>
      </c:valAx>
      <c:valAx>
        <c:axId val="1758134976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altLang="en-US" sz="1000" b="1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井网密度，口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/km</a:t>
                </a:r>
                <a:r>
                  <a:rPr lang="en-US" altLang="zh-CN" sz="1000" b="0" i="0" u="none" strike="noStrike" kern="1200" baseline="300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2</a:t>
                </a:r>
                <a:endParaRPr lang="zh-CN" altLang="en-US" sz="1000" b="0" i="0" u="none" strike="noStrike" kern="1200" baseline="3000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529735040738628E-3"/>
              <c:y val="0.28516606469525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altLang="en-US" sz="1000" b="1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8134496"/>
        <c:crosses val="autoZero"/>
        <c:crossBetween val="midCat"/>
        <c:majorUnit val="3"/>
        <c:minorUnit val="1.5"/>
      </c:valAx>
      <c:valAx>
        <c:axId val="1857567440"/>
        <c:scaling>
          <c:orientation val="minMax"/>
          <c:max val="12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lang="zh-CN" altLang="en-US" sz="1000" b="1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开发井距，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m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47857926077428"/>
              <c:y val="0.3339928053405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lang="zh-CN" altLang="en-US" sz="1000" b="1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7570320"/>
        <c:crosses val="max"/>
        <c:crossBetween val="midCat"/>
        <c:majorUnit val="300"/>
        <c:minorUnit val="150"/>
      </c:valAx>
      <c:valAx>
        <c:axId val="185757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756744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810398815528797"/>
          <c:y val="6.1039604237711757E-2"/>
          <c:w val="0.66367563891496406"/>
          <c:h val="8.6982424587717391E-2"/>
        </c:manualLayout>
      </c:layout>
      <c:overlay val="0"/>
      <c:spPr>
        <a:solidFill>
          <a:srgbClr val="FFFF6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084082705493591E-2"/>
          <c:y val="9.5425863551969317E-2"/>
          <c:w val="0.89180900673507402"/>
          <c:h val="0.84647608195587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'02经济上'!$I$4</c:f>
              <c:strCache>
                <c:ptCount val="1"/>
                <c:pt idx="0">
                  <c:v>收益(3000元/吨)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'02经济上'!$H$5:$H$33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'02经济上'!$I$5:$I$33</c:f>
              <c:numCache>
                <c:formatCode>General</c:formatCode>
                <c:ptCount val="29"/>
                <c:pt idx="0">
                  <c:v>-1.1946402043194171</c:v>
                </c:pt>
                <c:pt idx="1">
                  <c:v>-6.870570910656025E-2</c:v>
                </c:pt>
                <c:pt idx="2">
                  <c:v>2.1241088003936364</c:v>
                </c:pt>
                <c:pt idx="3">
                  <c:v>4.6851172439137052</c:v>
                </c:pt>
                <c:pt idx="4">
                  <c:v>7.2143154958451223</c:v>
                </c:pt>
                <c:pt idx="5">
                  <c:v>9.5365507761466688</c:v>
                </c:pt>
                <c:pt idx="6">
                  <c:v>11.592225065061086</c:v>
                </c:pt>
                <c:pt idx="7">
                  <c:v>13.374842974267338</c:v>
                </c:pt>
                <c:pt idx="8">
                  <c:v>14.900353380911769</c:v>
                </c:pt>
                <c:pt idx="9">
                  <c:v>16.192783631219836</c:v>
                </c:pt>
                <c:pt idx="10">
                  <c:v>17.277711725462119</c:v>
                </c:pt>
                <c:pt idx="11">
                  <c:v>18.17945087416318</c:v>
                </c:pt>
                <c:pt idx="12">
                  <c:v>18.919979388310225</c:v>
                </c:pt>
                <c:pt idx="13">
                  <c:v>19.518677635482582</c:v>
                </c:pt>
                <c:pt idx="14">
                  <c:v>19.992422532029355</c:v>
                </c:pt>
                <c:pt idx="15">
                  <c:v>20.35582436873208</c:v>
                </c:pt>
                <c:pt idx="16">
                  <c:v>20.621504343899382</c:v>
                </c:pt>
                <c:pt idx="17">
                  <c:v>20.800366628894555</c:v>
                </c:pt>
                <c:pt idx="18">
                  <c:v>20.90184585375134</c:v>
                </c:pt>
                <c:pt idx="19">
                  <c:v>20.934123935325012</c:v>
                </c:pt>
                <c:pt idx="20">
                  <c:v>20.904316228064673</c:v>
                </c:pt>
                <c:pt idx="21">
                  <c:v>20.818629569207463</c:v>
                </c:pt>
                <c:pt idx="22">
                  <c:v>20.682495682817802</c:v>
                </c:pt>
                <c:pt idx="23">
                  <c:v>20.500683494221722</c:v>
                </c:pt>
                <c:pt idx="24">
                  <c:v>20.277393638930771</c:v>
                </c:pt>
                <c:pt idx="25">
                  <c:v>20.016338052643682</c:v>
                </c:pt>
                <c:pt idx="26">
                  <c:v>19.720807109692146</c:v>
                </c:pt>
                <c:pt idx="27">
                  <c:v>19.393726385248971</c:v>
                </c:pt>
                <c:pt idx="28">
                  <c:v>19.037704770612518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9-43A3-A183-4F310702FDC6}"/>
            </c:ext>
          </c:extLst>
        </c:ser>
        <c:ser>
          <c:idx val="1"/>
          <c:order val="1"/>
          <c:tx>
            <c:strRef>
              <c:f>'02经济上'!$J$4</c:f>
              <c:strCache>
                <c:ptCount val="1"/>
                <c:pt idx="0">
                  <c:v>收益(3500元/吨)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'02经济上'!$H$5:$H$33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'02经济上'!$J$5:$J$33</c:f>
              <c:numCache>
                <c:formatCode>General</c:formatCode>
                <c:ptCount val="29"/>
                <c:pt idx="0">
                  <c:v>-1.0178688487192091</c:v>
                </c:pt>
                <c:pt idx="1">
                  <c:v>0.8118993947839539</c:v>
                </c:pt>
                <c:pt idx="2">
                  <c:v>4.0895762291056501</c:v>
                </c:pt>
                <c:pt idx="3">
                  <c:v>7.8669448310257426</c:v>
                </c:pt>
                <c:pt idx="4">
                  <c:v>11.601142458646954</c:v>
                </c:pt>
                <c:pt idx="5">
                  <c:v>15.054461767627622</c:v>
                </c:pt>
                <c:pt idx="6">
                  <c:v>18.146019731154329</c:v>
                </c:pt>
                <c:pt idx="7">
                  <c:v>20.867001179362816</c:v>
                </c:pt>
                <c:pt idx="8">
                  <c:v>23.239051016951684</c:v>
                </c:pt>
                <c:pt idx="9">
                  <c:v>25.29477778522692</c:v>
                </c:pt>
                <c:pt idx="10">
                  <c:v>27.068894484555727</c:v>
                </c:pt>
                <c:pt idx="11">
                  <c:v>28.594397614935744</c:v>
                </c:pt>
                <c:pt idx="12">
                  <c:v>29.901114884135307</c:v>
                </c:pt>
                <c:pt idx="13">
                  <c:v>31.015348219583508</c:v>
                </c:pt>
                <c:pt idx="14">
                  <c:v>31.960002007754124</c:v>
                </c:pt>
                <c:pt idx="15">
                  <c:v>32.7549045004221</c:v>
                </c:pt>
                <c:pt idx="16">
                  <c:v>33.417184466720585</c:v>
                </c:pt>
                <c:pt idx="17">
                  <c:v>33.961640424928319</c:v>
                </c:pt>
                <c:pt idx="18">
                  <c:v>34.401076515805386</c:v>
                </c:pt>
                <c:pt idx="19">
                  <c:v>34.74659676936966</c:v>
                </c:pt>
                <c:pt idx="20">
                  <c:v>35.007857738087772</c:v>
                </c:pt>
                <c:pt idx="21">
                  <c:v>35.193282986781561</c:v>
                </c:pt>
                <c:pt idx="22">
                  <c:v>35.310244140967015</c:v>
                </c:pt>
                <c:pt idx="23">
                  <c:v>35.365213313586622</c:v>
                </c:pt>
                <c:pt idx="24">
                  <c:v>35.363891367120331</c:v>
                </c:pt>
                <c:pt idx="25">
                  <c:v>35.311315928587852</c:v>
                </c:pt>
                <c:pt idx="26">
                  <c:v>35.211952506010768</c:v>
                </c:pt>
                <c:pt idx="27">
                  <c:v>35.06977152283789</c:v>
                </c:pt>
                <c:pt idx="28">
                  <c:v>34.888313617259847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49-43A3-A183-4F310702FDC6}"/>
            </c:ext>
          </c:extLst>
        </c:ser>
        <c:ser>
          <c:idx val="2"/>
          <c:order val="2"/>
          <c:tx>
            <c:strRef>
              <c:f>'02经济上'!$K$4</c:f>
              <c:strCache>
                <c:ptCount val="1"/>
                <c:pt idx="0">
                  <c:v>收益(4000元/吨)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'02经济上'!$H$5:$H$33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'02经济上'!$K$5:$K$33</c:f>
              <c:numCache>
                <c:formatCode>General</c:formatCode>
                <c:ptCount val="29"/>
                <c:pt idx="0">
                  <c:v>-0.84109749311900084</c:v>
                </c:pt>
                <c:pt idx="1">
                  <c:v>1.6925044986744679</c:v>
                </c:pt>
                <c:pt idx="2">
                  <c:v>6.0550436578176621</c:v>
                </c:pt>
                <c:pt idx="3">
                  <c:v>11.048772418137782</c:v>
                </c:pt>
                <c:pt idx="4">
                  <c:v>15.987969421448783</c:v>
                </c:pt>
                <c:pt idx="5">
                  <c:v>20.572372759108578</c:v>
                </c:pt>
                <c:pt idx="6">
                  <c:v>24.699814397247579</c:v>
                </c:pt>
                <c:pt idx="7">
                  <c:v>28.359159384458298</c:v>
                </c:pt>
                <c:pt idx="8">
                  <c:v>31.577748652991605</c:v>
                </c:pt>
                <c:pt idx="9">
                  <c:v>34.396771939234</c:v>
                </c:pt>
                <c:pt idx="10">
                  <c:v>36.860077243649343</c:v>
                </c:pt>
                <c:pt idx="11">
                  <c:v>39.009344355708308</c:v>
                </c:pt>
                <c:pt idx="12">
                  <c:v>40.882250379960389</c:v>
                </c:pt>
                <c:pt idx="13">
                  <c:v>42.512018803684427</c:v>
                </c:pt>
                <c:pt idx="14">
                  <c:v>43.927581483478889</c:v>
                </c:pt>
                <c:pt idx="15">
                  <c:v>45.153984632112135</c:v>
                </c:pt>
                <c:pt idx="16">
                  <c:v>46.212864589541788</c:v>
                </c:pt>
                <c:pt idx="17">
                  <c:v>47.122914220962095</c:v>
                </c:pt>
                <c:pt idx="18">
                  <c:v>47.900307177859439</c:v>
                </c:pt>
                <c:pt idx="19">
                  <c:v>48.559069603414308</c:v>
                </c:pt>
                <c:pt idx="20">
                  <c:v>49.111399248110864</c:v>
                </c:pt>
                <c:pt idx="21">
                  <c:v>49.567936404355649</c:v>
                </c:pt>
                <c:pt idx="22">
                  <c:v>49.937992599116242</c:v>
                </c:pt>
                <c:pt idx="23">
                  <c:v>50.229743132951526</c:v>
                </c:pt>
                <c:pt idx="24">
                  <c:v>50.450389095309902</c:v>
                </c:pt>
                <c:pt idx="25">
                  <c:v>50.606293804532037</c:v>
                </c:pt>
                <c:pt idx="26">
                  <c:v>50.703097902329397</c:v>
                </c:pt>
                <c:pt idx="27">
                  <c:v>50.745816660426804</c:v>
                </c:pt>
                <c:pt idx="28">
                  <c:v>50.738922463907173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49-43A3-A183-4F310702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05088"/>
        <c:axId val="1851004608"/>
      </c:scatterChart>
      <c:scatterChart>
        <c:scatterStyle val="lineMarker"/>
        <c:varyColors val="0"/>
        <c:ser>
          <c:idx val="3"/>
          <c:order val="3"/>
          <c:tx>
            <c:strRef>
              <c:f>'02经济上'!$L$4</c:f>
              <c:strCache>
                <c:ptCount val="1"/>
                <c:pt idx="0">
                  <c:v>变化率(3000元/吨)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'02经济上'!$H$6:$H$32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xVal>
          <c:yVal>
            <c:numRef>
              <c:f>'02经济上'!$L$6:$L$32</c:f>
              <c:numCache>
                <c:formatCode>General</c:formatCode>
                <c:ptCount val="27"/>
                <c:pt idx="0">
                  <c:v>1.6593745023565267</c:v>
                </c:pt>
                <c:pt idx="1">
                  <c:v>2.3769114765101329</c:v>
                </c:pt>
                <c:pt idx="2">
                  <c:v>2.545103347725743</c:v>
                </c:pt>
                <c:pt idx="3">
                  <c:v>2.4257167661164818</c:v>
                </c:pt>
                <c:pt idx="4">
                  <c:v>2.188954784607982</c:v>
                </c:pt>
                <c:pt idx="5">
                  <c:v>1.9191460990603346</c:v>
                </c:pt>
                <c:pt idx="6">
                  <c:v>1.6540641579253412</c:v>
                </c:pt>
                <c:pt idx="7">
                  <c:v>1.4089703284762489</c:v>
                </c:pt>
                <c:pt idx="8">
                  <c:v>1.1886791722751751</c:v>
                </c:pt>
                <c:pt idx="9">
                  <c:v>0.99333362147167215</c:v>
                </c:pt>
                <c:pt idx="10">
                  <c:v>0.82113383142405283</c:v>
                </c:pt>
                <c:pt idx="11">
                  <c:v>0.66961338065970111</c:v>
                </c:pt>
                <c:pt idx="12">
                  <c:v>0.53622157185956532</c:v>
                </c:pt>
                <c:pt idx="13">
                  <c:v>0.41857336662474864</c:v>
                </c:pt>
                <c:pt idx="14">
                  <c:v>0.31454090593501327</c:v>
                </c:pt>
                <c:pt idx="15">
                  <c:v>0.22227113008123744</c:v>
                </c:pt>
                <c:pt idx="16">
                  <c:v>0.14017075492597897</c:v>
                </c:pt>
                <c:pt idx="17">
                  <c:v>6.6878653215228567E-2</c:v>
                </c:pt>
                <c:pt idx="18">
                  <c:v>1.235187156666484E-3</c:v>
                </c:pt>
                <c:pt idx="19">
                  <c:v>-5.7747183058774354E-2</c:v>
                </c:pt>
                <c:pt idx="20">
                  <c:v>-0.11091027262343545</c:v>
                </c:pt>
                <c:pt idx="21">
                  <c:v>-0.15897303749287062</c:v>
                </c:pt>
                <c:pt idx="22">
                  <c:v>-0.20255102194351515</c:v>
                </c:pt>
                <c:pt idx="23">
                  <c:v>-0.24217272078901964</c:v>
                </c:pt>
                <c:pt idx="24">
                  <c:v>-0.27829326461931281</c:v>
                </c:pt>
                <c:pt idx="25">
                  <c:v>-0.31130583369735554</c:v>
                </c:pt>
                <c:pt idx="26">
                  <c:v>-0.34155116953981413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49-43A3-A183-4F310702FDC6}"/>
            </c:ext>
          </c:extLst>
        </c:ser>
        <c:ser>
          <c:idx val="4"/>
          <c:order val="4"/>
          <c:tx>
            <c:strRef>
              <c:f>'02经济上'!$M$4</c:f>
              <c:strCache>
                <c:ptCount val="1"/>
                <c:pt idx="0">
                  <c:v>变化率(3500元/吨)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'02经济上'!$H$6:$H$32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xVal>
          <c:yVal>
            <c:numRef>
              <c:f>'02经济上'!$M$6:$M$32</c:f>
              <c:numCache>
                <c:formatCode>General</c:formatCode>
                <c:ptCount val="27"/>
                <c:pt idx="0">
                  <c:v>2.5537225389124298</c:v>
                </c:pt>
                <c:pt idx="1">
                  <c:v>3.5275227181208946</c:v>
                </c:pt>
                <c:pt idx="2">
                  <c:v>3.7557831147706522</c:v>
                </c:pt>
                <c:pt idx="3">
                  <c:v>3.5937584683009396</c:v>
                </c:pt>
                <c:pt idx="4">
                  <c:v>3.2724386362536872</c:v>
                </c:pt>
                <c:pt idx="5">
                  <c:v>2.9062697058675973</c:v>
                </c:pt>
                <c:pt idx="6">
                  <c:v>2.5465156428986777</c:v>
                </c:pt>
                <c:pt idx="7">
                  <c:v>2.2138883029320517</c:v>
                </c:pt>
                <c:pt idx="8">
                  <c:v>1.9149217338020215</c:v>
                </c:pt>
                <c:pt idx="9">
                  <c:v>1.6498099148544121</c:v>
                </c:pt>
                <c:pt idx="10">
                  <c:v>1.4161101997897898</c:v>
                </c:pt>
                <c:pt idx="11">
                  <c:v>1.2104753023238821</c:v>
                </c:pt>
                <c:pt idx="12">
                  <c:v>1.0294435618094084</c:v>
                </c:pt>
                <c:pt idx="13">
                  <c:v>0.86977814041929591</c:v>
                </c:pt>
                <c:pt idx="14">
                  <c:v>0.72859122948323041</c:v>
                </c:pt>
                <c:pt idx="15">
                  <c:v>0.60336796225310962</c:v>
                </c:pt>
                <c:pt idx="16">
                  <c:v>0.49194602454240055</c:v>
                </c:pt>
                <c:pt idx="17">
                  <c:v>0.39247817222067027</c:v>
                </c:pt>
                <c:pt idx="18">
                  <c:v>0.30339061114119303</c:v>
                </c:pt>
                <c:pt idx="19">
                  <c:v>0.22334310870595075</c:v>
                </c:pt>
                <c:pt idx="20">
                  <c:v>0.15119320143962156</c:v>
                </c:pt>
                <c:pt idx="21">
                  <c:v>8.5965163402530465E-2</c:v>
                </c:pt>
                <c:pt idx="22">
                  <c:v>2.6823613076658148E-2</c:v>
                </c:pt>
                <c:pt idx="23">
                  <c:v>-2.6948692499384919E-2</c:v>
                </c:pt>
                <c:pt idx="24">
                  <c:v>-7.5969430554781781E-2</c:v>
                </c:pt>
                <c:pt idx="25">
                  <c:v>-0.12077220287498136</c:v>
                </c:pt>
                <c:pt idx="26">
                  <c:v>-0.16181944437546036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49-43A3-A183-4F310702FDC6}"/>
            </c:ext>
          </c:extLst>
        </c:ser>
        <c:ser>
          <c:idx val="5"/>
          <c:order val="5"/>
          <c:tx>
            <c:strRef>
              <c:f>'02经济上'!$N$4</c:f>
              <c:strCache>
                <c:ptCount val="1"/>
                <c:pt idx="0">
                  <c:v>变化率(4000元/吨)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'02经济上'!$H$6:$H$32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xVal>
          <c:yVal>
            <c:numRef>
              <c:f>'02经济上'!$N$6:$N$32</c:f>
              <c:numCache>
                <c:formatCode>General</c:formatCode>
                <c:ptCount val="27"/>
                <c:pt idx="0">
                  <c:v>3.4480705754683316</c:v>
                </c:pt>
                <c:pt idx="1">
                  <c:v>4.6781339597316567</c:v>
                </c:pt>
                <c:pt idx="2">
                  <c:v>4.9664628818155609</c:v>
                </c:pt>
                <c:pt idx="3">
                  <c:v>4.7618001704853983</c:v>
                </c:pt>
                <c:pt idx="4">
                  <c:v>4.3559224878993978</c:v>
                </c:pt>
                <c:pt idx="5">
                  <c:v>3.8933933126748599</c:v>
                </c:pt>
                <c:pt idx="6">
                  <c:v>3.4389671278720133</c:v>
                </c:pt>
                <c:pt idx="7">
                  <c:v>3.018806277387851</c:v>
                </c:pt>
                <c:pt idx="8">
                  <c:v>2.6411642953288688</c:v>
                </c:pt>
                <c:pt idx="9">
                  <c:v>2.3062862082371538</c:v>
                </c:pt>
                <c:pt idx="10">
                  <c:v>2.0110865681555232</c:v>
                </c:pt>
                <c:pt idx="11">
                  <c:v>1.7513372239880596</c:v>
                </c:pt>
                <c:pt idx="12">
                  <c:v>1.5226655517592498</c:v>
                </c:pt>
                <c:pt idx="13">
                  <c:v>1.3209829142138538</c:v>
                </c:pt>
                <c:pt idx="14">
                  <c:v>1.1426415530314493</c:v>
                </c:pt>
                <c:pt idx="15">
                  <c:v>0.98446479442498003</c:v>
                </c:pt>
                <c:pt idx="16">
                  <c:v>0.84372129415882569</c:v>
                </c:pt>
                <c:pt idx="17">
                  <c:v>0.71807769122610665</c:v>
                </c:pt>
                <c:pt idx="18">
                  <c:v>0.60554603512571248</c:v>
                </c:pt>
                <c:pt idx="19">
                  <c:v>0.50443340047067053</c:v>
                </c:pt>
                <c:pt idx="20">
                  <c:v>0.41329667550268923</c:v>
                </c:pt>
                <c:pt idx="21">
                  <c:v>0.33090336429793865</c:v>
                </c:pt>
                <c:pt idx="22">
                  <c:v>0.25619824809682967</c:v>
                </c:pt>
                <c:pt idx="23">
                  <c:v>0.18827533579025513</c:v>
                </c:pt>
                <c:pt idx="24">
                  <c:v>0.12635440350974747</c:v>
                </c:pt>
                <c:pt idx="25">
                  <c:v>6.9761427947383936E-2</c:v>
                </c:pt>
                <c:pt idx="26">
                  <c:v>1.7912280788888069E-2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49-43A3-A183-4F310702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22368"/>
        <c:axId val="1851020928"/>
      </c:scatterChart>
      <c:valAx>
        <c:axId val="1851005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1004608"/>
        <c:crossesAt val="0"/>
        <c:crossBetween val="midCat"/>
      </c:valAx>
      <c:valAx>
        <c:axId val="1851004608"/>
        <c:scaling>
          <c:orientation val="minMax"/>
          <c:max val="70"/>
          <c:min val="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1005088"/>
        <c:crosses val="autoZero"/>
        <c:crossBetween val="midCat"/>
        <c:majorUnit val="14"/>
        <c:minorUnit val="7"/>
      </c:valAx>
      <c:valAx>
        <c:axId val="1851020928"/>
        <c:scaling>
          <c:orientation val="minMax"/>
          <c:max val="6"/>
          <c:min val="0"/>
        </c:scaling>
        <c:delete val="0"/>
        <c:axPos val="r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1022368"/>
        <c:crosses val="max"/>
        <c:crossBetween val="midCat"/>
        <c:majorUnit val="2"/>
        <c:minorUnit val="1"/>
      </c:valAx>
      <c:valAx>
        <c:axId val="1851022368"/>
        <c:scaling>
          <c:orientation val="minMax"/>
          <c:max val="30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1020928"/>
        <c:crossesAt val="0"/>
        <c:crossBetween val="midCat"/>
        <c:majorUnit val="6"/>
        <c:minorUnit val="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455309148014121"/>
          <c:y val="0.12170128539659536"/>
          <c:w val="0.78455555555555556"/>
          <c:h val="0.11474555263925344"/>
        </c:manualLayout>
      </c:layout>
      <c:overlay val="0"/>
      <c:spPr>
        <a:solidFill>
          <a:srgbClr val="FFFF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423122</xdr:colOff>
      <xdr:row>0</xdr:row>
      <xdr:rowOff>37387</xdr:rowOff>
    </xdr:from>
    <xdr:to>
      <xdr:col>19</xdr:col>
      <xdr:colOff>417917</xdr:colOff>
      <xdr:row>17</xdr:row>
      <xdr:rowOff>116903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7E4B0C-66EE-CB32-5339-0AB60C223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587830</xdr:colOff>
      <xdr:row>9</xdr:row>
      <xdr:rowOff>54429</xdr:rowOff>
    </xdr:from>
    <xdr:to>
      <xdr:col>19</xdr:col>
      <xdr:colOff>574385</xdr:colOff>
      <xdr:row>29</xdr:row>
      <xdr:rowOff>142124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DC21D5-688F-06B2-A726-2E97B1E69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="115" zoomScaleNormal="115" workbookViewId="0">
      <selection activeCell="A2" sqref="A2"/>
    </sheetView>
  </sheetViews>
  <sheetFormatPr defaultRowHeight="13.8" x14ac:dyDescent="0.25"/>
  <cols>
    <col min="1" max="1" width="26.5546875" customWidth="1"/>
    <col min="3" max="3" width="13.6640625" customWidth="1"/>
    <col min="6" max="6" width="10.77734375" customWidth="1"/>
    <col min="7" max="7" width="14" customWidth="1"/>
    <col min="8" max="8" width="12.5546875" customWidth="1"/>
    <col min="9" max="9" width="13.109375" customWidth="1"/>
    <col min="10" max="10" width="14.33203125" customWidth="1"/>
    <col min="11" max="11" width="13.44140625" customWidth="1"/>
    <col min="12" max="12" width="9.6640625" customWidth="1"/>
  </cols>
  <sheetData>
    <row r="1" spans="1:11" x14ac:dyDescent="0.25">
      <c r="A1" s="37" t="s">
        <v>9</v>
      </c>
      <c r="B1" s="37"/>
      <c r="C1" s="37"/>
      <c r="E1" s="38" t="s">
        <v>11</v>
      </c>
      <c r="F1" s="38"/>
      <c r="G1" s="38"/>
      <c r="H1" s="38"/>
      <c r="I1" s="38"/>
      <c r="J1" s="38"/>
      <c r="K1" s="38"/>
    </row>
    <row r="2" spans="1:11" ht="16.2" x14ac:dyDescent="0.25">
      <c r="A2" s="9" t="s">
        <v>41</v>
      </c>
      <c r="B2" s="12" t="s">
        <v>3</v>
      </c>
      <c r="C2" s="15">
        <v>1079.973</v>
      </c>
      <c r="E2" s="1"/>
      <c r="F2" s="39" t="s">
        <v>12</v>
      </c>
      <c r="G2" s="39"/>
      <c r="H2" s="39"/>
      <c r="I2" s="40" t="s">
        <v>13</v>
      </c>
      <c r="J2" s="40"/>
      <c r="K2" s="40"/>
    </row>
    <row r="3" spans="1:11" x14ac:dyDescent="0.25">
      <c r="A3" s="14" t="s">
        <v>0</v>
      </c>
      <c r="B3" s="21" t="s">
        <v>8</v>
      </c>
      <c r="C3" s="1"/>
      <c r="E3" s="14" t="s">
        <v>0</v>
      </c>
      <c r="F3" s="10">
        <v>0.01</v>
      </c>
      <c r="G3" s="10">
        <v>1.2500000000000001E-2</v>
      </c>
      <c r="H3" s="10">
        <v>1.4999999999999999E-2</v>
      </c>
      <c r="I3" s="10">
        <v>0.01</v>
      </c>
      <c r="J3" s="10">
        <v>1.2500000000000001E-2</v>
      </c>
      <c r="K3" s="10">
        <v>1.4999999999999999E-2</v>
      </c>
    </row>
    <row r="4" spans="1:11" x14ac:dyDescent="0.25">
      <c r="A4" s="9" t="s">
        <v>1</v>
      </c>
      <c r="B4" s="12" t="s">
        <v>7</v>
      </c>
      <c r="C4" s="10">
        <v>0.5</v>
      </c>
      <c r="E4" s="6" t="s">
        <v>10</v>
      </c>
      <c r="F4" s="3" t="s">
        <v>24</v>
      </c>
      <c r="G4" s="6" t="s">
        <v>25</v>
      </c>
      <c r="H4" s="6" t="s">
        <v>26</v>
      </c>
      <c r="I4" s="3" t="s">
        <v>27</v>
      </c>
      <c r="J4" s="6" t="s">
        <v>28</v>
      </c>
      <c r="K4" s="6" t="s">
        <v>29</v>
      </c>
    </row>
    <row r="5" spans="1:11" ht="15.6" x14ac:dyDescent="0.25">
      <c r="A5" s="9" t="s">
        <v>2</v>
      </c>
      <c r="B5" s="13" t="s">
        <v>4</v>
      </c>
      <c r="C5" s="10">
        <v>0.8</v>
      </c>
      <c r="E5" s="8">
        <v>10</v>
      </c>
      <c r="F5" s="1">
        <f t="shared" ref="F5:H15" si="0">$C$2*F$3/(365*$E5*$C$5*$C$6)*10000</f>
        <v>7.0048061955168119</v>
      </c>
      <c r="G5" s="1">
        <f t="shared" si="0"/>
        <v>8.7560077443960154</v>
      </c>
      <c r="H5" s="1">
        <f t="shared" si="0"/>
        <v>10.507209293275217</v>
      </c>
      <c r="I5" s="1">
        <f>SQRT(10^6/F5)</f>
        <v>377.83478470578763</v>
      </c>
      <c r="J5" s="1">
        <f t="shared" ref="J5:K15" si="1">SQRT(10^6/G5)</f>
        <v>337.94570514645562</v>
      </c>
      <c r="K5" s="1">
        <f t="shared" si="1"/>
        <v>308.50080986783911</v>
      </c>
    </row>
    <row r="6" spans="1:11" ht="16.2" x14ac:dyDescent="0.25">
      <c r="A6" s="9" t="s">
        <v>39</v>
      </c>
      <c r="B6" s="12" t="s">
        <v>5</v>
      </c>
      <c r="C6" s="10">
        <v>5.28</v>
      </c>
      <c r="E6" s="8">
        <v>15</v>
      </c>
      <c r="F6" s="1">
        <f t="shared" si="0"/>
        <v>4.6698707970112077</v>
      </c>
      <c r="G6" s="1">
        <f t="shared" si="0"/>
        <v>5.8373384962640094</v>
      </c>
      <c r="H6" s="1">
        <f t="shared" si="0"/>
        <v>7.0048061955168111</v>
      </c>
      <c r="I6" s="1">
        <f t="shared" ref="I6:I15" si="2">SQRT(10^6/F6)</f>
        <v>462.75121480175864</v>
      </c>
      <c r="J6" s="1">
        <f t="shared" si="1"/>
        <v>413.89726918693572</v>
      </c>
      <c r="K6" s="1">
        <f t="shared" si="1"/>
        <v>377.83478470578768</v>
      </c>
    </row>
    <row r="7" spans="1:11" ht="16.2" x14ac:dyDescent="0.25">
      <c r="A7" s="6" t="s">
        <v>40</v>
      </c>
      <c r="B7" s="21" t="s">
        <v>6</v>
      </c>
      <c r="C7" s="20">
        <f>B11*B12*B13/B14*1000</f>
        <v>17.33451294117647</v>
      </c>
      <c r="E7" s="8">
        <v>20</v>
      </c>
      <c r="F7" s="1">
        <f>$C$2*F$3/(365*$E7*$C$5*$C$6)*10000</f>
        <v>3.502403097758406</v>
      </c>
      <c r="G7" s="1">
        <f t="shared" si="0"/>
        <v>4.3780038721980077</v>
      </c>
      <c r="H7" s="1">
        <f t="shared" si="0"/>
        <v>5.2536046466376085</v>
      </c>
      <c r="I7" s="1">
        <f t="shared" si="2"/>
        <v>534.33907686724331</v>
      </c>
      <c r="J7" s="1">
        <f t="shared" si="1"/>
        <v>477.92739956385657</v>
      </c>
      <c r="K7" s="1">
        <f t="shared" si="1"/>
        <v>436.28602931818159</v>
      </c>
    </row>
    <row r="8" spans="1:11" x14ac:dyDescent="0.25">
      <c r="E8" s="8">
        <v>25</v>
      </c>
      <c r="F8" s="1">
        <f t="shared" si="0"/>
        <v>2.8019224782067247</v>
      </c>
      <c r="G8" s="1">
        <f t="shared" si="0"/>
        <v>3.502403097758406</v>
      </c>
      <c r="H8" s="1">
        <f t="shared" si="0"/>
        <v>4.2028837173100868</v>
      </c>
      <c r="I8" s="1">
        <f t="shared" si="2"/>
        <v>597.40924945482072</v>
      </c>
      <c r="J8" s="1">
        <f t="shared" si="1"/>
        <v>534.33907686724331</v>
      </c>
      <c r="K8" s="1">
        <f t="shared" si="1"/>
        <v>487.78260959446015</v>
      </c>
    </row>
    <row r="9" spans="1:11" x14ac:dyDescent="0.25">
      <c r="E9" s="8">
        <v>30</v>
      </c>
      <c r="F9" s="1">
        <f t="shared" si="0"/>
        <v>2.3349353985056038</v>
      </c>
      <c r="G9" s="1">
        <f t="shared" si="0"/>
        <v>2.9186692481320047</v>
      </c>
      <c r="H9" s="1">
        <f t="shared" si="0"/>
        <v>3.5024030977584055</v>
      </c>
      <c r="I9" s="1">
        <f t="shared" si="2"/>
        <v>654.42904397727239</v>
      </c>
      <c r="J9" s="1">
        <f t="shared" si="1"/>
        <v>585.33913151335219</v>
      </c>
      <c r="K9" s="1">
        <f t="shared" si="1"/>
        <v>534.33907686724342</v>
      </c>
    </row>
    <row r="10" spans="1:11" x14ac:dyDescent="0.25">
      <c r="A10" s="6" t="s">
        <v>34</v>
      </c>
      <c r="B10" s="12" t="s">
        <v>35</v>
      </c>
      <c r="C10" s="12" t="s">
        <v>31</v>
      </c>
      <c r="E10" s="8">
        <v>35</v>
      </c>
      <c r="F10" s="1">
        <f t="shared" si="0"/>
        <v>2.0013731987190893</v>
      </c>
      <c r="G10" s="1">
        <f t="shared" si="0"/>
        <v>2.5017164983988609</v>
      </c>
      <c r="H10" s="1">
        <f t="shared" si="0"/>
        <v>3.002059798078633</v>
      </c>
      <c r="I10" s="1">
        <f t="shared" si="2"/>
        <v>706.86415658727606</v>
      </c>
      <c r="J10" s="1">
        <f t="shared" si="1"/>
        <v>632.23852199488203</v>
      </c>
      <c r="K10" s="1">
        <f t="shared" si="1"/>
        <v>577.15216703387171</v>
      </c>
    </row>
    <row r="11" spans="1:11" x14ac:dyDescent="0.25">
      <c r="A11" s="23" t="s">
        <v>30</v>
      </c>
      <c r="B11" s="16">
        <v>1.024</v>
      </c>
      <c r="C11" s="1" t="s">
        <v>32</v>
      </c>
      <c r="E11" s="8">
        <v>40</v>
      </c>
      <c r="F11" s="1">
        <f t="shared" si="0"/>
        <v>1.751201548879203</v>
      </c>
      <c r="G11" s="1">
        <f t="shared" si="0"/>
        <v>2.1890019360990038</v>
      </c>
      <c r="H11" s="1">
        <f t="shared" si="0"/>
        <v>2.6268023233188043</v>
      </c>
      <c r="I11" s="1">
        <f t="shared" si="2"/>
        <v>755.66956941157525</v>
      </c>
      <c r="J11" s="1">
        <f t="shared" si="1"/>
        <v>675.89141029291125</v>
      </c>
      <c r="K11" s="1">
        <f t="shared" si="1"/>
        <v>617.00161973567822</v>
      </c>
    </row>
    <row r="12" spans="1:11" x14ac:dyDescent="0.25">
      <c r="A12" s="23" t="s">
        <v>36</v>
      </c>
      <c r="B12" s="16">
        <v>14.388999999999999</v>
      </c>
      <c r="C12" s="1" t="s">
        <v>33</v>
      </c>
      <c r="E12" s="8">
        <v>45</v>
      </c>
      <c r="F12" s="1">
        <f t="shared" si="0"/>
        <v>1.556623599003736</v>
      </c>
      <c r="G12" s="1">
        <f t="shared" si="0"/>
        <v>1.9457794987546699</v>
      </c>
      <c r="H12" s="1">
        <f t="shared" si="0"/>
        <v>2.3349353985056038</v>
      </c>
      <c r="I12" s="1">
        <f t="shared" si="2"/>
        <v>801.50861530086502</v>
      </c>
      <c r="J12" s="1">
        <f t="shared" si="1"/>
        <v>716.89109934578494</v>
      </c>
      <c r="K12" s="1">
        <f t="shared" si="1"/>
        <v>654.42904397727239</v>
      </c>
    </row>
    <row r="13" spans="1:11" x14ac:dyDescent="0.25">
      <c r="A13" s="23" t="s">
        <v>37</v>
      </c>
      <c r="B13" s="21">
        <v>1</v>
      </c>
      <c r="C13" s="1" t="s">
        <v>38</v>
      </c>
      <c r="E13" s="8">
        <v>50</v>
      </c>
      <c r="F13" s="1">
        <f t="shared" si="0"/>
        <v>1.4009612391033623</v>
      </c>
      <c r="G13" s="1">
        <f t="shared" si="0"/>
        <v>1.751201548879203</v>
      </c>
      <c r="H13" s="1">
        <f t="shared" si="0"/>
        <v>2.1014418586550434</v>
      </c>
      <c r="I13" s="1">
        <f t="shared" si="2"/>
        <v>844.86426286613903</v>
      </c>
      <c r="J13" s="1">
        <f t="shared" si="1"/>
        <v>755.66956941157525</v>
      </c>
      <c r="K13" s="1">
        <f t="shared" si="1"/>
        <v>689.82878197822606</v>
      </c>
    </row>
    <row r="14" spans="1:11" ht="16.2" x14ac:dyDescent="0.25">
      <c r="A14" s="23" t="s">
        <v>42</v>
      </c>
      <c r="B14" s="10">
        <v>850</v>
      </c>
      <c r="C14" s="1" t="s">
        <v>43</v>
      </c>
      <c r="E14" s="8">
        <v>55</v>
      </c>
      <c r="F14" s="1">
        <f t="shared" si="0"/>
        <v>1.2736011264576022</v>
      </c>
      <c r="G14" s="1">
        <f t="shared" si="0"/>
        <v>1.5920014080720026</v>
      </c>
      <c r="H14" s="1">
        <f t="shared" si="0"/>
        <v>1.9104016896864031</v>
      </c>
      <c r="I14" s="1">
        <f t="shared" si="2"/>
        <v>886.10111439675939</v>
      </c>
      <c r="J14" s="1">
        <f t="shared" si="1"/>
        <v>792.55293069178867</v>
      </c>
      <c r="K14" s="1">
        <f t="shared" si="1"/>
        <v>723.49853026120195</v>
      </c>
    </row>
    <row r="15" spans="1:11" x14ac:dyDescent="0.25">
      <c r="E15" s="8">
        <v>60</v>
      </c>
      <c r="F15" s="1">
        <f t="shared" si="0"/>
        <v>1.1674676992528019</v>
      </c>
      <c r="G15" s="1">
        <f t="shared" si="0"/>
        <v>1.4593346240660023</v>
      </c>
      <c r="H15" s="1">
        <f t="shared" si="0"/>
        <v>1.7512015488792028</v>
      </c>
      <c r="I15" s="1">
        <f t="shared" si="2"/>
        <v>925.50242960351727</v>
      </c>
      <c r="J15" s="1">
        <f t="shared" si="1"/>
        <v>827.79453837387143</v>
      </c>
      <c r="K15" s="1">
        <f t="shared" si="1"/>
        <v>755.66956941157537</v>
      </c>
    </row>
    <row r="17" spans="6:9" x14ac:dyDescent="0.25">
      <c r="F17" s="22"/>
      <c r="I17" s="22"/>
    </row>
  </sheetData>
  <mergeCells count="4">
    <mergeCell ref="A1:C1"/>
    <mergeCell ref="E1:K1"/>
    <mergeCell ref="F2:H2"/>
    <mergeCell ref="I2:K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B518-5F36-49AE-BD0B-2BEF60CE804C}">
  <dimension ref="A1:P33"/>
  <sheetViews>
    <sheetView tabSelected="1" zoomScale="70" zoomScaleNormal="70" workbookViewId="0">
      <selection activeCell="D16" sqref="D16"/>
    </sheetView>
  </sheetViews>
  <sheetFormatPr defaultRowHeight="13.8" x14ac:dyDescent="0.25"/>
  <cols>
    <col min="1" max="1" width="24.33203125" customWidth="1"/>
    <col min="3" max="3" width="42.109375" customWidth="1"/>
    <col min="4" max="4" width="23.21875" customWidth="1"/>
    <col min="5" max="5" width="18.33203125" customWidth="1"/>
    <col min="7" max="7" width="10" customWidth="1"/>
    <col min="8" max="8" width="17.21875" customWidth="1"/>
    <col min="9" max="9" width="14.44140625" customWidth="1"/>
    <col min="10" max="10" width="15" customWidth="1"/>
    <col min="11" max="11" width="14.6640625" customWidth="1"/>
    <col min="12" max="12" width="16.6640625" customWidth="1"/>
    <col min="13" max="13" width="16.77734375" customWidth="1"/>
    <col min="14" max="14" width="16.21875" customWidth="1"/>
    <col min="15" max="15" width="13.5546875" customWidth="1"/>
  </cols>
  <sheetData>
    <row r="1" spans="1:16" x14ac:dyDescent="0.25">
      <c r="A1" s="37" t="s">
        <v>20</v>
      </c>
      <c r="B1" s="37"/>
      <c r="C1" s="37"/>
      <c r="D1" s="11" t="s">
        <v>31</v>
      </c>
      <c r="E1" s="19" t="s">
        <v>51</v>
      </c>
      <c r="F1" s="27"/>
      <c r="G1" s="37" t="s">
        <v>11</v>
      </c>
      <c r="H1" s="37"/>
      <c r="I1" s="37"/>
      <c r="J1" s="37"/>
      <c r="K1" s="37"/>
      <c r="L1" s="37"/>
      <c r="M1" s="37"/>
      <c r="N1" s="37"/>
      <c r="O1" s="2"/>
      <c r="P1" s="2"/>
    </row>
    <row r="2" spans="1:16" ht="16.2" x14ac:dyDescent="0.25">
      <c r="A2" s="18" t="s">
        <v>41</v>
      </c>
      <c r="B2" s="1" t="s">
        <v>3</v>
      </c>
      <c r="C2" s="24">
        <v>800</v>
      </c>
      <c r="D2" s="1" t="s">
        <v>45</v>
      </c>
      <c r="E2" s="26"/>
      <c r="F2" s="28"/>
      <c r="G2" s="1"/>
      <c r="H2" s="4"/>
      <c r="I2" s="39" t="s">
        <v>22</v>
      </c>
      <c r="J2" s="39"/>
      <c r="K2" s="39"/>
      <c r="L2" s="40" t="s">
        <v>21</v>
      </c>
      <c r="M2" s="40"/>
      <c r="N2" s="40"/>
      <c r="O2" s="2"/>
      <c r="P2" s="2"/>
    </row>
    <row r="3" spans="1:16" x14ac:dyDescent="0.25">
      <c r="A3" s="18"/>
      <c r="B3" s="1"/>
      <c r="C3" s="1"/>
      <c r="D3" s="1"/>
      <c r="E3" s="26"/>
      <c r="F3" s="28"/>
      <c r="G3" s="1"/>
      <c r="H3" s="1" t="s">
        <v>70</v>
      </c>
      <c r="I3" s="34">
        <v>3000</v>
      </c>
      <c r="J3" s="21">
        <v>3500</v>
      </c>
      <c r="K3" s="35">
        <v>4000</v>
      </c>
      <c r="L3" s="34">
        <v>3000</v>
      </c>
      <c r="M3" s="21">
        <v>3500</v>
      </c>
      <c r="N3" s="35">
        <v>4000</v>
      </c>
      <c r="O3" s="2"/>
      <c r="P3" s="2"/>
    </row>
    <row r="4" spans="1:16" ht="15" customHeight="1" x14ac:dyDescent="0.25">
      <c r="A4" s="18" t="s">
        <v>14</v>
      </c>
      <c r="B4" s="1"/>
      <c r="C4" s="16">
        <v>0.67200000000000004</v>
      </c>
      <c r="D4" s="1" t="s">
        <v>58</v>
      </c>
      <c r="E4" s="29" t="s">
        <v>57</v>
      </c>
      <c r="G4" s="6" t="s">
        <v>54</v>
      </c>
      <c r="H4" s="7" t="s">
        <v>53</v>
      </c>
      <c r="I4" s="5" t="s">
        <v>75</v>
      </c>
      <c r="J4" s="5" t="s">
        <v>77</v>
      </c>
      <c r="K4" s="5" t="s">
        <v>78</v>
      </c>
      <c r="L4" s="5" t="s">
        <v>76</v>
      </c>
      <c r="M4" s="5" t="s">
        <v>79</v>
      </c>
      <c r="N4" s="5" t="s">
        <v>80</v>
      </c>
      <c r="P4" s="2"/>
    </row>
    <row r="5" spans="1:16" ht="16.2" x14ac:dyDescent="0.25">
      <c r="A5" s="6" t="s">
        <v>52</v>
      </c>
      <c r="B5" s="1" t="s">
        <v>16</v>
      </c>
      <c r="C5" s="16">
        <f>0.1814/(B17^0.4218)*100</f>
        <v>9.6345130079222532</v>
      </c>
      <c r="D5" s="1" t="s">
        <v>50</v>
      </c>
      <c r="E5" s="30" t="s">
        <v>57</v>
      </c>
      <c r="G5" s="1">
        <f>(10^6/H5)^0.5</f>
        <v>707.10678118654755</v>
      </c>
      <c r="H5" s="8">
        <v>2</v>
      </c>
      <c r="I5" s="1">
        <f>($C$2*$C$4*$B$23/1000*EXP(-$C$5/$H5)*(I$3-$C$8)-$C$10*$C$11*$H5)/10000</f>
        <v>-1.1946402043194171</v>
      </c>
      <c r="J5" s="1">
        <f t="shared" ref="J5:K5" si="0">($C$2*$C$4*$B$23/1000*EXP(-$C$5/$H5)*(J$3-$C$8)-$C$10*$C$11*$H5)/10000</f>
        <v>-1.0178688487192091</v>
      </c>
      <c r="K5" s="1">
        <f t="shared" si="0"/>
        <v>-0.84109749311900084</v>
      </c>
      <c r="L5" s="1"/>
      <c r="M5" s="1"/>
      <c r="N5" s="1"/>
      <c r="O5" s="2"/>
      <c r="P5" s="2"/>
    </row>
    <row r="6" spans="1:16" ht="16.2" x14ac:dyDescent="0.25">
      <c r="A6" s="21" t="s">
        <v>53</v>
      </c>
      <c r="B6" s="1"/>
      <c r="C6" s="1"/>
      <c r="D6" s="1"/>
      <c r="E6" s="1"/>
      <c r="G6" s="1">
        <f t="shared" ref="G6:G32" si="1">(10^6/H6)^0.5</f>
        <v>577.35026918962569</v>
      </c>
      <c r="H6" s="8">
        <v>3</v>
      </c>
      <c r="I6" s="1">
        <f t="shared" ref="I6:K33" si="2">($C$2*$C$4*$B$23/1000*EXP(-$C$5/$H6)*(I$3-$C$8)-$C$10*$C$11*$H6)/10000</f>
        <v>-6.870570910656025E-2</v>
      </c>
      <c r="J6" s="1">
        <f t="shared" si="2"/>
        <v>0.8118993947839539</v>
      </c>
      <c r="K6" s="1">
        <f t="shared" si="2"/>
        <v>1.6925044986744679</v>
      </c>
      <c r="L6" s="1">
        <f>(I7-I5)/($H7-$H5)</f>
        <v>1.6593745023565267</v>
      </c>
      <c r="M6" s="1">
        <f t="shared" ref="M6:N21" si="3">(J7-J5)/($H7-$H5)</f>
        <v>2.5537225389124298</v>
      </c>
      <c r="N6" s="1">
        <f t="shared" si="3"/>
        <v>3.4480705754683316</v>
      </c>
      <c r="O6" s="2"/>
      <c r="P6" s="2"/>
    </row>
    <row r="7" spans="1:16" ht="15" customHeight="1" x14ac:dyDescent="0.25">
      <c r="A7" s="6" t="s">
        <v>70</v>
      </c>
      <c r="B7" s="1" t="s">
        <v>17</v>
      </c>
      <c r="C7" s="25"/>
      <c r="D7" s="1" t="s">
        <v>61</v>
      </c>
      <c r="E7" s="16">
        <f>B20*B21/B22/B23*1000</f>
        <v>3899.5200456800922</v>
      </c>
      <c r="G7" s="1">
        <f t="shared" si="1"/>
        <v>500</v>
      </c>
      <c r="H7" s="8">
        <v>4</v>
      </c>
      <c r="I7" s="1">
        <f>($C$2*$C$4*$B$23/1000*EXP(-$C$5/$H7)*(I$3-$C$8)-$C$10*$C$11*$H7)/10000</f>
        <v>2.1241088003936364</v>
      </c>
      <c r="J7" s="1">
        <f t="shared" si="2"/>
        <v>4.0895762291056501</v>
      </c>
      <c r="K7" s="1">
        <f t="shared" si="2"/>
        <v>6.0550436578176621</v>
      </c>
      <c r="L7" s="1">
        <f t="shared" ref="L7:L32" si="4">(I8-I6)/($H8-$H6)</f>
        <v>2.3769114765101329</v>
      </c>
      <c r="M7" s="1">
        <f t="shared" si="3"/>
        <v>3.5275227181208946</v>
      </c>
      <c r="N7" s="1">
        <f t="shared" si="3"/>
        <v>4.6781339597316567</v>
      </c>
      <c r="O7" s="2"/>
      <c r="P7" s="2"/>
    </row>
    <row r="8" spans="1:16" x14ac:dyDescent="0.25">
      <c r="A8" s="18" t="s">
        <v>73</v>
      </c>
      <c r="B8" s="1" t="s">
        <v>18</v>
      </c>
      <c r="C8" s="16">
        <f>1600</f>
        <v>1600</v>
      </c>
      <c r="D8" s="1" t="s">
        <v>61</v>
      </c>
      <c r="E8" s="1"/>
      <c r="G8" s="1">
        <f t="shared" si="1"/>
        <v>447.21359549995793</v>
      </c>
      <c r="H8" s="8">
        <v>5</v>
      </c>
      <c r="I8" s="1">
        <f t="shared" si="2"/>
        <v>4.6851172439137052</v>
      </c>
      <c r="J8" s="1">
        <f t="shared" si="2"/>
        <v>7.8669448310257426</v>
      </c>
      <c r="K8" s="1">
        <f t="shared" si="2"/>
        <v>11.048772418137782</v>
      </c>
      <c r="L8" s="1">
        <f>(I9-I7)/($H9-$H7)</f>
        <v>2.545103347725743</v>
      </c>
      <c r="M8" s="1">
        <f t="shared" si="3"/>
        <v>3.7557831147706522</v>
      </c>
      <c r="N8" s="1">
        <f t="shared" si="3"/>
        <v>4.9664628818155609</v>
      </c>
      <c r="O8" s="2"/>
      <c r="P8" s="2"/>
    </row>
    <row r="9" spans="1:16" x14ac:dyDescent="0.25">
      <c r="A9" s="18"/>
      <c r="B9" s="1"/>
      <c r="C9" s="1"/>
      <c r="D9" s="1"/>
      <c r="E9" s="1"/>
      <c r="G9" s="1">
        <f t="shared" si="1"/>
        <v>408.24829046386299</v>
      </c>
      <c r="H9" s="8">
        <v>6</v>
      </c>
      <c r="I9" s="1">
        <f t="shared" si="2"/>
        <v>7.2143154958451223</v>
      </c>
      <c r="J9" s="1">
        <f t="shared" si="2"/>
        <v>11.601142458646954</v>
      </c>
      <c r="K9" s="1">
        <f t="shared" si="2"/>
        <v>15.987969421448783</v>
      </c>
      <c r="L9" s="1">
        <f t="shared" si="4"/>
        <v>2.4257167661164818</v>
      </c>
      <c r="M9" s="1">
        <f t="shared" si="3"/>
        <v>3.5937584683009396</v>
      </c>
      <c r="N9" s="1">
        <f t="shared" si="3"/>
        <v>4.7618001704853983</v>
      </c>
      <c r="O9" s="2"/>
      <c r="P9" s="2"/>
    </row>
    <row r="10" spans="1:16" ht="16.2" x14ac:dyDescent="0.25">
      <c r="A10" s="18" t="s">
        <v>44</v>
      </c>
      <c r="B10" s="1" t="s">
        <v>5</v>
      </c>
      <c r="C10" s="10">
        <v>5.28</v>
      </c>
      <c r="D10" s="1" t="s">
        <v>62</v>
      </c>
      <c r="E10" s="1"/>
      <c r="G10" s="1">
        <f t="shared" si="1"/>
        <v>377.96447300922722</v>
      </c>
      <c r="H10" s="8">
        <v>7</v>
      </c>
      <c r="I10" s="1">
        <f t="shared" si="2"/>
        <v>9.5365507761466688</v>
      </c>
      <c r="J10" s="1">
        <f t="shared" si="2"/>
        <v>15.054461767627622</v>
      </c>
      <c r="K10" s="1">
        <f t="shared" si="2"/>
        <v>20.572372759108578</v>
      </c>
      <c r="L10" s="1">
        <f t="shared" si="4"/>
        <v>2.188954784607982</v>
      </c>
      <c r="M10" s="1">
        <f t="shared" si="3"/>
        <v>3.2724386362536872</v>
      </c>
      <c r="N10" s="1">
        <f t="shared" si="3"/>
        <v>4.3559224878993978</v>
      </c>
      <c r="O10" s="2"/>
      <c r="P10" s="2"/>
    </row>
    <row r="11" spans="1:16" x14ac:dyDescent="0.25">
      <c r="A11" s="18" t="s">
        <v>15</v>
      </c>
      <c r="B11" s="1" t="s">
        <v>19</v>
      </c>
      <c r="C11" s="10">
        <v>1600</v>
      </c>
      <c r="D11" s="1" t="s">
        <v>61</v>
      </c>
      <c r="E11" s="1"/>
      <c r="G11" s="1">
        <f t="shared" si="1"/>
        <v>353.55339059327378</v>
      </c>
      <c r="H11" s="8">
        <v>8</v>
      </c>
      <c r="I11" s="1">
        <f t="shared" si="2"/>
        <v>11.592225065061086</v>
      </c>
      <c r="J11" s="1">
        <f t="shared" si="2"/>
        <v>18.146019731154329</v>
      </c>
      <c r="K11" s="1">
        <f t="shared" si="2"/>
        <v>24.699814397247579</v>
      </c>
      <c r="L11" s="1">
        <f>(I12-I10)/($H12-$H10)</f>
        <v>1.9191460990603346</v>
      </c>
      <c r="M11" s="1">
        <f t="shared" si="3"/>
        <v>2.9062697058675973</v>
      </c>
      <c r="N11" s="1">
        <f t="shared" si="3"/>
        <v>3.8933933126748599</v>
      </c>
      <c r="O11" s="2"/>
      <c r="P11" s="2"/>
    </row>
    <row r="12" spans="1:16" x14ac:dyDescent="0.25">
      <c r="G12" s="1">
        <f t="shared" si="1"/>
        <v>333.33333333333331</v>
      </c>
      <c r="H12" s="8">
        <v>9</v>
      </c>
      <c r="I12" s="1">
        <f t="shared" si="2"/>
        <v>13.374842974267338</v>
      </c>
      <c r="J12" s="1">
        <f t="shared" si="2"/>
        <v>20.867001179362816</v>
      </c>
      <c r="K12" s="1">
        <f t="shared" si="2"/>
        <v>28.359159384458298</v>
      </c>
      <c r="L12" s="1">
        <f t="shared" si="4"/>
        <v>1.6540641579253412</v>
      </c>
      <c r="M12" s="1">
        <f t="shared" si="3"/>
        <v>2.5465156428986777</v>
      </c>
      <c r="N12" s="1">
        <f t="shared" si="3"/>
        <v>3.4389671278720133</v>
      </c>
      <c r="O12" s="2"/>
      <c r="P12" s="2"/>
    </row>
    <row r="13" spans="1:16" x14ac:dyDescent="0.25">
      <c r="G13" s="1">
        <f t="shared" si="1"/>
        <v>316.22776601683796</v>
      </c>
      <c r="H13" s="8">
        <v>10</v>
      </c>
      <c r="I13" s="1">
        <f t="shared" si="2"/>
        <v>14.900353380911769</v>
      </c>
      <c r="J13" s="1">
        <f t="shared" si="2"/>
        <v>23.239051016951684</v>
      </c>
      <c r="K13" s="1">
        <f t="shared" si="2"/>
        <v>31.577748652991605</v>
      </c>
      <c r="L13" s="1">
        <f t="shared" si="4"/>
        <v>1.4089703284762489</v>
      </c>
      <c r="M13" s="1">
        <f t="shared" si="3"/>
        <v>2.2138883029320517</v>
      </c>
      <c r="N13" s="1">
        <f t="shared" si="3"/>
        <v>3.018806277387851</v>
      </c>
      <c r="O13" s="2"/>
      <c r="P13" s="2"/>
    </row>
    <row r="14" spans="1:16" x14ac:dyDescent="0.25">
      <c r="A14" s="6" t="s">
        <v>46</v>
      </c>
      <c r="B14" s="11" t="s">
        <v>35</v>
      </c>
      <c r="C14" s="11" t="s">
        <v>31</v>
      </c>
      <c r="G14" s="1">
        <f t="shared" si="1"/>
        <v>301.51134457776362</v>
      </c>
      <c r="H14" s="8">
        <v>11</v>
      </c>
      <c r="I14" s="1">
        <f t="shared" si="2"/>
        <v>16.192783631219836</v>
      </c>
      <c r="J14" s="1">
        <f t="shared" si="2"/>
        <v>25.29477778522692</v>
      </c>
      <c r="K14" s="1">
        <f t="shared" si="2"/>
        <v>34.396771939234</v>
      </c>
      <c r="L14" s="1">
        <f>(I15-I13)/($H15-$H13)</f>
        <v>1.1886791722751751</v>
      </c>
      <c r="M14" s="1">
        <f t="shared" si="3"/>
        <v>1.9149217338020215</v>
      </c>
      <c r="N14" s="1">
        <f t="shared" si="3"/>
        <v>2.6411642953288688</v>
      </c>
      <c r="O14" s="2"/>
      <c r="P14" s="2"/>
    </row>
    <row r="15" spans="1:16" x14ac:dyDescent="0.25">
      <c r="A15" s="23" t="s">
        <v>47</v>
      </c>
      <c r="B15" s="16">
        <v>45.227499999999999</v>
      </c>
      <c r="C15" s="1" t="s">
        <v>59</v>
      </c>
      <c r="G15" s="1">
        <f t="shared" si="1"/>
        <v>288.67513459481285</v>
      </c>
      <c r="H15" s="8">
        <v>12</v>
      </c>
      <c r="I15" s="1">
        <f t="shared" si="2"/>
        <v>17.277711725462119</v>
      </c>
      <c r="J15" s="1">
        <f t="shared" si="2"/>
        <v>27.068894484555727</v>
      </c>
      <c r="K15" s="1">
        <f t="shared" si="2"/>
        <v>36.860077243649343</v>
      </c>
      <c r="L15" s="1">
        <f t="shared" si="4"/>
        <v>0.99333362147167215</v>
      </c>
      <c r="M15" s="1">
        <f t="shared" si="3"/>
        <v>1.6498099148544121</v>
      </c>
      <c r="N15" s="1">
        <f t="shared" si="3"/>
        <v>2.3062862082371538</v>
      </c>
      <c r="O15" s="2"/>
      <c r="P15" s="2"/>
    </row>
    <row r="16" spans="1:16" ht="16.2" x14ac:dyDescent="0.25">
      <c r="A16" s="23" t="s">
        <v>48</v>
      </c>
      <c r="B16" s="10">
        <v>10.09</v>
      </c>
      <c r="C16" s="1" t="s">
        <v>60</v>
      </c>
      <c r="G16" s="1">
        <f t="shared" si="1"/>
        <v>277.35009811261455</v>
      </c>
      <c r="H16" s="8">
        <v>13</v>
      </c>
      <c r="I16" s="1">
        <f t="shared" si="2"/>
        <v>18.17945087416318</v>
      </c>
      <c r="J16" s="1">
        <f t="shared" si="2"/>
        <v>28.594397614935744</v>
      </c>
      <c r="K16" s="1">
        <f t="shared" si="2"/>
        <v>39.009344355708308</v>
      </c>
      <c r="L16" s="1">
        <f t="shared" si="4"/>
        <v>0.82113383142405283</v>
      </c>
      <c r="M16" s="1">
        <f t="shared" si="3"/>
        <v>1.4161101997897898</v>
      </c>
      <c r="N16" s="1">
        <f t="shared" si="3"/>
        <v>2.0110865681555232</v>
      </c>
      <c r="O16" s="2"/>
      <c r="P16" s="2"/>
    </row>
    <row r="17" spans="1:16" x14ac:dyDescent="0.25">
      <c r="A17" s="23" t="s">
        <v>49</v>
      </c>
      <c r="B17" s="16">
        <f>B15/B16</f>
        <v>4.4824083250743314</v>
      </c>
      <c r="C17" s="1"/>
      <c r="F17" s="27"/>
      <c r="G17" s="1">
        <f t="shared" si="1"/>
        <v>267.2612419124244</v>
      </c>
      <c r="H17" s="8">
        <v>14</v>
      </c>
      <c r="I17" s="1">
        <f t="shared" si="2"/>
        <v>18.919979388310225</v>
      </c>
      <c r="J17" s="1">
        <f t="shared" si="2"/>
        <v>29.901114884135307</v>
      </c>
      <c r="K17" s="1">
        <f t="shared" si="2"/>
        <v>40.882250379960389</v>
      </c>
      <c r="L17" s="1">
        <f t="shared" si="4"/>
        <v>0.66961338065970111</v>
      </c>
      <c r="M17" s="1">
        <f t="shared" si="3"/>
        <v>1.2104753023238821</v>
      </c>
      <c r="N17" s="1">
        <f t="shared" si="3"/>
        <v>1.7513372239880596</v>
      </c>
      <c r="O17" s="2"/>
      <c r="P17" s="2"/>
    </row>
    <row r="18" spans="1:16" x14ac:dyDescent="0.25">
      <c r="G18" s="1">
        <f t="shared" si="1"/>
        <v>258.19888974716116</v>
      </c>
      <c r="H18" s="8">
        <v>15</v>
      </c>
      <c r="I18" s="1">
        <f t="shared" si="2"/>
        <v>19.518677635482582</v>
      </c>
      <c r="J18" s="1">
        <f t="shared" si="2"/>
        <v>31.015348219583508</v>
      </c>
      <c r="K18" s="1">
        <f t="shared" si="2"/>
        <v>42.512018803684427</v>
      </c>
      <c r="L18" s="1">
        <f t="shared" si="4"/>
        <v>0.53622157185956532</v>
      </c>
      <c r="M18" s="1">
        <f t="shared" si="3"/>
        <v>1.0294435618094084</v>
      </c>
      <c r="N18" s="1">
        <f t="shared" si="3"/>
        <v>1.5226655517592498</v>
      </c>
      <c r="O18" s="2"/>
      <c r="P18" s="2"/>
    </row>
    <row r="19" spans="1:16" x14ac:dyDescent="0.25">
      <c r="A19" s="6" t="s">
        <v>64</v>
      </c>
      <c r="B19" s="33" t="s">
        <v>35</v>
      </c>
      <c r="C19" s="33" t="s">
        <v>31</v>
      </c>
      <c r="G19" s="1">
        <f t="shared" si="1"/>
        <v>250</v>
      </c>
      <c r="H19" s="8">
        <v>16</v>
      </c>
      <c r="I19" s="1">
        <f t="shared" si="2"/>
        <v>19.992422532029355</v>
      </c>
      <c r="J19" s="1">
        <f t="shared" si="2"/>
        <v>31.960002007754124</v>
      </c>
      <c r="K19" s="1">
        <f t="shared" si="2"/>
        <v>43.927581483478889</v>
      </c>
      <c r="L19" s="1">
        <f t="shared" si="4"/>
        <v>0.41857336662474864</v>
      </c>
      <c r="M19" s="1">
        <f t="shared" si="3"/>
        <v>0.86977814041929591</v>
      </c>
      <c r="N19" s="1">
        <f t="shared" si="3"/>
        <v>1.3209829142138538</v>
      </c>
      <c r="O19" s="2"/>
      <c r="P19" s="2"/>
    </row>
    <row r="20" spans="1:16" x14ac:dyDescent="0.25">
      <c r="A20" s="23" t="s">
        <v>74</v>
      </c>
      <c r="B20" s="32">
        <v>70</v>
      </c>
      <c r="C20" s="1" t="s">
        <v>61</v>
      </c>
      <c r="G20" s="1">
        <f t="shared" si="1"/>
        <v>242.53562503633299</v>
      </c>
      <c r="H20" s="8">
        <v>17</v>
      </c>
      <c r="I20" s="1">
        <f t="shared" si="2"/>
        <v>20.35582436873208</v>
      </c>
      <c r="J20" s="1">
        <f t="shared" si="2"/>
        <v>32.7549045004221</v>
      </c>
      <c r="K20" s="1">
        <f t="shared" si="2"/>
        <v>45.153984632112135</v>
      </c>
      <c r="L20" s="1">
        <f t="shared" si="4"/>
        <v>0.31454090593501327</v>
      </c>
      <c r="M20" s="1">
        <f t="shared" si="3"/>
        <v>0.72859122948323041</v>
      </c>
      <c r="N20" s="1">
        <f t="shared" si="3"/>
        <v>1.1426415530314493</v>
      </c>
      <c r="O20" s="2"/>
      <c r="P20" s="2"/>
    </row>
    <row r="21" spans="1:16" x14ac:dyDescent="0.25">
      <c r="A21" s="23" t="s">
        <v>65</v>
      </c>
      <c r="B21" s="10">
        <v>7.2</v>
      </c>
      <c r="C21" s="1" t="s">
        <v>67</v>
      </c>
      <c r="G21" s="1">
        <f t="shared" si="1"/>
        <v>235.70226039551585</v>
      </c>
      <c r="H21" s="8">
        <v>18</v>
      </c>
      <c r="I21" s="1">
        <f t="shared" si="2"/>
        <v>20.621504343899382</v>
      </c>
      <c r="J21" s="1">
        <f t="shared" si="2"/>
        <v>33.417184466720585</v>
      </c>
      <c r="K21" s="1">
        <f t="shared" si="2"/>
        <v>46.212864589541788</v>
      </c>
      <c r="L21" s="1">
        <f t="shared" si="4"/>
        <v>0.22227113008123744</v>
      </c>
      <c r="M21" s="1">
        <f t="shared" si="3"/>
        <v>0.60336796225310962</v>
      </c>
      <c r="N21" s="1">
        <f t="shared" si="3"/>
        <v>0.98446479442498003</v>
      </c>
      <c r="O21" s="2"/>
      <c r="P21" s="2"/>
    </row>
    <row r="22" spans="1:16" ht="16.2" x14ac:dyDescent="0.25">
      <c r="A22" s="23" t="s">
        <v>71</v>
      </c>
      <c r="B22" s="32">
        <v>0.15897500000000001</v>
      </c>
      <c r="C22" s="36" t="s">
        <v>81</v>
      </c>
      <c r="D22" s="31"/>
      <c r="G22" s="1">
        <f t="shared" si="1"/>
        <v>229.41573387056175</v>
      </c>
      <c r="H22" s="8">
        <v>19</v>
      </c>
      <c r="I22" s="1">
        <f t="shared" si="2"/>
        <v>20.800366628894555</v>
      </c>
      <c r="J22" s="1">
        <f t="shared" si="2"/>
        <v>33.961640424928319</v>
      </c>
      <c r="K22" s="1">
        <f t="shared" si="2"/>
        <v>47.122914220962095</v>
      </c>
      <c r="L22" s="1">
        <f t="shared" si="4"/>
        <v>0.14017075492597897</v>
      </c>
      <c r="M22" s="1">
        <f t="shared" ref="M22:M31" si="5">(J23-J21)/($H23-$H21)</f>
        <v>0.49194602454240055</v>
      </c>
      <c r="N22" s="1">
        <f t="shared" ref="N22:N32" si="6">(K23-K21)/($H23-$H21)</f>
        <v>0.84372129415882569</v>
      </c>
      <c r="O22" s="2"/>
      <c r="P22" s="2"/>
    </row>
    <row r="23" spans="1:16" ht="16.2" x14ac:dyDescent="0.25">
      <c r="A23" s="23" t="s">
        <v>72</v>
      </c>
      <c r="B23" s="32">
        <v>813</v>
      </c>
      <c r="C23" s="1" t="s">
        <v>85</v>
      </c>
      <c r="E23" s="2"/>
      <c r="F23" s="2"/>
      <c r="G23" s="1">
        <f t="shared" si="1"/>
        <v>223.60679774997897</v>
      </c>
      <c r="H23" s="8">
        <v>20</v>
      </c>
      <c r="I23" s="1">
        <f t="shared" si="2"/>
        <v>20.90184585375134</v>
      </c>
      <c r="J23" s="1">
        <f t="shared" si="2"/>
        <v>34.401076515805386</v>
      </c>
      <c r="K23" s="1">
        <f t="shared" si="2"/>
        <v>47.900307177859439</v>
      </c>
      <c r="L23" s="1">
        <f>(I24-I22)/($H24-$H22)</f>
        <v>6.6878653215228567E-2</v>
      </c>
      <c r="M23" s="1">
        <f t="shared" si="5"/>
        <v>0.39247817222067027</v>
      </c>
      <c r="N23" s="1">
        <f t="shared" si="6"/>
        <v>0.71807769122610665</v>
      </c>
      <c r="O23" s="2"/>
      <c r="P23" s="2"/>
    </row>
    <row r="24" spans="1:16" x14ac:dyDescent="0.25">
      <c r="G24" s="1">
        <f t="shared" si="1"/>
        <v>218.21789023599237</v>
      </c>
      <c r="H24" s="8">
        <v>21</v>
      </c>
      <c r="I24" s="1">
        <f t="shared" si="2"/>
        <v>20.934123935325012</v>
      </c>
      <c r="J24" s="1">
        <f t="shared" si="2"/>
        <v>34.74659676936966</v>
      </c>
      <c r="K24" s="1">
        <f t="shared" si="2"/>
        <v>48.559069603414308</v>
      </c>
      <c r="L24" s="1">
        <f t="shared" si="4"/>
        <v>1.235187156666484E-3</v>
      </c>
      <c r="M24" s="1">
        <f t="shared" si="5"/>
        <v>0.30339061114119303</v>
      </c>
      <c r="N24" s="1">
        <f t="shared" si="6"/>
        <v>0.60554603512571248</v>
      </c>
    </row>
    <row r="25" spans="1:16" x14ac:dyDescent="0.25">
      <c r="G25" s="1">
        <f t="shared" si="1"/>
        <v>213.20071635561044</v>
      </c>
      <c r="H25" s="8">
        <v>22</v>
      </c>
      <c r="I25" s="1">
        <f t="shared" si="2"/>
        <v>20.904316228064673</v>
      </c>
      <c r="J25" s="1">
        <f t="shared" si="2"/>
        <v>35.007857738087772</v>
      </c>
      <c r="K25" s="1">
        <f t="shared" si="2"/>
        <v>49.111399248110864</v>
      </c>
      <c r="L25" s="1">
        <f>(I26-I24)/($H26-$H24)</f>
        <v>-5.7747183058774354E-2</v>
      </c>
      <c r="M25" s="1">
        <f t="shared" si="5"/>
        <v>0.22334310870595075</v>
      </c>
      <c r="N25" s="1">
        <f t="shared" si="6"/>
        <v>0.50443340047067053</v>
      </c>
    </row>
    <row r="26" spans="1:16" x14ac:dyDescent="0.25">
      <c r="G26" s="1">
        <f t="shared" si="1"/>
        <v>208.51441405707476</v>
      </c>
      <c r="H26" s="8">
        <v>23</v>
      </c>
      <c r="I26" s="1">
        <f t="shared" si="2"/>
        <v>20.818629569207463</v>
      </c>
      <c r="J26" s="1">
        <f t="shared" si="2"/>
        <v>35.193282986781561</v>
      </c>
      <c r="K26" s="1">
        <f t="shared" si="2"/>
        <v>49.567936404355649</v>
      </c>
      <c r="L26" s="1">
        <f t="shared" si="4"/>
        <v>-0.11091027262343545</v>
      </c>
      <c r="M26" s="1">
        <f t="shared" si="5"/>
        <v>0.15119320143962156</v>
      </c>
      <c r="N26" s="1">
        <f t="shared" si="6"/>
        <v>0.41329667550268923</v>
      </c>
    </row>
    <row r="27" spans="1:16" x14ac:dyDescent="0.25">
      <c r="G27" s="1">
        <f t="shared" si="1"/>
        <v>204.12414523193149</v>
      </c>
      <c r="H27" s="8">
        <v>24</v>
      </c>
      <c r="I27" s="1">
        <f t="shared" si="2"/>
        <v>20.682495682817802</v>
      </c>
      <c r="J27" s="1">
        <f t="shared" si="2"/>
        <v>35.310244140967015</v>
      </c>
      <c r="K27" s="1">
        <f t="shared" si="2"/>
        <v>49.937992599116242</v>
      </c>
      <c r="L27" s="1">
        <f t="shared" si="4"/>
        <v>-0.15897303749287062</v>
      </c>
      <c r="M27" s="1">
        <f t="shared" si="5"/>
        <v>8.5965163402530465E-2</v>
      </c>
      <c r="N27" s="1">
        <f t="shared" si="6"/>
        <v>0.33090336429793865</v>
      </c>
    </row>
    <row r="28" spans="1:16" x14ac:dyDescent="0.25">
      <c r="G28" s="1">
        <f t="shared" si="1"/>
        <v>200</v>
      </c>
      <c r="H28" s="8">
        <v>25</v>
      </c>
      <c r="I28" s="1">
        <f t="shared" si="2"/>
        <v>20.500683494221722</v>
      </c>
      <c r="J28" s="1">
        <f t="shared" si="2"/>
        <v>35.365213313586622</v>
      </c>
      <c r="K28" s="1">
        <f t="shared" si="2"/>
        <v>50.229743132951526</v>
      </c>
      <c r="L28" s="1">
        <f>(I29-I27)/($H29-$H27)</f>
        <v>-0.20255102194351515</v>
      </c>
      <c r="M28" s="1">
        <f t="shared" si="5"/>
        <v>2.6823613076658148E-2</v>
      </c>
      <c r="N28" s="1">
        <f t="shared" si="6"/>
        <v>0.25619824809682967</v>
      </c>
    </row>
    <row r="29" spans="1:16" x14ac:dyDescent="0.25">
      <c r="G29" s="1">
        <f t="shared" si="1"/>
        <v>196.11613513818403</v>
      </c>
      <c r="H29" s="8">
        <v>26</v>
      </c>
      <c r="I29" s="1">
        <f t="shared" si="2"/>
        <v>20.277393638930771</v>
      </c>
      <c r="J29" s="1">
        <f t="shared" si="2"/>
        <v>35.363891367120331</v>
      </c>
      <c r="K29" s="1">
        <f t="shared" si="2"/>
        <v>50.450389095309902</v>
      </c>
      <c r="L29" s="1">
        <f t="shared" si="4"/>
        <v>-0.24217272078901964</v>
      </c>
      <c r="M29" s="1">
        <f t="shared" si="5"/>
        <v>-2.6948692499384919E-2</v>
      </c>
      <c r="N29" s="1">
        <f t="shared" si="6"/>
        <v>0.18827533579025513</v>
      </c>
    </row>
    <row r="30" spans="1:16" x14ac:dyDescent="0.25">
      <c r="G30" s="1">
        <f t="shared" si="1"/>
        <v>192.45008972987526</v>
      </c>
      <c r="H30" s="8">
        <v>27</v>
      </c>
      <c r="I30" s="1">
        <f t="shared" si="2"/>
        <v>20.016338052643682</v>
      </c>
      <c r="J30" s="1">
        <f t="shared" si="2"/>
        <v>35.311315928587852</v>
      </c>
      <c r="K30" s="1">
        <f t="shared" si="2"/>
        <v>50.606293804532037</v>
      </c>
      <c r="L30" s="1">
        <f t="shared" si="4"/>
        <v>-0.27829326461931281</v>
      </c>
      <c r="M30" s="1">
        <f t="shared" si="5"/>
        <v>-7.5969430554781781E-2</v>
      </c>
      <c r="N30" s="1">
        <f t="shared" si="6"/>
        <v>0.12635440350974747</v>
      </c>
    </row>
    <row r="31" spans="1:16" x14ac:dyDescent="0.25">
      <c r="G31" s="1">
        <f t="shared" si="1"/>
        <v>188.98223650461361</v>
      </c>
      <c r="H31" s="8">
        <v>28</v>
      </c>
      <c r="I31" s="1">
        <f t="shared" si="2"/>
        <v>19.720807109692146</v>
      </c>
      <c r="J31" s="1">
        <f t="shared" si="2"/>
        <v>35.211952506010768</v>
      </c>
      <c r="K31" s="1">
        <f t="shared" si="2"/>
        <v>50.703097902329397</v>
      </c>
      <c r="L31" s="1">
        <f t="shared" si="4"/>
        <v>-0.31130583369735554</v>
      </c>
      <c r="M31" s="1">
        <f t="shared" si="5"/>
        <v>-0.12077220287498136</v>
      </c>
      <c r="N31" s="1">
        <f t="shared" si="6"/>
        <v>6.9761427947383936E-2</v>
      </c>
    </row>
    <row r="32" spans="1:16" x14ac:dyDescent="0.25">
      <c r="G32" s="1">
        <f t="shared" si="1"/>
        <v>185.69533817705187</v>
      </c>
      <c r="H32" s="8">
        <v>29</v>
      </c>
      <c r="I32" s="1">
        <f t="shared" si="2"/>
        <v>19.393726385248971</v>
      </c>
      <c r="J32" s="1">
        <f t="shared" si="2"/>
        <v>35.06977152283789</v>
      </c>
      <c r="K32" s="1">
        <f t="shared" si="2"/>
        <v>50.745816660426804</v>
      </c>
      <c r="L32" s="1">
        <f t="shared" si="4"/>
        <v>-0.34155116953981413</v>
      </c>
      <c r="M32" s="1">
        <f>(J33-J31)/($H33-$H31)</f>
        <v>-0.16181944437546036</v>
      </c>
      <c r="N32" s="1">
        <f t="shared" si="6"/>
        <v>1.7912280788888069E-2</v>
      </c>
    </row>
    <row r="33" spans="7:14" x14ac:dyDescent="0.25">
      <c r="G33" s="1">
        <f t="shared" ref="G33" si="7">(10^6/H33)^0.5</f>
        <v>182.57418583505537</v>
      </c>
      <c r="H33" s="8">
        <v>30</v>
      </c>
      <c r="I33" s="1">
        <f t="shared" si="2"/>
        <v>19.037704770612518</v>
      </c>
      <c r="J33" s="1">
        <f t="shared" si="2"/>
        <v>34.888313617259847</v>
      </c>
      <c r="K33" s="1">
        <f t="shared" si="2"/>
        <v>50.738922463907173</v>
      </c>
      <c r="L33" s="4"/>
      <c r="M33" s="4"/>
      <c r="N33" s="4"/>
    </row>
  </sheetData>
  <mergeCells count="4">
    <mergeCell ref="I2:K2"/>
    <mergeCell ref="L2:N2"/>
    <mergeCell ref="A1:C1"/>
    <mergeCell ref="G1:N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DF05-BE47-4468-B57C-FB7E9798BF08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8B23-2582-4767-B5BF-CD1F67977295}">
  <dimension ref="A1:P32"/>
  <sheetViews>
    <sheetView zoomScale="85" zoomScaleNormal="85" workbookViewId="0">
      <selection activeCell="D18" sqref="D18"/>
    </sheetView>
  </sheetViews>
  <sheetFormatPr defaultRowHeight="13.8" x14ac:dyDescent="0.25"/>
  <cols>
    <col min="1" max="1" width="24.33203125" customWidth="1"/>
    <col min="3" max="3" width="10.33203125" customWidth="1"/>
    <col min="4" max="4" width="48.5546875" customWidth="1"/>
    <col min="5" max="5" width="18.33203125" customWidth="1"/>
    <col min="7" max="7" width="10" customWidth="1"/>
    <col min="8" max="8" width="17.21875" customWidth="1"/>
    <col min="9" max="9" width="9.77734375" customWidth="1"/>
    <col min="15" max="15" width="13.5546875" customWidth="1"/>
  </cols>
  <sheetData>
    <row r="1" spans="1:16" x14ac:dyDescent="0.25">
      <c r="A1" s="37" t="s">
        <v>20</v>
      </c>
      <c r="B1" s="37"/>
      <c r="C1" s="37"/>
      <c r="D1" s="17" t="s">
        <v>31</v>
      </c>
      <c r="E1" s="19" t="s">
        <v>51</v>
      </c>
      <c r="F1" s="27"/>
      <c r="G1" s="37" t="s">
        <v>11</v>
      </c>
      <c r="H1" s="37"/>
      <c r="I1" s="37"/>
      <c r="J1" s="37"/>
      <c r="K1" s="37"/>
      <c r="L1" s="37"/>
      <c r="M1" s="37"/>
      <c r="N1" s="37"/>
      <c r="O1" s="2"/>
      <c r="P1" s="2"/>
    </row>
    <row r="2" spans="1:16" ht="16.2" x14ac:dyDescent="0.25">
      <c r="A2" s="18" t="s">
        <v>41</v>
      </c>
      <c r="B2" s="1" t="s">
        <v>3</v>
      </c>
      <c r="C2" s="24">
        <v>1079.973</v>
      </c>
      <c r="D2" s="1" t="s">
        <v>45</v>
      </c>
      <c r="E2" s="26"/>
      <c r="F2" s="28"/>
      <c r="G2" s="1"/>
      <c r="H2" s="4"/>
      <c r="I2" s="39" t="s">
        <v>69</v>
      </c>
      <c r="J2" s="39"/>
      <c r="K2" s="39"/>
      <c r="L2" s="40" t="s">
        <v>21</v>
      </c>
      <c r="M2" s="40"/>
      <c r="N2" s="40"/>
      <c r="O2" s="2"/>
      <c r="P2" s="2"/>
    </row>
    <row r="3" spans="1:16" ht="16.2" x14ac:dyDescent="0.25">
      <c r="A3" s="18"/>
      <c r="B3" s="1"/>
      <c r="C3" s="1"/>
      <c r="D3" s="1"/>
      <c r="E3" s="26"/>
      <c r="F3" s="28"/>
      <c r="G3" s="1"/>
      <c r="H3" s="1" t="s">
        <v>55</v>
      </c>
      <c r="I3" s="5">
        <v>3000</v>
      </c>
      <c r="J3" s="5">
        <v>3500</v>
      </c>
      <c r="K3" s="5">
        <v>4000</v>
      </c>
      <c r="L3" s="1"/>
      <c r="M3" s="1"/>
      <c r="N3" s="1"/>
      <c r="O3" s="2"/>
      <c r="P3" s="2"/>
    </row>
    <row r="4" spans="1:16" ht="15" customHeight="1" x14ac:dyDescent="0.25">
      <c r="A4" s="18" t="s">
        <v>14</v>
      </c>
      <c r="B4" s="1"/>
      <c r="C4" s="16">
        <v>0.67200000000000004</v>
      </c>
      <c r="D4" s="1" t="s">
        <v>58</v>
      </c>
      <c r="E4" s="29" t="s">
        <v>57</v>
      </c>
      <c r="G4" s="6" t="s">
        <v>54</v>
      </c>
      <c r="H4" s="7" t="s">
        <v>53</v>
      </c>
      <c r="I4" s="5">
        <v>3000</v>
      </c>
      <c r="J4" s="5">
        <v>3500</v>
      </c>
      <c r="K4" s="5">
        <v>4000</v>
      </c>
      <c r="L4" s="5">
        <v>3000</v>
      </c>
      <c r="M4" s="5">
        <v>3500</v>
      </c>
      <c r="N4" s="5">
        <v>4000</v>
      </c>
      <c r="O4" s="5" t="s">
        <v>23</v>
      </c>
      <c r="P4" s="2"/>
    </row>
    <row r="5" spans="1:16" ht="16.2" x14ac:dyDescent="0.25">
      <c r="A5" s="6" t="s">
        <v>52</v>
      </c>
      <c r="B5" s="1" t="s">
        <v>16</v>
      </c>
      <c r="C5" s="16">
        <f>0.1814/(B17^0.4218)*100</f>
        <v>9.6345130079222532</v>
      </c>
      <c r="D5" s="1" t="s">
        <v>50</v>
      </c>
      <c r="E5" s="30" t="s">
        <v>57</v>
      </c>
      <c r="G5" s="1">
        <f>(10^6/H5)^0.5</f>
        <v>447.21359549995793</v>
      </c>
      <c r="H5" s="8">
        <v>5</v>
      </c>
      <c r="I5" s="1">
        <f>($C$2*$C$4*EXP(-$C$5/$H5)*(I3-$C$8)-$C$10*$C$11*$H5)/10000</f>
        <v>13.730921198473748</v>
      </c>
      <c r="J5" s="1">
        <f t="shared" ref="J5:K5" si="0">($C$2*$C$4*EXP(-$C$5/$H5)*(J3-$C$8)-$C$10*$C$11*$H5)/10000</f>
        <v>19.014266654710138</v>
      </c>
      <c r="K5" s="1">
        <f t="shared" si="0"/>
        <v>24.297612110946531</v>
      </c>
      <c r="L5" s="1"/>
      <c r="M5" s="1"/>
      <c r="N5" s="1"/>
      <c r="O5" s="2"/>
      <c r="P5" s="2"/>
    </row>
    <row r="6" spans="1:16" ht="16.2" x14ac:dyDescent="0.25">
      <c r="A6" s="21" t="s">
        <v>53</v>
      </c>
      <c r="B6" s="1"/>
      <c r="C6" s="1"/>
      <c r="D6" s="1"/>
      <c r="E6" s="1"/>
      <c r="G6" s="1">
        <f t="shared" ref="G6:G32" si="1">(10^6/H6)^0.5</f>
        <v>408.24829046386299</v>
      </c>
      <c r="H6" s="8">
        <v>6</v>
      </c>
      <c r="I6" s="1">
        <f t="shared" ref="I6:K32" si="2">($C$2*$C$4*EXP(-$C$5/$H6)*(I$3-$C$8)-$C$10*$C$11*$H6)/10000</f>
        <v>19.685882732491283</v>
      </c>
      <c r="J6" s="1">
        <f t="shared" si="2"/>
        <v>26.970099638238484</v>
      </c>
      <c r="K6" s="1">
        <f t="shared" si="2"/>
        <v>34.254316543985688</v>
      </c>
      <c r="L6" s="1">
        <f>(I7-I5)/($H7-$H5)</f>
        <v>5.746410914192948</v>
      </c>
      <c r="M6" s="1"/>
      <c r="N6" s="1"/>
      <c r="O6" s="2"/>
      <c r="P6" s="2"/>
    </row>
    <row r="7" spans="1:16" ht="15" customHeight="1" x14ac:dyDescent="0.25">
      <c r="A7" s="6" t="s">
        <v>55</v>
      </c>
      <c r="B7" s="1" t="s">
        <v>17</v>
      </c>
      <c r="C7" s="25"/>
      <c r="D7" s="1" t="s">
        <v>68</v>
      </c>
      <c r="E7" s="16">
        <f>B20*B21/B22</f>
        <v>3170.3097971379148</v>
      </c>
      <c r="G7" s="1">
        <f t="shared" si="1"/>
        <v>377.96447300922722</v>
      </c>
      <c r="H7" s="8">
        <v>7</v>
      </c>
      <c r="I7" s="1">
        <f t="shared" si="2"/>
        <v>25.223743026859644</v>
      </c>
      <c r="J7" s="1">
        <f t="shared" si="2"/>
        <v>34.38609678947136</v>
      </c>
      <c r="K7" s="1">
        <f t="shared" si="2"/>
        <v>43.548450552083075</v>
      </c>
      <c r="L7" s="1"/>
      <c r="M7" s="1"/>
      <c r="N7" s="1"/>
      <c r="O7" s="2"/>
      <c r="P7" s="2"/>
    </row>
    <row r="8" spans="1:16" ht="16.2" x14ac:dyDescent="0.25">
      <c r="A8" s="18" t="s">
        <v>56</v>
      </c>
      <c r="B8" s="1" t="s">
        <v>18</v>
      </c>
      <c r="C8" s="16">
        <f>B25/1000*B26</f>
        <v>1300.8000000000002</v>
      </c>
      <c r="D8" s="1" t="s">
        <v>63</v>
      </c>
      <c r="G8" s="1">
        <f t="shared" si="1"/>
        <v>353.55339059327378</v>
      </c>
      <c r="H8" s="8">
        <v>8</v>
      </c>
      <c r="I8" s="1">
        <f t="shared" si="2"/>
        <v>30.22439166894981</v>
      </c>
      <c r="J8" s="1">
        <f t="shared" si="2"/>
        <v>41.106804471724594</v>
      </c>
      <c r="K8" s="1">
        <f t="shared" si="2"/>
        <v>51.989217274499381</v>
      </c>
      <c r="L8" s="1"/>
      <c r="M8" s="1"/>
      <c r="N8" s="1"/>
      <c r="O8" s="2"/>
      <c r="P8" s="2"/>
    </row>
    <row r="9" spans="1:16" x14ac:dyDescent="0.25">
      <c r="A9" s="18"/>
      <c r="B9" s="1"/>
      <c r="C9" s="1"/>
      <c r="D9" s="1"/>
      <c r="E9" s="1"/>
      <c r="G9" s="1">
        <f t="shared" si="1"/>
        <v>333.33333333333331</v>
      </c>
      <c r="H9" s="8">
        <v>9</v>
      </c>
      <c r="I9" s="1">
        <f t="shared" si="2"/>
        <v>34.674738227660193</v>
      </c>
      <c r="J9" s="1">
        <f t="shared" si="2"/>
        <v>47.115280314424609</v>
      </c>
      <c r="K9" s="1">
        <f t="shared" si="2"/>
        <v>59.555822401189033</v>
      </c>
      <c r="L9" s="1"/>
      <c r="M9" s="1"/>
      <c r="N9" s="1"/>
      <c r="O9" s="2"/>
      <c r="P9" s="2"/>
    </row>
    <row r="10" spans="1:16" ht="16.2" x14ac:dyDescent="0.25">
      <c r="A10" s="18" t="s">
        <v>44</v>
      </c>
      <c r="B10" s="1" t="s">
        <v>5</v>
      </c>
      <c r="C10" s="10">
        <v>5.28</v>
      </c>
      <c r="D10" s="1" t="s">
        <v>62</v>
      </c>
      <c r="E10" s="1"/>
      <c r="G10" s="1">
        <f t="shared" si="1"/>
        <v>316.22776601683796</v>
      </c>
      <c r="H10" s="8">
        <v>10</v>
      </c>
      <c r="I10" s="1">
        <f t="shared" si="2"/>
        <v>38.606925150387816</v>
      </c>
      <c r="J10" s="1">
        <f t="shared" si="2"/>
        <v>52.453124876843745</v>
      </c>
      <c r="K10" s="1">
        <f t="shared" si="2"/>
        <v>66.299324603299667</v>
      </c>
      <c r="L10" s="1"/>
      <c r="M10" s="1"/>
      <c r="N10" s="1"/>
      <c r="O10" s="2"/>
      <c r="P10" s="2"/>
    </row>
    <row r="11" spans="1:16" x14ac:dyDescent="0.25">
      <c r="A11" s="18" t="s">
        <v>15</v>
      </c>
      <c r="B11" s="1" t="s">
        <v>19</v>
      </c>
      <c r="C11" s="10">
        <v>1600</v>
      </c>
      <c r="D11" s="1" t="s">
        <v>61</v>
      </c>
      <c r="E11" s="1"/>
      <c r="G11" s="1">
        <f t="shared" si="1"/>
        <v>301.51134457776362</v>
      </c>
      <c r="H11" s="8">
        <v>11</v>
      </c>
      <c r="I11" s="1">
        <f t="shared" si="2"/>
        <v>42.069375765311634</v>
      </c>
      <c r="J11" s="1">
        <f t="shared" si="2"/>
        <v>57.183010347853902</v>
      </c>
      <c r="K11" s="1">
        <f t="shared" si="2"/>
        <v>72.29664493039617</v>
      </c>
      <c r="L11" s="1"/>
      <c r="M11" s="1"/>
      <c r="N11" s="1"/>
      <c r="O11" s="2"/>
      <c r="P11" s="2"/>
    </row>
    <row r="12" spans="1:16" x14ac:dyDescent="0.25">
      <c r="G12" s="1">
        <f t="shared" si="1"/>
        <v>288.67513459481285</v>
      </c>
      <c r="H12" s="8">
        <v>12</v>
      </c>
      <c r="I12" s="1">
        <f t="shared" si="2"/>
        <v>45.113638499363212</v>
      </c>
      <c r="J12" s="1">
        <f t="shared" si="2"/>
        <v>61.371653594514818</v>
      </c>
      <c r="K12" s="1">
        <f t="shared" si="2"/>
        <v>77.629668689666417</v>
      </c>
      <c r="L12" s="1"/>
      <c r="M12" s="1"/>
      <c r="N12" s="1"/>
      <c r="O12" s="2"/>
      <c r="P12" s="2"/>
    </row>
    <row r="13" spans="1:16" x14ac:dyDescent="0.25">
      <c r="G13" s="1">
        <f t="shared" si="1"/>
        <v>277.35009811261455</v>
      </c>
      <c r="H13" s="8">
        <v>13</v>
      </c>
      <c r="I13" s="1">
        <f t="shared" si="2"/>
        <v>47.788712795147127</v>
      </c>
      <c r="J13" s="1">
        <f t="shared" si="2"/>
        <v>65.08247244531988</v>
      </c>
      <c r="K13" s="1">
        <f t="shared" si="2"/>
        <v>82.376232095492654</v>
      </c>
      <c r="L13" s="1"/>
      <c r="M13" s="1"/>
      <c r="N13" s="1"/>
      <c r="O13" s="2"/>
      <c r="P13" s="2"/>
    </row>
    <row r="14" spans="1:16" x14ac:dyDescent="0.25">
      <c r="A14" s="6" t="s">
        <v>46</v>
      </c>
      <c r="B14" s="17" t="s">
        <v>35</v>
      </c>
      <c r="C14" s="17" t="s">
        <v>31</v>
      </c>
      <c r="G14" s="1">
        <f t="shared" si="1"/>
        <v>267.2612419124244</v>
      </c>
      <c r="H14" s="8">
        <v>14</v>
      </c>
      <c r="I14" s="1">
        <f t="shared" si="2"/>
        <v>50.138892473369374</v>
      </c>
      <c r="J14" s="1">
        <f t="shared" si="2"/>
        <v>68.372794448819391</v>
      </c>
      <c r="K14" s="1">
        <f t="shared" si="2"/>
        <v>86.606696424269416</v>
      </c>
      <c r="L14" s="1"/>
      <c r="M14" s="1"/>
      <c r="N14" s="1"/>
      <c r="O14" s="2"/>
      <c r="P14" s="2"/>
    </row>
    <row r="15" spans="1:16" x14ac:dyDescent="0.25">
      <c r="A15" s="23" t="s">
        <v>47</v>
      </c>
      <c r="B15" s="16">
        <v>45.227499999999999</v>
      </c>
      <c r="C15" s="1" t="s">
        <v>59</v>
      </c>
      <c r="G15" s="1">
        <f t="shared" si="1"/>
        <v>258.19888974716116</v>
      </c>
      <c r="H15" s="8">
        <v>15</v>
      </c>
      <c r="I15" s="1">
        <f t="shared" si="2"/>
        <v>52.203235609387768</v>
      </c>
      <c r="J15" s="1">
        <f t="shared" si="2"/>
        <v>71.293170758101212</v>
      </c>
      <c r="K15" s="1">
        <f t="shared" si="2"/>
        <v>90.383105906814649</v>
      </c>
      <c r="L15" s="1"/>
      <c r="M15" s="1"/>
      <c r="N15" s="1"/>
      <c r="O15" s="2"/>
      <c r="P15" s="2"/>
    </row>
    <row r="16" spans="1:16" ht="16.2" x14ac:dyDescent="0.25">
      <c r="A16" s="23" t="s">
        <v>48</v>
      </c>
      <c r="B16" s="10">
        <v>10.09</v>
      </c>
      <c r="C16" s="1" t="s">
        <v>60</v>
      </c>
      <c r="G16" s="1">
        <f t="shared" si="1"/>
        <v>250</v>
      </c>
      <c r="H16" s="8">
        <v>16</v>
      </c>
      <c r="I16" s="1">
        <f t="shared" si="2"/>
        <v>54.015754967298356</v>
      </c>
      <c r="J16" s="1">
        <f t="shared" si="2"/>
        <v>73.887622601272696</v>
      </c>
      <c r="K16" s="1">
        <f t="shared" si="2"/>
        <v>93.759490235247014</v>
      </c>
      <c r="L16" s="1"/>
      <c r="M16" s="1"/>
      <c r="N16" s="1"/>
      <c r="O16" s="2"/>
      <c r="P16" s="2"/>
    </row>
    <row r="17" spans="1:16" x14ac:dyDescent="0.25">
      <c r="A17" s="23" t="s">
        <v>49</v>
      </c>
      <c r="B17" s="16">
        <f>B15/B16</f>
        <v>4.4824083250743314</v>
      </c>
      <c r="C17" s="1"/>
      <c r="F17" s="27"/>
      <c r="G17" s="1">
        <f t="shared" si="1"/>
        <v>242.53562503633299</v>
      </c>
      <c r="H17" s="8">
        <v>17</v>
      </c>
      <c r="I17" s="1">
        <f t="shared" si="2"/>
        <v>55.605895284720766</v>
      </c>
      <c r="J17" s="1">
        <f t="shared" si="2"/>
        <v>76.194259010215333</v>
      </c>
      <c r="K17" s="1">
        <f t="shared" si="2"/>
        <v>96.782622735709907</v>
      </c>
      <c r="L17" s="1"/>
      <c r="M17" s="1"/>
      <c r="N17" s="1"/>
      <c r="O17" s="2"/>
      <c r="P17" s="2"/>
    </row>
    <row r="18" spans="1:16" x14ac:dyDescent="0.25">
      <c r="G18" s="1">
        <f t="shared" si="1"/>
        <v>235.70226039551585</v>
      </c>
      <c r="H18" s="8">
        <v>18</v>
      </c>
      <c r="I18" s="1">
        <f t="shared" si="2"/>
        <v>56.999092596994664</v>
      </c>
      <c r="J18" s="1">
        <f t="shared" si="2"/>
        <v>78.246000729349504</v>
      </c>
      <c r="K18" s="1">
        <f t="shared" si="2"/>
        <v>99.492908861704336</v>
      </c>
      <c r="L18" s="1"/>
      <c r="M18" s="1"/>
      <c r="N18" s="1"/>
      <c r="O18" s="2"/>
      <c r="P18" s="2"/>
    </row>
    <row r="19" spans="1:16" x14ac:dyDescent="0.25">
      <c r="A19" s="6" t="s">
        <v>64</v>
      </c>
      <c r="B19" s="17" t="s">
        <v>35</v>
      </c>
      <c r="C19" s="17" t="s">
        <v>31</v>
      </c>
      <c r="G19" s="1">
        <f t="shared" si="1"/>
        <v>229.41573387056175</v>
      </c>
      <c r="H19" s="8">
        <v>19</v>
      </c>
      <c r="I19" s="1">
        <f t="shared" si="2"/>
        <v>58.217322542356989</v>
      </c>
      <c r="J19" s="1">
        <f t="shared" si="2"/>
        <v>80.071289862965813</v>
      </c>
      <c r="K19" s="1">
        <f t="shared" si="2"/>
        <v>101.92525718357463</v>
      </c>
      <c r="L19" s="1"/>
      <c r="M19" s="1"/>
      <c r="N19" s="1"/>
      <c r="O19" s="2"/>
      <c r="P19" s="2"/>
    </row>
    <row r="20" spans="1:16" x14ac:dyDescent="0.25">
      <c r="A20" s="23" t="s">
        <v>82</v>
      </c>
      <c r="B20" s="32">
        <v>70</v>
      </c>
      <c r="C20" s="1" t="s">
        <v>61</v>
      </c>
      <c r="G20" s="1">
        <f t="shared" si="1"/>
        <v>223.60679774997897</v>
      </c>
      <c r="H20" s="8">
        <v>20</v>
      </c>
      <c r="I20" s="1">
        <f t="shared" si="2"/>
        <v>59.279599130182064</v>
      </c>
      <c r="J20" s="1">
        <f t="shared" si="2"/>
        <v>81.694735409072734</v>
      </c>
      <c r="K20" s="1">
        <f t="shared" si="2"/>
        <v>104.10987168796339</v>
      </c>
      <c r="L20" s="1"/>
      <c r="M20" s="1"/>
      <c r="N20" s="1"/>
      <c r="O20" s="2"/>
      <c r="P20" s="2"/>
    </row>
    <row r="21" spans="1:16" x14ac:dyDescent="0.25">
      <c r="A21" s="23" t="s">
        <v>65</v>
      </c>
      <c r="B21" s="10">
        <v>7.2</v>
      </c>
      <c r="C21" s="1" t="s">
        <v>67</v>
      </c>
      <c r="G21" s="1">
        <f t="shared" si="1"/>
        <v>218.21789023599237</v>
      </c>
      <c r="H21" s="8">
        <v>21</v>
      </c>
      <c r="I21" s="1">
        <f t="shared" si="2"/>
        <v>60.202411723935057</v>
      </c>
      <c r="J21" s="1">
        <f t="shared" si="2"/>
        <v>83.137678827258696</v>
      </c>
      <c r="K21" s="1">
        <f t="shared" si="2"/>
        <v>106.07294593058234</v>
      </c>
      <c r="L21" s="1"/>
      <c r="M21" s="1"/>
      <c r="N21" s="1"/>
      <c r="O21" s="2"/>
      <c r="P21" s="2"/>
    </row>
    <row r="22" spans="1:16" ht="16.2" x14ac:dyDescent="0.25">
      <c r="A22" s="23" t="s">
        <v>71</v>
      </c>
      <c r="B22" s="32">
        <v>0.15897500000000001</v>
      </c>
      <c r="C22" s="1" t="s">
        <v>66</v>
      </c>
      <c r="D22" s="31"/>
      <c r="G22" s="1">
        <f t="shared" si="1"/>
        <v>213.20071635561044</v>
      </c>
      <c r="H22" s="8">
        <v>22</v>
      </c>
      <c r="I22" s="1">
        <f t="shared" si="2"/>
        <v>61.000100198705184</v>
      </c>
      <c r="J22" s="1">
        <f t="shared" si="2"/>
        <v>84.418679588625494</v>
      </c>
      <c r="K22" s="1">
        <f t="shared" si="2"/>
        <v>107.8372589785458</v>
      </c>
      <c r="L22" s="1"/>
      <c r="M22" s="1"/>
      <c r="N22" s="1"/>
      <c r="O22" s="2"/>
      <c r="P22" s="2"/>
    </row>
    <row r="23" spans="1:16" x14ac:dyDescent="0.25">
      <c r="E23" s="2"/>
      <c r="F23" s="2"/>
      <c r="G23" s="1">
        <f t="shared" si="1"/>
        <v>208.51441405707476</v>
      </c>
      <c r="H23" s="8">
        <v>23</v>
      </c>
      <c r="I23" s="1">
        <f t="shared" si="2"/>
        <v>61.685173456377278</v>
      </c>
      <c r="J23" s="1">
        <f t="shared" si="2"/>
        <v>85.553927415998658</v>
      </c>
      <c r="K23" s="1">
        <f t="shared" si="2"/>
        <v>109.42268137562004</v>
      </c>
      <c r="L23" s="2"/>
      <c r="M23" s="2"/>
      <c r="N23" s="2"/>
      <c r="O23" s="2"/>
      <c r="P23" s="2"/>
    </row>
    <row r="24" spans="1:16" x14ac:dyDescent="0.25">
      <c r="A24" s="6" t="s">
        <v>83</v>
      </c>
      <c r="B24" s="33" t="s">
        <v>35</v>
      </c>
      <c r="C24" s="33" t="s">
        <v>31</v>
      </c>
      <c r="G24" s="1">
        <f t="shared" si="1"/>
        <v>204.12414523193149</v>
      </c>
      <c r="H24" s="8">
        <v>24</v>
      </c>
      <c r="I24" s="1">
        <f t="shared" si="2"/>
        <v>62.268578280440508</v>
      </c>
      <c r="J24" s="1">
        <f t="shared" si="2"/>
        <v>86.557590250909115</v>
      </c>
      <c r="K24" s="1">
        <f t="shared" si="2"/>
        <v>110.84660222137774</v>
      </c>
    </row>
    <row r="25" spans="1:16" x14ac:dyDescent="0.25">
      <c r="A25" s="23" t="s">
        <v>84</v>
      </c>
      <c r="B25" s="32">
        <v>1600</v>
      </c>
      <c r="C25" s="1" t="s">
        <v>61</v>
      </c>
      <c r="G25" s="1">
        <f t="shared" si="1"/>
        <v>200</v>
      </c>
      <c r="H25" s="8">
        <v>25</v>
      </c>
      <c r="I25" s="1">
        <f t="shared" si="2"/>
        <v>62.759925688023223</v>
      </c>
      <c r="J25" s="1">
        <f t="shared" si="2"/>
        <v>87.442107211099753</v>
      </c>
      <c r="K25" s="1">
        <f t="shared" si="2"/>
        <v>112.12428873417626</v>
      </c>
    </row>
    <row r="26" spans="1:16" ht="16.2" x14ac:dyDescent="0.25">
      <c r="A26" s="23" t="s">
        <v>72</v>
      </c>
      <c r="B26" s="32">
        <v>813</v>
      </c>
      <c r="C26" s="1" t="s">
        <v>85</v>
      </c>
      <c r="G26" s="1">
        <f t="shared" si="1"/>
        <v>196.11613513818403</v>
      </c>
      <c r="H26" s="8">
        <v>26</v>
      </c>
      <c r="I26" s="1">
        <f t="shared" si="2"/>
        <v>63.167681397729091</v>
      </c>
      <c r="J26" s="1">
        <f t="shared" si="2"/>
        <v>88.218435104687984</v>
      </c>
      <c r="K26" s="1">
        <f t="shared" si="2"/>
        <v>113.26918881164687</v>
      </c>
    </row>
    <row r="27" spans="1:16" x14ac:dyDescent="0.25">
      <c r="G27" s="1">
        <f t="shared" si="1"/>
        <v>192.45008972987526</v>
      </c>
      <c r="H27" s="8">
        <v>27</v>
      </c>
      <c r="I27" s="1">
        <f t="shared" si="2"/>
        <v>63.499326230737068</v>
      </c>
      <c r="J27" s="1">
        <f t="shared" si="2"/>
        <v>88.896256030271275</v>
      </c>
      <c r="K27" s="1">
        <f t="shared" si="2"/>
        <v>114.29318582980549</v>
      </c>
    </row>
    <row r="28" spans="1:16" x14ac:dyDescent="0.25">
      <c r="G28" s="1">
        <f t="shared" si="1"/>
        <v>188.98223650461361</v>
      </c>
      <c r="H28" s="8">
        <v>28</v>
      </c>
      <c r="I28" s="1">
        <f t="shared" si="2"/>
        <v>63.761491417754044</v>
      </c>
      <c r="J28" s="1">
        <f t="shared" si="2"/>
        <v>89.484152498778656</v>
      </c>
      <c r="K28" s="1">
        <f t="shared" si="2"/>
        <v>115.20681357980327</v>
      </c>
    </row>
    <row r="29" spans="1:16" x14ac:dyDescent="0.25">
      <c r="G29" s="1">
        <f t="shared" si="1"/>
        <v>185.69533817705187</v>
      </c>
      <c r="H29" s="8">
        <v>29</v>
      </c>
      <c r="I29" s="1">
        <f t="shared" si="2"/>
        <v>63.960072994296198</v>
      </c>
      <c r="J29" s="1">
        <f t="shared" si="2"/>
        <v>89.989755490263761</v>
      </c>
      <c r="K29" s="1">
        <f t="shared" si="2"/>
        <v>116.01943798623134</v>
      </c>
    </row>
    <row r="30" spans="1:16" x14ac:dyDescent="0.25">
      <c r="G30" s="1">
        <f t="shared" si="1"/>
        <v>182.57418583505537</v>
      </c>
      <c r="H30" s="8">
        <v>30</v>
      </c>
      <c r="I30" s="1">
        <f t="shared" si="2"/>
        <v>64.100328769459011</v>
      </c>
      <c r="J30" s="1">
        <f t="shared" si="2"/>
        <v>90.419869956329023</v>
      </c>
      <c r="K30" s="1">
        <f t="shared" si="2"/>
        <v>116.73941114319904</v>
      </c>
    </row>
    <row r="31" spans="1:16" x14ac:dyDescent="0.25">
      <c r="G31" s="1">
        <f t="shared" si="1"/>
        <v>179.60530202677489</v>
      </c>
      <c r="H31" s="8">
        <v>31</v>
      </c>
      <c r="I31" s="1">
        <f t="shared" si="2"/>
        <v>64.186960757199145</v>
      </c>
      <c r="J31" s="1">
        <f t="shared" si="2"/>
        <v>90.780581507316583</v>
      </c>
      <c r="K31" s="1">
        <f t="shared" si="2"/>
        <v>117.37420225743405</v>
      </c>
    </row>
    <row r="32" spans="1:16" x14ac:dyDescent="0.25">
      <c r="G32" s="1">
        <f t="shared" si="1"/>
        <v>176.77669529663689</v>
      </c>
      <c r="H32" s="8">
        <v>32</v>
      </c>
      <c r="I32" s="1">
        <f t="shared" si="2"/>
        <v>64.224185458905154</v>
      </c>
      <c r="J32" s="1">
        <f t="shared" si="2"/>
        <v>91.077347375955881</v>
      </c>
      <c r="K32" s="1">
        <f t="shared" si="2"/>
        <v>117.93050929300659</v>
      </c>
    </row>
  </sheetData>
  <mergeCells count="4">
    <mergeCell ref="A1:C1"/>
    <mergeCell ref="G1:N1"/>
    <mergeCell ref="I2:K2"/>
    <mergeCell ref="L2:N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01技术上</vt:lpstr>
      <vt:lpstr>02经济上</vt:lpstr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2025-10-20T13:41:40Z</cp:lastPrinted>
  <dcterms:created xsi:type="dcterms:W3CDTF">2015-06-05T18:19:34Z</dcterms:created>
  <dcterms:modified xsi:type="dcterms:W3CDTF">2025-10-21T12:36:48Z</dcterms:modified>
</cp:coreProperties>
</file>