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94D3F904-9825-49A6-8C51-832612F7543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" i="1" l="1"/>
  <c r="P4" i="1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Q21" i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<sst xmlns="http://schemas.openxmlformats.org/spreadsheetml/2006/main" count="691" uniqueCount="131">
  <si>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</si>
  <si>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</si>
  <si>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</si>
  <si>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</si>
  <si>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</si>
  <si>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</si>
  <si>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</si>
  <si>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</si>
  <si>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</si>
  <si>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</si>
  <si>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</si>
  <si>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</si>
  <si>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</si>
  <si>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</si>
  <si>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</si>
  <si>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</si>
  <si>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</si>
  <si>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</si>
  <si>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</si>
  <si>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</si>
  <si>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</si>
  <si>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</si>
  <si>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</si>
  <si>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</si>
  <si>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</si>
  <si>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</si>
  <si>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</si>
  <si>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</si>
  <si>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</si>
  <si>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</si>
  <si>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</si>
  <si>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</si>
  <si>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</si>
  <si>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</si>
  <si>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</si>
  <si>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</si>
  <si>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</si>
  <si>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</si>
  <si>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</si>
  <si>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</si>
  <si>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</si>
  <si>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</si>
  <si>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</si>
  <si>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</si>
  <si>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</si>
  <si>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</si>
  <si>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</si>
  <si>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</si>
  <si>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</si>
  <si>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</si>
  <si>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</si>
  <si>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</si>
  <si>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</si>
  <si>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</si>
  <si>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</si>
  <si>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</si>
  <si>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</si>
  <si>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</si>
  <si>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</si>
  <si>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</si>
  <si>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</si>
  <si>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</si>
  <si>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</si>
  <si>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</si>
  <si>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</si>
  <si>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</si>
  <si>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</si>
  <si>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</si>
  <si>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</si>
  <si>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</si>
  <si>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</si>
  <si>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</si>
  <si>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</si>
  <si>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</si>
  <si>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</si>
  <si>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</si>
  <si>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</si>
  <si>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</si>
  <si>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</si>
  <si>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</si>
  <si>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</si>
  <si>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</si>
  <si>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</si>
  <si>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</si>
  <si>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</si>
  <si>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</si>
  <si>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</si>
  <si>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</si>
  <si>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</si>
  <si>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</si>
  <si>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</si>
  <si>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</si>
  <si>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</si>
  <si>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</si>
  <si>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</si>
  <si>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</si>
  <si>
    <t>范围X</t>
    <phoneticPr fontId="17" type="noConversion"/>
  </si>
  <si>
    <t>范围Y</t>
    <phoneticPr fontId="17" type="noConversion"/>
  </si>
  <si>
    <t>体积系数Boi</t>
    <phoneticPr fontId="17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</si>
  <si>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7" type="noConversion"/>
  </si>
  <si>
    <t>砂组</t>
    <phoneticPr fontId="17" type="noConversion"/>
  </si>
  <si>
    <t>小层</t>
    <phoneticPr fontId="17" type="noConversion"/>
  </si>
  <si>
    <t>面积/Km2</t>
    <phoneticPr fontId="17" type="noConversion"/>
  </si>
  <si>
    <t>砂厚/m</t>
    <phoneticPr fontId="17" type="noConversion"/>
  </si>
  <si>
    <t>有效厚度/m</t>
    <phoneticPr fontId="17" type="noConversion"/>
  </si>
  <si>
    <t>孔隙度</t>
    <phoneticPr fontId="17" type="noConversion"/>
  </si>
  <si>
    <t>饱和度</t>
    <phoneticPr fontId="17" type="noConversion"/>
  </si>
  <si>
    <t>储量/10^4t</t>
    <phoneticPr fontId="17" type="noConversion"/>
  </si>
  <si>
    <t>平均</t>
    <phoneticPr fontId="17" type="noConversion"/>
  </si>
  <si>
    <t>最大</t>
    <phoneticPr fontId="17" type="noConversion"/>
  </si>
  <si>
    <t>最小</t>
    <phoneticPr fontId="17" type="noConversion"/>
  </si>
  <si>
    <t>偏差</t>
    <phoneticPr fontId="17" type="noConversion"/>
  </si>
  <si>
    <t>渗透率变化</t>
    <phoneticPr fontId="17" type="noConversion"/>
  </si>
  <si>
    <t>物性参数</t>
    <phoneticPr fontId="17" type="noConversion"/>
  </si>
  <si>
    <t>平面变异系数</t>
    <phoneticPr fontId="17" type="noConversion"/>
  </si>
  <si>
    <t>级差</t>
    <phoneticPr fontId="17" type="noConversion"/>
  </si>
  <si>
    <t>突进系数</t>
    <phoneticPr fontId="17" type="noConversion"/>
  </si>
  <si>
    <t>层间非均质性</t>
    <phoneticPr fontId="17" type="noConversion"/>
  </si>
  <si>
    <t>K1_1</t>
    <phoneticPr fontId="17" type="noConversion"/>
  </si>
  <si>
    <t>K1_2</t>
    <phoneticPr fontId="17" type="noConversion"/>
  </si>
  <si>
    <t>K2_2</t>
    <phoneticPr fontId="17" type="noConversion"/>
  </si>
  <si>
    <t>K2_1</t>
    <phoneticPr fontId="17" type="noConversion"/>
  </si>
  <si>
    <t>K2</t>
    <phoneticPr fontId="17" type="noConversion"/>
  </si>
  <si>
    <t>K1</t>
    <phoneticPr fontId="17" type="noConversion"/>
  </si>
  <si>
    <t>系数</t>
    <phoneticPr fontId="17" type="noConversion"/>
  </si>
  <si>
    <t>合计</t>
    <phoneticPr fontId="17" type="noConversion"/>
  </si>
  <si>
    <t>试注</t>
    <phoneticPr fontId="17" type="noConversion"/>
  </si>
  <si>
    <t>试采</t>
    <phoneticPr fontId="17" type="noConversion"/>
  </si>
  <si>
    <t>地层水</t>
  </si>
  <si>
    <t>备注1</t>
    <phoneticPr fontId="17" type="noConversion"/>
  </si>
  <si>
    <t>备注2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</si>
</sst>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16" fillId="1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78" fontId="0" fillId="12" borderId="4" xfId="0" applyNumberFormat="1" applyFill="1" applyBorder="1" applyAlignment="1">
      <alignment horizontal="center" vertical="center"/>
    </xf>
    <xf numFmtId="178" fontId="0" fillId="1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zoomScale="70" zoomScaleNormal="70" workbookViewId="0">
      <selection activeCell="X20" sqref="X20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  <col min="18" max="19" width="9" style="73"/>
  </cols>
  <sheetData>
    <row r="1" spans="1:21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  <c r="R1" s="76" t="s">
        <v>129</v>
      </c>
      <c r="S1" s="65" t="s">
        <v>130</v>
      </c>
    </row>
    <row r="2" spans="1:21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>H2/P2</f>
        <v>0.4375</v>
      </c>
      <c r="R2" s="73" t="s">
        <v>128</v>
      </c>
      <c r="U2" s="92"/>
    </row>
    <row r="3" spans="1:21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ref="Q3:Q20" si="0">H3/P3</f>
        <v>0.5625</v>
      </c>
      <c r="R3" s="73" t="s">
        <v>128</v>
      </c>
    </row>
    <row r="4" spans="1:21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  <c r="R4" s="73" t="s">
        <v>128</v>
      </c>
    </row>
    <row r="5" spans="1:21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  <c r="R5" s="75" t="s">
        <v>127</v>
      </c>
      <c r="S5" s="73" t="s">
        <v>128</v>
      </c>
    </row>
    <row r="6" spans="1:21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  <c r="U6" s="92"/>
    </row>
    <row r="7" spans="1:21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21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21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21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  <c r="R10" s="73" t="s">
        <v>128</v>
      </c>
      <c r="U10" s="92"/>
    </row>
    <row r="11" spans="1:21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  <c r="R11" s="73" t="s">
        <v>128</v>
      </c>
    </row>
    <row r="12" spans="1:21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  <c r="R12" s="73" t="s">
        <v>128</v>
      </c>
    </row>
    <row r="13" spans="1:21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  <c r="R13" s="73" t="s">
        <v>128</v>
      </c>
    </row>
    <row r="14" spans="1:21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  <c r="R14" s="75" t="s">
        <v>127</v>
      </c>
      <c r="U14" s="92"/>
    </row>
    <row r="15" spans="1:21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21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21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21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  <c r="U18" s="92"/>
    </row>
    <row r="19" spans="1:21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21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21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77">
        <f t="shared" ref="M21:N21" si="1">($G$21*I21+$G$22*I22)/($G$21+$G$22)</f>
        <v>22.27</v>
      </c>
      <c r="N21" s="77">
        <f t="shared" si="1"/>
        <v>54.23</v>
      </c>
      <c r="O21" s="77">
        <f>($G$21*K21+$G$22*K22)/($G$21+$G$22)</f>
        <v>44.215000000000003</v>
      </c>
      <c r="P21" s="80" ph="1">
        <v>8</v>
      </c>
      <c r="Q21" s="80">
        <f>H21/P21</f>
        <v>0.25</v>
      </c>
      <c r="R21" s="15"/>
      <c r="S21" s="15"/>
      <c r="U21" s="92"/>
    </row>
    <row r="22" spans="1:21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77"/>
      <c r="N22" s="77"/>
      <c r="O22" s="77"/>
      <c r="P22" s="81" ph="1"/>
      <c r="Q22" s="81" ph="1">
        <v>0</v>
      </c>
      <c r="U22" s="92"/>
    </row>
    <row r="23" spans="1:21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  <c r="U23" s="92"/>
    </row>
    <row r="24" spans="1:21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21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21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79">
        <f t="shared" ref="M26:N26" si="2">($G$26*I26+$G$27*I27)/($G$26+$G$27)</f>
        <v>19.536666666666665</v>
      </c>
      <c r="N26" s="79">
        <f t="shared" si="2"/>
        <v>44.243333333333332</v>
      </c>
      <c r="O26" s="77">
        <f>($G$26*K26+$G$27*K27)/($G$26+$G$27)</f>
        <v>38.4</v>
      </c>
      <c r="P26" s="80" ph="1">
        <v>8</v>
      </c>
      <c r="Q26" s="80">
        <f>H26/P26</f>
        <v>0.125</v>
      </c>
    </row>
    <row r="27" spans="1:21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79"/>
      <c r="N27" s="79"/>
      <c r="O27" s="77"/>
      <c r="P27" s="81" ph="1"/>
      <c r="Q27" s="81" ph="1">
        <v>0</v>
      </c>
    </row>
    <row r="28" spans="1:21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21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21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  <c r="R30" s="74" t="s">
        <v>126</v>
      </c>
    </row>
    <row r="31" spans="1:21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78">
        <f t="shared" ref="M31:N31" si="3">($G$31*I31+$G$32*I32)/($G$31+$G$32)</f>
        <v>25.00333333333333</v>
      </c>
      <c r="N31" s="78">
        <f t="shared" si="3"/>
        <v>85.063333333333333</v>
      </c>
      <c r="O31" s="78">
        <f>($G$31*K31+$G$32*K32)/($G$31+$G$32)</f>
        <v>38.386666666666663</v>
      </c>
      <c r="P31" s="80" ph="1">
        <v>8</v>
      </c>
      <c r="Q31" s="80">
        <f>H31/P31</f>
        <v>0.125</v>
      </c>
    </row>
    <row r="32" spans="1:21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78"/>
      <c r="N32" s="78"/>
      <c r="O32" s="78"/>
      <c r="P32" s="81" ph="1"/>
      <c r="Q32" s="81" ph="1">
        <v>0</v>
      </c>
    </row>
    <row r="33" spans="1:18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8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  <c r="R34" s="74" t="s">
        <v>126</v>
      </c>
    </row>
    <row r="35" spans="1:18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8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8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8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8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8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8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P21:P22"/>
    <mergeCell ref="Q21:Q22"/>
    <mergeCell ref="P26:P27"/>
    <mergeCell ref="P31:P32"/>
    <mergeCell ref="Q26:Q27"/>
    <mergeCell ref="Q31:Q32"/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workbookViewId="0">
      <selection activeCell="I16" sqref="I16"/>
    </sheetView>
  </sheetViews>
  <sheetFormatPr defaultRowHeight="14.4" x14ac:dyDescent="0.25"/>
  <cols>
    <col min="7" max="7" width="10.5546875" customWidth="1"/>
    <col min="8" max="8" width="12" customWidth="1"/>
    <col min="9" max="9" width="12.77734375" customWidth="1"/>
    <col min="14" max="14" width="12.5546875" customWidth="1"/>
    <col min="15" max="15" width="9.21875" customWidth="1"/>
  </cols>
  <sheetData>
    <row r="1" spans="1:16" x14ac:dyDescent="0.25">
      <c r="A1" s="64"/>
      <c r="B1" s="69" t="s">
        <v>96</v>
      </c>
      <c r="C1" s="67">
        <v>3200</v>
      </c>
      <c r="D1" s="69" t="s">
        <v>97</v>
      </c>
      <c r="E1" s="67">
        <v>1650</v>
      </c>
      <c r="F1" s="69" t="s">
        <v>99</v>
      </c>
      <c r="G1" s="67">
        <v>0.85</v>
      </c>
      <c r="H1" s="69" t="s">
        <v>98</v>
      </c>
      <c r="I1" s="67">
        <v>1.02</v>
      </c>
      <c r="J1" s="64"/>
      <c r="K1" s="64"/>
      <c r="L1" s="64"/>
      <c r="M1" s="64"/>
      <c r="N1" s="64"/>
      <c r="O1" s="64"/>
      <c r="P1" s="64"/>
    </row>
    <row r="2" spans="1:16" x14ac:dyDescent="0.25">
      <c r="A2" s="64"/>
      <c r="B2" s="82" t="s">
        <v>100</v>
      </c>
      <c r="C2" s="82" t="s">
        <v>101</v>
      </c>
      <c r="D2" s="82" t="s">
        <v>113</v>
      </c>
      <c r="E2" s="82"/>
      <c r="F2" s="82"/>
      <c r="G2" s="82"/>
      <c r="H2" s="82"/>
      <c r="I2" s="82" t="s">
        <v>112</v>
      </c>
      <c r="J2" s="82"/>
      <c r="K2" s="82"/>
      <c r="L2" s="82"/>
      <c r="M2" s="82"/>
      <c r="N2" s="82" t="s">
        <v>114</v>
      </c>
      <c r="O2" s="82" t="s">
        <v>117</v>
      </c>
      <c r="P2" s="82"/>
    </row>
    <row r="3" spans="1:16" x14ac:dyDescent="0.25">
      <c r="A3" s="65" t="s">
        <v>124</v>
      </c>
      <c r="B3" s="82"/>
      <c r="C3" s="82"/>
      <c r="D3" s="69" t="s">
        <v>102</v>
      </c>
      <c r="E3" s="69" t="s">
        <v>103</v>
      </c>
      <c r="F3" s="69" t="s">
        <v>104</v>
      </c>
      <c r="G3" s="69" t="s">
        <v>105</v>
      </c>
      <c r="H3" s="69" t="s">
        <v>106</v>
      </c>
      <c r="I3" s="69" t="s">
        <v>107</v>
      </c>
      <c r="J3" s="69" t="s">
        <v>108</v>
      </c>
      <c r="K3" s="69" t="s">
        <v>109</v>
      </c>
      <c r="L3" s="69" t="s">
        <v>110</v>
      </c>
      <c r="M3" s="69" t="s">
        <v>111</v>
      </c>
      <c r="N3" s="82"/>
      <c r="O3" s="69" t="s">
        <v>115</v>
      </c>
      <c r="P3" s="69" t="s">
        <v>116</v>
      </c>
    </row>
    <row r="4" spans="1:16" x14ac:dyDescent="0.25">
      <c r="A4" s="64"/>
      <c r="B4" s="84" t="s">
        <v>123</v>
      </c>
      <c r="C4" s="68" t="s">
        <v>118</v>
      </c>
      <c r="D4" s="63">
        <f>$C$1*$E$1/1000000</f>
        <v>5.28</v>
      </c>
      <c r="E4" s="68">
        <v>3.4444444444444446</v>
      </c>
      <c r="F4" s="68">
        <v>3.4444444444444446</v>
      </c>
      <c r="G4" s="68">
        <v>0.18170000000000003</v>
      </c>
      <c r="H4" s="68">
        <v>0.69642222222222216</v>
      </c>
      <c r="I4" s="72">
        <f>100*D4*F4*G4*H4*$G$1/$I$1</f>
        <v>191.7782753876543</v>
      </c>
      <c r="J4" s="68">
        <v>14.59</v>
      </c>
      <c r="K4" s="68">
        <v>18.52</v>
      </c>
      <c r="L4" s="68">
        <v>10.210000000000001</v>
      </c>
      <c r="M4" s="68">
        <v>2.76</v>
      </c>
      <c r="N4" s="71">
        <f>M4/J4</f>
        <v>0.18917066483893077</v>
      </c>
      <c r="O4" s="85">
        <f>MAX(J4:J7)/MIN(J4:J7)</f>
        <v>5.2515421521590131</v>
      </c>
      <c r="P4" s="85">
        <f>MAX(K4:K7)/AVERAGE(K4:K7)</f>
        <v>1.7305524239007892</v>
      </c>
    </row>
    <row r="5" spans="1:16" x14ac:dyDescent="0.25">
      <c r="A5" s="64"/>
      <c r="B5" s="84"/>
      <c r="C5" s="68" t="s">
        <v>119</v>
      </c>
      <c r="D5" s="63">
        <f t="shared" ref="D5:D6" si="0">$C$1*$E$1/1000000</f>
        <v>5.28</v>
      </c>
      <c r="E5" s="68">
        <v>3.2777777777777777</v>
      </c>
      <c r="F5" s="68">
        <v>3.2777777777777777</v>
      </c>
      <c r="G5" s="68">
        <v>0.18194444444444446</v>
      </c>
      <c r="H5" s="68">
        <v>0.68816666666666659</v>
      </c>
      <c r="I5" s="72">
        <f t="shared" ref="I5:I7" si="1">100*D5*F5*G5*H5*$G$1/$I$1</f>
        <v>180.57790689300413</v>
      </c>
      <c r="J5" s="68">
        <v>14.85</v>
      </c>
      <c r="K5" s="68">
        <v>19.350000000000001</v>
      </c>
      <c r="L5" s="68">
        <v>11.81</v>
      </c>
      <c r="M5" s="68">
        <v>2.44</v>
      </c>
      <c r="N5" s="71">
        <f t="shared" ref="N5:N7" si="2">M5/J5</f>
        <v>0.16430976430976432</v>
      </c>
      <c r="O5" s="86"/>
      <c r="P5" s="86"/>
    </row>
    <row r="6" spans="1:16" x14ac:dyDescent="0.25">
      <c r="A6" s="64"/>
      <c r="B6" s="84" t="s">
        <v>122</v>
      </c>
      <c r="C6" s="68" t="s">
        <v>121</v>
      </c>
      <c r="D6" s="63">
        <f t="shared" si="0"/>
        <v>5.28</v>
      </c>
      <c r="E6" s="68">
        <v>4.166666666666667</v>
      </c>
      <c r="F6" s="68">
        <v>4.166666666666667</v>
      </c>
      <c r="G6" s="68">
        <v>0.24261111111111111</v>
      </c>
      <c r="H6" s="68">
        <v>0.71054444444444431</v>
      </c>
      <c r="I6" s="72">
        <f t="shared" si="1"/>
        <v>316.04095812757191</v>
      </c>
      <c r="J6" s="68">
        <v>74.849999999999994</v>
      </c>
      <c r="K6" s="68">
        <v>103.04</v>
      </c>
      <c r="L6" s="68">
        <v>43.41</v>
      </c>
      <c r="M6" s="68">
        <v>18.059999999999999</v>
      </c>
      <c r="N6" s="71">
        <f t="shared" si="2"/>
        <v>0.24128256513026053</v>
      </c>
      <c r="O6" s="86"/>
      <c r="P6" s="86"/>
    </row>
    <row r="7" spans="1:16" x14ac:dyDescent="0.25">
      <c r="A7" s="70">
        <v>0.8</v>
      </c>
      <c r="B7" s="84"/>
      <c r="C7" s="68" t="s">
        <v>120</v>
      </c>
      <c r="D7" s="63">
        <f>$C$1*$E$1/1000000*A7</f>
        <v>4.2240000000000002</v>
      </c>
      <c r="E7" s="68">
        <v>4.166666666666667</v>
      </c>
      <c r="F7" s="68">
        <v>3.5</v>
      </c>
      <c r="G7" s="68">
        <v>0.22837777777777782</v>
      </c>
      <c r="H7" s="68">
        <v>0.61786851851851843</v>
      </c>
      <c r="I7" s="72">
        <f t="shared" si="1"/>
        <v>173.84436511670782</v>
      </c>
      <c r="J7" s="68">
        <v>76.62</v>
      </c>
      <c r="K7" s="68">
        <v>107.45</v>
      </c>
      <c r="L7" s="68">
        <v>44.243333333333332</v>
      </c>
      <c r="M7" s="68">
        <v>20.46</v>
      </c>
      <c r="N7" s="71">
        <f t="shared" si="2"/>
        <v>0.26703210649960846</v>
      </c>
      <c r="O7" s="87"/>
      <c r="P7" s="87"/>
    </row>
    <row r="8" spans="1:16" x14ac:dyDescent="0.25">
      <c r="A8" s="64"/>
      <c r="B8" s="83" t="s">
        <v>125</v>
      </c>
      <c r="C8" s="83"/>
      <c r="D8" s="66"/>
      <c r="E8" s="66"/>
      <c r="F8" s="66"/>
      <c r="G8" s="66"/>
      <c r="H8" s="66"/>
      <c r="I8" s="66">
        <f>SUM(I4:I7)</f>
        <v>862.24150552493825</v>
      </c>
      <c r="J8" s="66"/>
      <c r="K8" s="66"/>
      <c r="L8" s="66"/>
      <c r="M8" s="66"/>
      <c r="N8" s="66"/>
      <c r="O8" s="66"/>
      <c r="P8" s="66"/>
    </row>
  </sheetData>
  <mergeCells count="11">
    <mergeCell ref="B8:C8"/>
    <mergeCell ref="B4:B5"/>
    <mergeCell ref="B6:B7"/>
    <mergeCell ref="O4:O7"/>
    <mergeCell ref="P4:P7"/>
    <mergeCell ref="O2:P2"/>
    <mergeCell ref="N2:N3"/>
    <mergeCell ref="I2:M2"/>
    <mergeCell ref="D2:H2"/>
    <mergeCell ref="B2:B3"/>
    <mergeCell ref="C2:C3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P37"/>
  <sheetViews>
    <sheetView tabSelected="1" zoomScaleNormal="100" workbookViewId="0">
      <selection activeCell="R21" sqref="R21"/>
    </sheetView>
  </sheetViews>
  <sheetFormatPr defaultRowHeight="14.4" x14ac:dyDescent="0.25"/>
  <sheetData>
    <row r="1" spans="1:16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6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6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6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6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  <c r="O5" s="92"/>
      <c r="P5" s="92"/>
    </row>
    <row r="6" spans="1:16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6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6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6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  <c r="O9" s="92"/>
      <c r="P9" s="92"/>
    </row>
    <row r="10" spans="1:16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6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6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6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  <c r="O13" s="92"/>
      <c r="P13" s="92"/>
    </row>
    <row r="14" spans="1:16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6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6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6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  <c r="O17" s="92"/>
      <c r="P17" s="92"/>
    </row>
    <row r="18" spans="1:16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6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6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6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  <c r="O21" s="92"/>
      <c r="P21" s="92"/>
    </row>
    <row r="22" spans="1:16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6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6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6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  <c r="O25" s="92"/>
      <c r="P25" s="92"/>
    </row>
    <row r="26" spans="1:16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6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6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6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  <c r="O29" s="92"/>
      <c r="P29" s="92"/>
    </row>
    <row r="30" spans="1:16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6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6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6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  <c r="O33" s="92"/>
      <c r="P33" s="92"/>
    </row>
    <row r="34" spans="1:16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6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6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6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  <c r="O37" s="92"/>
      <c r="P37" s="92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K25" sqref="K25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88" t="s">
        <v>32</v>
      </c>
      <c r="B1" s="8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8"/>
      <c r="B2" s="8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8" t="s">
        <v>32</v>
      </c>
      <c r="B1" s="8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8"/>
      <c r="B2" s="8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8" t="s">
        <v>32</v>
      </c>
      <c r="B1" s="8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8"/>
      <c r="B2" s="8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88" t="s">
        <v>32</v>
      </c>
      <c r="B1" s="8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8"/>
      <c r="B2" s="8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88" t="s">
        <v>32</v>
      </c>
      <c r="B1" s="89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88"/>
      <c r="B2" s="89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91" t="s">
        <v>74</v>
      </c>
      <c r="C2" s="91" t="s">
        <v>75</v>
      </c>
      <c r="D2" s="90" t="s">
        <v>76</v>
      </c>
      <c r="E2" s="90"/>
      <c r="F2" s="90"/>
      <c r="G2" s="90"/>
      <c r="H2" s="90"/>
      <c r="I2" s="90"/>
      <c r="J2" s="90" t="s">
        <v>77</v>
      </c>
      <c r="K2" s="90"/>
      <c r="L2" s="90"/>
      <c r="M2" s="90"/>
      <c r="N2" s="90" t="s">
        <v>78</v>
      </c>
      <c r="O2" s="90" t="s">
        <v>79</v>
      </c>
      <c r="P2" s="90"/>
    </row>
    <row r="3" spans="1:16" x14ac:dyDescent="0.25">
      <c r="A3" t="s">
        <v>80</v>
      </c>
      <c r="B3" s="91"/>
      <c r="C3" s="91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90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2025-10-20T03:31:25Z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