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 ESPE\Sexto Semestre\Estadistica\"/>
    </mc:Choice>
  </mc:AlternateContent>
  <xr:revisionPtr revIDLastSave="0" documentId="13_ncr:1_{D1D71F7D-1673-42C1-99B5-CB8568416004}" xr6:coauthVersionLast="47" xr6:coauthVersionMax="47" xr10:uidLastSave="{00000000-0000-0000-0000-000000000000}"/>
  <bookViews>
    <workbookView xWindow="-110" yWindow="-110" windowWidth="19420" windowHeight="10420" activeTab="2" xr2:uid="{9BF7E9AA-80D2-4C5E-8AB6-2359E79A290E}"/>
  </bookViews>
  <sheets>
    <sheet name="Tabla_Contingencia" sheetId="2" r:id="rId1"/>
    <sheet name="Chi_cuadrado" sheetId="1" r:id="rId2"/>
    <sheet name="Post_Hoc_Tukey" sheetId="3" r:id="rId3"/>
  </sheets>
  <externalReferences>
    <externalReference r:id="rId4"/>
  </externalReference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Post_Hoc_Tukey!$B$9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3" l="1"/>
  <c r="W17" i="3"/>
  <c r="X17" i="3"/>
  <c r="Z17" i="3"/>
  <c r="AA17" i="3"/>
  <c r="V18" i="3"/>
  <c r="W18" i="3"/>
  <c r="X18" i="3"/>
  <c r="Z18" i="3"/>
  <c r="AA18" i="3"/>
  <c r="AA16" i="3"/>
  <c r="Z16" i="3"/>
  <c r="X16" i="3"/>
  <c r="W16" i="3"/>
  <c r="V16" i="3"/>
  <c r="U18" i="3"/>
  <c r="T18" i="3"/>
  <c r="S18" i="3"/>
  <c r="R18" i="3"/>
  <c r="U17" i="3"/>
  <c r="T17" i="3"/>
  <c r="S17" i="3"/>
  <c r="R17" i="3"/>
  <c r="U16" i="3"/>
  <c r="T16" i="3"/>
  <c r="S16" i="3"/>
  <c r="R16" i="3"/>
  <c r="V13" i="3"/>
  <c r="U13" i="3"/>
  <c r="T13" i="3"/>
  <c r="U12" i="3"/>
  <c r="T12" i="3"/>
  <c r="S12" i="3"/>
  <c r="R12" i="3"/>
  <c r="U11" i="3"/>
  <c r="T11" i="3"/>
  <c r="S11" i="3"/>
  <c r="R11" i="3"/>
  <c r="U10" i="3"/>
  <c r="T10" i="3"/>
  <c r="S10" i="3"/>
  <c r="R10" i="3"/>
  <c r="K20" i="3"/>
  <c r="J20" i="3"/>
  <c r="I20" i="3"/>
  <c r="J19" i="3"/>
  <c r="K19" i="3" s="1"/>
  <c r="I19" i="3"/>
  <c r="N18" i="3"/>
  <c r="K18" i="3"/>
  <c r="J18" i="3"/>
  <c r="I18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Y18" i="3"/>
  <c r="Y17" i="3"/>
  <c r="Y16" i="3"/>
  <c r="W13" i="3"/>
  <c r="N12" i="3" l="1"/>
  <c r="P12" i="3" s="1"/>
  <c r="N13" i="3"/>
  <c r="P13" i="3" s="1"/>
  <c r="O18" i="3"/>
  <c r="N14" i="3"/>
  <c r="O14" i="3" s="1"/>
  <c r="P18" i="3"/>
  <c r="L18" i="3"/>
  <c r="M18" i="3" s="1"/>
  <c r="O12" i="3"/>
  <c r="O13" i="3"/>
  <c r="P14" i="3"/>
  <c r="C25" i="1" l="1"/>
  <c r="C26" i="1"/>
  <c r="C24" i="1"/>
  <c r="D19" i="1"/>
  <c r="D20" i="1"/>
  <c r="D21" i="1"/>
  <c r="C20" i="1"/>
  <c r="C21" i="1"/>
  <c r="C19" i="1"/>
  <c r="K12" i="1"/>
  <c r="K13" i="1"/>
  <c r="K11" i="1"/>
  <c r="J14" i="1"/>
  <c r="I14" i="1"/>
  <c r="J13" i="1"/>
  <c r="J12" i="1"/>
  <c r="J11" i="1"/>
  <c r="I13" i="1"/>
  <c r="I12" i="1"/>
  <c r="I11" i="1"/>
  <c r="E12" i="1"/>
  <c r="E13" i="1"/>
  <c r="E11" i="1"/>
  <c r="D15" i="1"/>
  <c r="C15" i="1"/>
  <c r="D14" i="1"/>
  <c r="C14" i="1"/>
</calcChain>
</file>

<file path=xl/sharedStrings.xml><?xml version="1.0" encoding="utf-8"?>
<sst xmlns="http://schemas.openxmlformats.org/spreadsheetml/2006/main" count="108" uniqueCount="78">
  <si>
    <t>Prueba CHI - CUADRADO</t>
  </si>
  <si>
    <t>Observada</t>
  </si>
  <si>
    <t xml:space="preserve">Hombres </t>
  </si>
  <si>
    <t>Mujeres</t>
  </si>
  <si>
    <t>Software</t>
  </si>
  <si>
    <t>TIC's</t>
  </si>
  <si>
    <t>Contabilidad</t>
  </si>
  <si>
    <t>Total</t>
  </si>
  <si>
    <t>%</t>
  </si>
  <si>
    <t>Esperado</t>
  </si>
  <si>
    <t>Hombres</t>
  </si>
  <si>
    <t>Calculo X2</t>
  </si>
  <si>
    <t>Calculado</t>
  </si>
  <si>
    <t>Crítico</t>
  </si>
  <si>
    <t>Probabilidad:</t>
  </si>
  <si>
    <t>Grado de Libertad:</t>
  </si>
  <si>
    <t>Prueba de Hipótesis:</t>
  </si>
  <si>
    <r>
      <t xml:space="preserve">2) </t>
    </r>
    <r>
      <rPr>
        <sz val="11"/>
        <color theme="1"/>
        <rFont val="Calibri"/>
        <family val="2"/>
      </rPr>
      <t xml:space="preserve">α=0,05 -&gt; </t>
    </r>
  </si>
  <si>
    <t>1) H0: No existe diferencias entre el conjunto de frecuencias observadas y el de frecuencias esperadas</t>
  </si>
  <si>
    <t xml:space="preserve">     H1: Si existe una diferencia entre los dos conjuntos de frecuencias</t>
  </si>
  <si>
    <t>gl-&gt; 3-1 = 2 -&gt; 5,991</t>
  </si>
  <si>
    <t>3)       = 0,99</t>
  </si>
  <si>
    <t xml:space="preserve">4) H0 se acepta si </t>
  </si>
  <si>
    <t xml:space="preserve">      &lt;=5,991</t>
  </si>
  <si>
    <t>5) H0 se acepta; no existe diferencias entre el conjunto de frecuencias observadas y el de frecuencias esperadas</t>
  </si>
  <si>
    <t>Chi-square Contingency Table Test for Independence</t>
  </si>
  <si>
    <t xml:space="preserve">  </t>
  </si>
  <si>
    <t xml:space="preserve">Hombres   </t>
  </si>
  <si>
    <t xml:space="preserve">Mujeres  </t>
  </si>
  <si>
    <t xml:space="preserve">Total  </t>
  </si>
  <si>
    <t xml:space="preserve">Observed  </t>
  </si>
  <si>
    <t xml:space="preserve">Expected  </t>
  </si>
  <si>
    <t>p-value</t>
  </si>
  <si>
    <t>df</t>
  </si>
  <si>
    <t>chi-square</t>
  </si>
  <si>
    <t>Estudiantes</t>
  </si>
  <si>
    <t>ANOVA: Single Factor</t>
  </si>
  <si>
    <t>DESCRIPTION</t>
  </si>
  <si>
    <t>Alpha</t>
  </si>
  <si>
    <t>Group</t>
  </si>
  <si>
    <t>Count</t>
  </si>
  <si>
    <t>Sum</t>
  </si>
  <si>
    <t>Mean</t>
  </si>
  <si>
    <t>Variance</t>
  </si>
  <si>
    <t>SS</t>
  </si>
  <si>
    <t>Std Err</t>
  </si>
  <si>
    <t>Lower</t>
  </si>
  <si>
    <t>Upper</t>
  </si>
  <si>
    <t>ANOVA</t>
  </si>
  <si>
    <t>Sources</t>
  </si>
  <si>
    <t>MS</t>
  </si>
  <si>
    <t>F</t>
  </si>
  <si>
    <t>P value</t>
  </si>
  <si>
    <t>F crit</t>
  </si>
  <si>
    <t>RMSSE</t>
  </si>
  <si>
    <t>Omega Sq</t>
  </si>
  <si>
    <t>Between Groups</t>
  </si>
  <si>
    <t>Within Groups</t>
  </si>
  <si>
    <t>TUKEY HSD/KRAMER</t>
  </si>
  <si>
    <t>alpha</t>
  </si>
  <si>
    <t>group</t>
  </si>
  <si>
    <t>mean</t>
  </si>
  <si>
    <t>n</t>
  </si>
  <si>
    <t>ss</t>
  </si>
  <si>
    <t>q-crit</t>
  </si>
  <si>
    <t>Q TEST</t>
  </si>
  <si>
    <t>group 1</t>
  </si>
  <si>
    <t>group 2</t>
  </si>
  <si>
    <t>std err</t>
  </si>
  <si>
    <t>q-stat</t>
  </si>
  <si>
    <t>lower</t>
  </si>
  <si>
    <t>upper</t>
  </si>
  <si>
    <t>mean-crit</t>
  </si>
  <si>
    <t>Cohen d</t>
  </si>
  <si>
    <t>H0: No existe diferencias significativas entre las muestras</t>
  </si>
  <si>
    <t>H1: Existe diferencias significativas entre las muestras</t>
  </si>
  <si>
    <t>alfa &gt; valor p</t>
  </si>
  <si>
    <t>Existen diferencias significativas entre Software y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</si>
</sst>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\ \ "/>
    <numFmt numFmtId="166" formatCode="0.00\ \ "/>
    <numFmt numFmtId="167" formatCode=".0000"/>
    <numFmt numFmtId="168" formatCode="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NumberFormat="1" applyFont="1"/>
    <xf numFmtId="0" fontId="5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3" xfId="0" applyNumberFormat="1" applyFont="1" applyBorder="1" applyAlignment="1">
      <alignment horizontal="right"/>
    </xf>
    <xf numFmtId="0" fontId="5" fillId="0" borderId="4" xfId="0" applyNumberFormat="1" applyFont="1" applyBorder="1"/>
    <xf numFmtId="0" fontId="5" fillId="0" borderId="4" xfId="0" applyFont="1" applyBorder="1"/>
    <xf numFmtId="166" fontId="5" fillId="0" borderId="3" xfId="0" applyNumberFormat="1" applyFont="1" applyBorder="1"/>
    <xf numFmtId="165" fontId="5" fillId="0" borderId="5" xfId="0" applyNumberFormat="1" applyFont="1" applyBorder="1"/>
    <xf numFmtId="165" fontId="7" fillId="0" borderId="6" xfId="0" applyNumberFormat="1" applyFont="1" applyBorder="1"/>
    <xf numFmtId="166" fontId="5" fillId="0" borderId="7" xfId="0" applyNumberFormat="1" applyFont="1" applyBorder="1"/>
    <xf numFmtId="165" fontId="5" fillId="0" borderId="4" xfId="0" applyNumberFormat="1" applyFont="1" applyBorder="1"/>
    <xf numFmtId="166" fontId="5" fillId="0" borderId="0" xfId="0" applyNumberFormat="1" applyFont="1" applyBorder="1"/>
    <xf numFmtId="165" fontId="5" fillId="0" borderId="3" xfId="0" applyNumberFormat="1" applyFont="1" applyBorder="1"/>
    <xf numFmtId="165" fontId="7" fillId="0" borderId="8" xfId="0" applyNumberFormat="1" applyFont="1" applyBorder="1"/>
    <xf numFmtId="166" fontId="5" fillId="0" borderId="9" xfId="0" applyNumberFormat="1" applyFont="1" applyBorder="1"/>
    <xf numFmtId="165" fontId="7" fillId="0" borderId="10" xfId="0" applyNumberFormat="1" applyFont="1" applyBorder="1"/>
    <xf numFmtId="166" fontId="5" fillId="0" borderId="11" xfId="0" applyNumberFormat="1" applyFont="1" applyBorder="1"/>
    <xf numFmtId="165" fontId="7" fillId="0" borderId="12" xfId="0" applyNumberFormat="1" applyFont="1" applyBorder="1"/>
    <xf numFmtId="166" fontId="5" fillId="0" borderId="13" xfId="0" applyNumberFormat="1" applyFont="1" applyBorder="1"/>
    <xf numFmtId="167" fontId="5" fillId="0" borderId="0" xfId="0" applyNumberFormat="1" applyFont="1"/>
    <xf numFmtId="168" fontId="5" fillId="0" borderId="0" xfId="0" applyNumberFormat="1" applyFont="1"/>
    <xf numFmtId="0" fontId="0" fillId="6" borderId="1" xfId="0" applyFill="1" applyBorder="1"/>
    <xf numFmtId="0" fontId="8" fillId="0" borderId="14" xfId="0" applyFont="1" applyBorder="1" applyAlignment="1">
      <alignment horizontal="center"/>
    </xf>
    <xf numFmtId="0" fontId="0" fillId="0" borderId="4" xfId="0" applyBorder="1"/>
    <xf numFmtId="0" fontId="0" fillId="0" borderId="15" xfId="0" applyBorder="1"/>
    <xf numFmtId="0" fontId="0" fillId="7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3</xdr:row>
      <xdr:rowOff>82550</xdr:rowOff>
    </xdr:from>
    <xdr:to>
      <xdr:col>7</xdr:col>
      <xdr:colOff>95250</xdr:colOff>
      <xdr:row>7</xdr:row>
      <xdr:rowOff>24846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6534E7-93DF-488A-AB64-C1010C67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635000"/>
          <a:ext cx="5143500" cy="67889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228601</xdr:colOff>
      <xdr:row>17</xdr:row>
      <xdr:rowOff>1</xdr:rowOff>
    </xdr:from>
    <xdr:to>
      <xdr:col>9</xdr:col>
      <xdr:colOff>565150</xdr:colOff>
      <xdr:row>20</xdr:row>
      <xdr:rowOff>136381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35DB97-E868-4EE2-A5B1-2121FCF21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9601" y="3130551"/>
          <a:ext cx="1879599" cy="688830"/>
        </a:xfrm>
        <a:prstGeom prst="rect">
          <a:avLst/>
        </a:prstGeom>
      </xdr:spPr>
    </xdr:pic>
    <xdr:clientData/>
  </xdr:twoCellAnchor>
  <xdr:oneCellAnchor>
    <xdr:from>
      <xdr:col>0</xdr:col>
      <xdr:colOff>761968</xdr:colOff>
      <xdr:row>22</xdr:row>
      <xdr:rowOff>176688</xdr:rowOff>
    </xdr:from>
    <xdr:ext cx="3121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E411785-8D94-443B-8ADF-4600E7157E06}"/>
                </a:ext>
              </a:extLst>
            </xdr:cNvPr>
            <xdr:cNvSpPr txBox="1"/>
          </xdr:nvSpPr>
          <xdr:spPr>
            <a:xfrm>
              <a:off x="761968" y="4227988"/>
              <a:ext cx="3121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C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C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E411785-8D94-443B-8ADF-4600E7157E06}"/>
                </a:ext>
              </a:extLst>
            </xdr:cNvPr>
            <xdr:cNvSpPr txBox="1"/>
          </xdr:nvSpPr>
          <xdr:spPr>
            <a:xfrm>
              <a:off x="761968" y="4227988"/>
              <a:ext cx="3121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b="0" i="0">
                  <a:latin typeface="Cambria Math" panose="02040503050406030204" pitchFamily="18" charset="0"/>
                </a:rPr>
                <a:t>(𝑋^</a:t>
              </a:r>
              <a:r>
                <a:rPr lang="es-EC" sz="1100" i="0">
                  <a:latin typeface="Cambria Math" panose="02040503050406030204" pitchFamily="18" charset="0"/>
                </a:rPr>
                <a:t>2</a:t>
              </a:r>
              <a:r>
                <a:rPr lang="es-EC" sz="1100" b="0" i="0">
                  <a:latin typeface="Cambria Math" panose="02040503050406030204" pitchFamily="18" charset="0"/>
                </a:rPr>
                <a:t>)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1</xdr:col>
      <xdr:colOff>6318</xdr:colOff>
      <xdr:row>24</xdr:row>
      <xdr:rowOff>11588</xdr:rowOff>
    </xdr:from>
    <xdr:ext cx="30957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D2593E-60EB-44BB-8DFA-F158963A5A54}"/>
                </a:ext>
              </a:extLst>
            </xdr:cNvPr>
            <xdr:cNvSpPr txBox="1"/>
          </xdr:nvSpPr>
          <xdr:spPr>
            <a:xfrm>
              <a:off x="768318" y="4431188"/>
              <a:ext cx="30957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C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D2593E-60EB-44BB-8DFA-F158963A5A54}"/>
                </a:ext>
              </a:extLst>
            </xdr:cNvPr>
            <xdr:cNvSpPr txBox="1"/>
          </xdr:nvSpPr>
          <xdr:spPr>
            <a:xfrm>
              <a:off x="768318" y="4431188"/>
              <a:ext cx="30957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b="0" i="0">
                  <a:latin typeface="Cambria Math" panose="02040503050406030204" pitchFamily="18" charset="0"/>
                </a:rPr>
                <a:t>(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𝑋^</a:t>
              </a:r>
              <a:r>
                <a:rPr lang="es-EC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EC" sz="1100" b="0" i="0">
                  <a:latin typeface="Cambria Math" panose="02040503050406030204" pitchFamily="18" charset="0"/>
                </a:rPr>
                <a:t>)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12</xdr:col>
      <xdr:colOff>139668</xdr:colOff>
      <xdr:row>10</xdr:row>
      <xdr:rowOff>5238</xdr:rowOff>
    </xdr:from>
    <xdr:ext cx="19248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10FA263-91C2-4925-9445-A08B142F3268}"/>
                </a:ext>
              </a:extLst>
            </xdr:cNvPr>
            <xdr:cNvSpPr txBox="1"/>
          </xdr:nvSpPr>
          <xdr:spPr>
            <a:xfrm>
              <a:off x="9448768" y="1846738"/>
              <a:ext cx="19248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10FA263-91C2-4925-9445-A08B142F3268}"/>
                </a:ext>
              </a:extLst>
            </xdr:cNvPr>
            <xdr:cNvSpPr txBox="1"/>
          </xdr:nvSpPr>
          <xdr:spPr>
            <a:xfrm>
              <a:off x="9448768" y="1846738"/>
              <a:ext cx="19248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𝑋^</a:t>
              </a:r>
              <a:r>
                <a:rPr lang="es-EC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13</xdr:col>
      <xdr:colOff>25368</xdr:colOff>
      <xdr:row>12</xdr:row>
      <xdr:rowOff>24288</xdr:rowOff>
    </xdr:from>
    <xdr:ext cx="19248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FEA37E8-FB3A-4AF2-99BD-1984D05B5541}"/>
                </a:ext>
              </a:extLst>
            </xdr:cNvPr>
            <xdr:cNvSpPr txBox="1"/>
          </xdr:nvSpPr>
          <xdr:spPr>
            <a:xfrm>
              <a:off x="10394918" y="2234088"/>
              <a:ext cx="19248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EC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FEA37E8-FB3A-4AF2-99BD-1984D05B5541}"/>
                </a:ext>
              </a:extLst>
            </xdr:cNvPr>
            <xdr:cNvSpPr txBox="1"/>
          </xdr:nvSpPr>
          <xdr:spPr>
            <a:xfrm>
              <a:off x="10394918" y="2234088"/>
              <a:ext cx="19248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𝑋^</a:t>
              </a:r>
              <a:r>
                <a:rPr lang="es-EC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s-EC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2</xdr:row>
      <xdr:rowOff>38100</xdr:rowOff>
    </xdr:from>
    <xdr:to>
      <xdr:col>8</xdr:col>
      <xdr:colOff>132283</xdr:colOff>
      <xdr:row>5</xdr:row>
      <xdr:rowOff>32642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23D3F1-6E07-49BE-817B-93EA8D601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406400"/>
          <a:ext cx="5834583" cy="546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5</xdr:col>
      <xdr:colOff>558277</xdr:colOff>
      <xdr:row>35</xdr:row>
      <xdr:rowOff>25400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E63ED5-C016-4164-AA27-80A089565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838700"/>
          <a:ext cx="3707877" cy="1682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alStats-200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7941-6483-4FBD-9574-7B61AE2135FA}">
  <dimension ref="A2:F17"/>
  <sheetViews>
    <sheetView showGridLines="0" workbookViewId="0"/>
  </sheetViews>
  <sheetFormatPr baseColWidth="10" defaultRowHeight="12.5" x14ac:dyDescent="0.25"/>
  <cols>
    <col min="1" max="1" width="1.90625" style="19" bestFit="1" customWidth="1"/>
    <col min="2" max="2" width="10.6328125" style="19" bestFit="1" customWidth="1"/>
    <col min="3" max="3" width="9.7265625" style="19" bestFit="1" customWidth="1"/>
    <col min="4" max="6" width="10.6328125" style="19" customWidth="1"/>
    <col min="7" max="16384" width="10.90625" style="19"/>
  </cols>
  <sheetData>
    <row r="2" spans="1:6" ht="15.5" x14ac:dyDescent="0.35">
      <c r="A2" s="20" t="s">
        <v>25</v>
      </c>
    </row>
    <row r="4" spans="1:6" x14ac:dyDescent="0.25">
      <c r="D4" s="22" t="s">
        <v>26</v>
      </c>
      <c r="E4" s="23"/>
    </row>
    <row r="5" spans="1:6" ht="13" thickBot="1" x14ac:dyDescent="0.3">
      <c r="D5" s="24" t="s">
        <v>27</v>
      </c>
      <c r="E5" s="24" t="s">
        <v>28</v>
      </c>
      <c r="F5" s="24" t="s">
        <v>29</v>
      </c>
    </row>
    <row r="6" spans="1:6" ht="13" x14ac:dyDescent="0.3">
      <c r="B6" s="25" t="s">
        <v>4</v>
      </c>
      <c r="C6" s="26" t="s">
        <v>30</v>
      </c>
      <c r="D6" s="34">
        <v>22</v>
      </c>
      <c r="E6" s="36">
        <v>15</v>
      </c>
      <c r="F6" s="31">
        <v>37</v>
      </c>
    </row>
    <row r="7" spans="1:6" x14ac:dyDescent="0.25">
      <c r="A7" s="21" t="s">
        <v>26</v>
      </c>
      <c r="C7" s="19" t="s">
        <v>31</v>
      </c>
      <c r="D7" s="30">
        <v>19.61</v>
      </c>
      <c r="E7" s="37">
        <v>17.39</v>
      </c>
      <c r="F7" s="32">
        <v>37</v>
      </c>
    </row>
    <row r="8" spans="1:6" ht="13" x14ac:dyDescent="0.3">
      <c r="B8" s="25" t="s">
        <v>5</v>
      </c>
      <c r="C8" s="26" t="s">
        <v>30</v>
      </c>
      <c r="D8" s="29">
        <v>19</v>
      </c>
      <c r="E8" s="38">
        <v>20</v>
      </c>
      <c r="F8" s="31">
        <v>39</v>
      </c>
    </row>
    <row r="9" spans="1:6" x14ac:dyDescent="0.25">
      <c r="C9" s="19" t="s">
        <v>31</v>
      </c>
      <c r="D9" s="30">
        <v>20.67</v>
      </c>
      <c r="E9" s="37">
        <v>18.329999999999998</v>
      </c>
      <c r="F9" s="32">
        <v>39</v>
      </c>
    </row>
    <row r="10" spans="1:6" ht="13" x14ac:dyDescent="0.3">
      <c r="B10" s="25" t="s">
        <v>6</v>
      </c>
      <c r="C10" s="26" t="s">
        <v>30</v>
      </c>
      <c r="D10" s="29">
        <v>12</v>
      </c>
      <c r="E10" s="38">
        <v>12</v>
      </c>
      <c r="F10" s="31">
        <v>24</v>
      </c>
    </row>
    <row r="11" spans="1:6" ht="13" thickBot="1" x14ac:dyDescent="0.3">
      <c r="C11" s="19" t="s">
        <v>31</v>
      </c>
      <c r="D11" s="35">
        <v>12.72</v>
      </c>
      <c r="E11" s="39">
        <v>11.28</v>
      </c>
      <c r="F11" s="32">
        <v>24</v>
      </c>
    </row>
    <row r="12" spans="1:6" x14ac:dyDescent="0.25">
      <c r="B12" s="25" t="s">
        <v>7</v>
      </c>
      <c r="C12" s="26" t="s">
        <v>30</v>
      </c>
      <c r="D12" s="33">
        <v>53</v>
      </c>
      <c r="E12" s="33">
        <v>47</v>
      </c>
      <c r="F12" s="28">
        <v>100</v>
      </c>
    </row>
    <row r="13" spans="1:6" x14ac:dyDescent="0.25">
      <c r="C13" s="19" t="s">
        <v>31</v>
      </c>
      <c r="D13" s="27">
        <v>53</v>
      </c>
      <c r="E13" s="27">
        <v>47</v>
      </c>
      <c r="F13" s="27">
        <v>100</v>
      </c>
    </row>
    <row r="15" spans="1:6" x14ac:dyDescent="0.25">
      <c r="D15" s="41">
        <v>0.9935421015308622</v>
      </c>
      <c r="E15" s="19" t="s">
        <v>34</v>
      </c>
    </row>
    <row r="16" spans="1:6" x14ac:dyDescent="0.25">
      <c r="D16" s="19">
        <v>2</v>
      </c>
      <c r="E16" s="19" t="s">
        <v>33</v>
      </c>
    </row>
    <row r="17" spans="4:5" x14ac:dyDescent="0.25">
      <c r="D17" s="40">
        <v>0.60849228170663239</v>
      </c>
      <c r="E17" s="19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8952-476E-428A-B051-91EA7CA8746B}">
  <dimension ref="B3:N36"/>
  <sheetViews>
    <sheetView topLeftCell="A6" workbookViewId="0">
      <selection activeCell="B10" sqref="B10:D13"/>
    </sheetView>
  </sheetViews>
  <sheetFormatPr baseColWidth="10" defaultRowHeight="14.5" x14ac:dyDescent="0.35"/>
  <cols>
    <col min="2" max="2" width="12.7265625" customWidth="1"/>
    <col min="3" max="3" width="11.1796875" bestFit="1" customWidth="1"/>
    <col min="9" max="9" width="11.1796875" bestFit="1" customWidth="1"/>
    <col min="13" max="13" width="15.1796875" customWidth="1"/>
  </cols>
  <sheetData>
    <row r="3" spans="2:14" x14ac:dyDescent="0.35">
      <c r="C3" s="1" t="s">
        <v>0</v>
      </c>
    </row>
    <row r="5" spans="2:14" x14ac:dyDescent="0.35">
      <c r="M5" t="s">
        <v>16</v>
      </c>
    </row>
    <row r="6" spans="2:14" x14ac:dyDescent="0.35">
      <c r="M6" t="s">
        <v>18</v>
      </c>
    </row>
    <row r="7" spans="2:14" x14ac:dyDescent="0.35">
      <c r="M7" t="s">
        <v>19</v>
      </c>
    </row>
    <row r="9" spans="2:14" x14ac:dyDescent="0.35">
      <c r="M9" t="s">
        <v>17</v>
      </c>
      <c r="N9" t="s">
        <v>20</v>
      </c>
    </row>
    <row r="10" spans="2:14" x14ac:dyDescent="0.35">
      <c r="B10" s="9" t="s">
        <v>1</v>
      </c>
      <c r="C10" s="6" t="s">
        <v>2</v>
      </c>
      <c r="D10" s="6" t="s">
        <v>3</v>
      </c>
      <c r="E10" s="2"/>
      <c r="H10" s="7" t="s">
        <v>9</v>
      </c>
      <c r="I10" s="3" t="s">
        <v>10</v>
      </c>
      <c r="J10" s="3" t="s">
        <v>3</v>
      </c>
    </row>
    <row r="11" spans="2:14" x14ac:dyDescent="0.35">
      <c r="B11" s="3" t="s">
        <v>4</v>
      </c>
      <c r="C11" s="4">
        <v>22</v>
      </c>
      <c r="D11" s="4">
        <v>15</v>
      </c>
      <c r="E11" s="13">
        <f>SUM(C11:D11)</f>
        <v>37</v>
      </c>
      <c r="H11" s="3" t="s">
        <v>4</v>
      </c>
      <c r="I11" s="4">
        <f>C15*E11</f>
        <v>19.61</v>
      </c>
      <c r="J11" s="4">
        <f>D15*E11</f>
        <v>17.39</v>
      </c>
      <c r="K11" s="15">
        <f>SUM(I11:J11)</f>
        <v>37</v>
      </c>
      <c r="M11" t="s">
        <v>21</v>
      </c>
    </row>
    <row r="12" spans="2:14" x14ac:dyDescent="0.35">
      <c r="B12" s="3" t="s">
        <v>5</v>
      </c>
      <c r="C12" s="4">
        <v>19</v>
      </c>
      <c r="D12" s="4">
        <v>20</v>
      </c>
      <c r="E12" s="13">
        <f>SUM(C12:D12)</f>
        <v>39</v>
      </c>
      <c r="H12" s="3" t="s">
        <v>5</v>
      </c>
      <c r="I12" s="4">
        <f>(C15*E12)</f>
        <v>20.67</v>
      </c>
      <c r="J12" s="4">
        <f>E12*D15</f>
        <v>18.329999999999998</v>
      </c>
      <c r="K12" s="15">
        <f>SUM(I12:J12)</f>
        <v>39</v>
      </c>
    </row>
    <row r="13" spans="2:14" x14ac:dyDescent="0.35">
      <c r="B13" s="3" t="s">
        <v>6</v>
      </c>
      <c r="C13" s="4">
        <v>12</v>
      </c>
      <c r="D13" s="4">
        <v>12</v>
      </c>
      <c r="E13" s="13">
        <f>SUM(C13:D13)</f>
        <v>24</v>
      </c>
      <c r="H13" s="3" t="s">
        <v>6</v>
      </c>
      <c r="I13" s="4">
        <f>C15*E13</f>
        <v>12.72</v>
      </c>
      <c r="J13" s="4">
        <f>D15*E13</f>
        <v>11.28</v>
      </c>
      <c r="K13" s="15">
        <f>SUM(I13:J13)</f>
        <v>24</v>
      </c>
      <c r="M13" t="s">
        <v>22</v>
      </c>
      <c r="N13" t="s">
        <v>23</v>
      </c>
    </row>
    <row r="14" spans="2:14" x14ac:dyDescent="0.35">
      <c r="B14" s="8" t="s">
        <v>7</v>
      </c>
      <c r="C14" s="14">
        <f>SUM(C11:C13)</f>
        <v>53</v>
      </c>
      <c r="D14" s="14">
        <f>SUM(D11:D13)</f>
        <v>47</v>
      </c>
      <c r="E14" s="14">
        <v>100</v>
      </c>
      <c r="H14" s="9" t="s">
        <v>7</v>
      </c>
      <c r="I14" s="14">
        <f>SUM(I11:I13)</f>
        <v>53</v>
      </c>
      <c r="J14" s="14">
        <f>SUM(J11:J13)</f>
        <v>47</v>
      </c>
      <c r="K14" s="16"/>
    </row>
    <row r="15" spans="2:14" x14ac:dyDescent="0.35">
      <c r="B15" s="3" t="s">
        <v>8</v>
      </c>
      <c r="C15" s="4">
        <f>C14/E14</f>
        <v>0.53</v>
      </c>
      <c r="D15" s="4">
        <f>D14/E14</f>
        <v>0.47</v>
      </c>
      <c r="E15" s="2"/>
      <c r="M15" t="s">
        <v>24</v>
      </c>
    </row>
    <row r="18" spans="2:4" x14ac:dyDescent="0.35">
      <c r="B18" s="9" t="s">
        <v>11</v>
      </c>
      <c r="C18" s="5" t="s">
        <v>10</v>
      </c>
      <c r="D18" s="5" t="s">
        <v>3</v>
      </c>
    </row>
    <row r="19" spans="2:4" x14ac:dyDescent="0.35">
      <c r="B19" s="3" t="s">
        <v>4</v>
      </c>
      <c r="C19" s="4">
        <f t="shared" ref="C19:D21" si="0">((C11-I11)^2)/I11</f>
        <v>0.29128505864354937</v>
      </c>
      <c r="D19" s="4">
        <f t="shared" si="0"/>
        <v>0.3284703852788961</v>
      </c>
    </row>
    <row r="20" spans="2:4" x14ac:dyDescent="0.35">
      <c r="B20" s="3" t="s">
        <v>5</v>
      </c>
      <c r="C20" s="4">
        <f t="shared" si="0"/>
        <v>0.13492501209482369</v>
      </c>
      <c r="D20" s="4">
        <f t="shared" si="0"/>
        <v>0.15214948172395013</v>
      </c>
    </row>
    <row r="21" spans="2:4" x14ac:dyDescent="0.35">
      <c r="B21" s="3" t="s">
        <v>6</v>
      </c>
      <c r="C21" s="4">
        <f t="shared" si="0"/>
        <v>4.0754716981132151E-2</v>
      </c>
      <c r="D21" s="4">
        <f t="shared" si="0"/>
        <v>4.595744680851073E-2</v>
      </c>
    </row>
    <row r="24" spans="2:4" x14ac:dyDescent="0.35">
      <c r="B24" s="11" t="s">
        <v>12</v>
      </c>
      <c r="C24" s="18">
        <f>SUM(C19:D21)</f>
        <v>0.99354210153086231</v>
      </c>
    </row>
    <row r="25" spans="2:4" x14ac:dyDescent="0.35">
      <c r="B25" s="12" t="s">
        <v>13</v>
      </c>
      <c r="C25" s="17">
        <f>CHIINV(C26,C27)</f>
        <v>5.9914645471079817</v>
      </c>
    </row>
    <row r="26" spans="2:4" x14ac:dyDescent="0.35">
      <c r="B26" s="3" t="s">
        <v>14</v>
      </c>
      <c r="C26" s="4">
        <f>5/100</f>
        <v>0.05</v>
      </c>
    </row>
    <row r="27" spans="2:4" ht="29" x14ac:dyDescent="0.35">
      <c r="B27" s="10" t="s">
        <v>15</v>
      </c>
      <c r="C27" s="4">
        <v>2</v>
      </c>
    </row>
    <row r="36" spans="2:2" x14ac:dyDescent="0.35">
      <c r="B3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D2EA-9734-4361-A1D4-5BFCA8AA52C1}">
  <dimension ref="B8:AA25"/>
  <sheetViews>
    <sheetView tabSelected="1" topLeftCell="C8" workbookViewId="0">
      <selection activeCell="T23" sqref="T23"/>
    </sheetView>
  </sheetViews>
  <sheetFormatPr baseColWidth="10" defaultRowHeight="14.5" x14ac:dyDescent="0.35"/>
  <cols>
    <col min="5" max="5" width="12.36328125" customWidth="1"/>
    <col min="8" max="8" width="16" customWidth="1"/>
  </cols>
  <sheetData>
    <row r="8" spans="2:27" ht="15" thickBot="1" x14ac:dyDescent="0.4">
      <c r="B8" s="42" t="s">
        <v>35</v>
      </c>
      <c r="C8" s="42" t="s">
        <v>4</v>
      </c>
      <c r="D8" s="42" t="s">
        <v>5</v>
      </c>
      <c r="E8" s="42" t="s">
        <v>6</v>
      </c>
      <c r="H8" t="s">
        <v>36</v>
      </c>
      <c r="R8" t="s">
        <v>58</v>
      </c>
      <c r="U8" t="s">
        <v>59</v>
      </c>
      <c r="V8" s="46">
        <v>0.05</v>
      </c>
    </row>
    <row r="9" spans="2:27" ht="15" thickTop="1" x14ac:dyDescent="0.35">
      <c r="B9" s="13">
        <v>1</v>
      </c>
      <c r="C9" s="4">
        <v>89</v>
      </c>
      <c r="D9" s="4">
        <v>83</v>
      </c>
      <c r="E9" s="4">
        <v>67.5</v>
      </c>
      <c r="R9" s="43" t="s">
        <v>60</v>
      </c>
      <c r="S9" s="43" t="s">
        <v>61</v>
      </c>
      <c r="T9" s="43" t="s">
        <v>62</v>
      </c>
      <c r="U9" s="43" t="s">
        <v>63</v>
      </c>
      <c r="V9" s="43" t="s">
        <v>33</v>
      </c>
      <c r="W9" s="43" t="s">
        <v>64</v>
      </c>
    </row>
    <row r="10" spans="2:27" ht="15" thickBot="1" x14ac:dyDescent="0.4">
      <c r="B10" s="13">
        <v>2</v>
      </c>
      <c r="C10" s="4">
        <v>65.5</v>
      </c>
      <c r="D10" s="4">
        <v>83.7</v>
      </c>
      <c r="E10" s="4">
        <v>56</v>
      </c>
      <c r="H10" t="s">
        <v>37</v>
      </c>
      <c r="M10" t="s">
        <v>38</v>
      </c>
      <c r="N10" s="46">
        <v>0.05</v>
      </c>
      <c r="R10" t="str">
        <f>C8</f>
        <v>Software</v>
      </c>
      <c r="S10">
        <f>AVERAGE(C9:C18)</f>
        <v>73.599999999999994</v>
      </c>
      <c r="T10">
        <f>COUNT(C9:C18)</f>
        <v>10</v>
      </c>
      <c r="U10">
        <f>DEVSQ(C9:C18)</f>
        <v>545.4</v>
      </c>
    </row>
    <row r="11" spans="2:27" ht="15" thickTop="1" x14ac:dyDescent="0.35">
      <c r="B11" s="13">
        <v>3</v>
      </c>
      <c r="C11" s="4">
        <v>75.5</v>
      </c>
      <c r="D11" s="4">
        <v>70</v>
      </c>
      <c r="E11" s="4">
        <v>10.5</v>
      </c>
      <c r="H11" s="43" t="s">
        <v>39</v>
      </c>
      <c r="I11" s="43" t="s">
        <v>40</v>
      </c>
      <c r="J11" s="43" t="s">
        <v>41</v>
      </c>
      <c r="K11" s="43" t="s">
        <v>42</v>
      </c>
      <c r="L11" s="43" t="s">
        <v>43</v>
      </c>
      <c r="M11" s="43" t="s">
        <v>44</v>
      </c>
      <c r="N11" s="43" t="s">
        <v>45</v>
      </c>
      <c r="O11" s="43" t="s">
        <v>46</v>
      </c>
      <c r="P11" s="43" t="s">
        <v>47</v>
      </c>
      <c r="R11" t="str">
        <f>D8</f>
        <v>TIC's</v>
      </c>
      <c r="S11">
        <f>AVERAGE(D9:D18)</f>
        <v>62.52</v>
      </c>
      <c r="T11">
        <f>COUNT(D9:D18)</f>
        <v>10</v>
      </c>
      <c r="U11">
        <f>DEVSQ(D9:D18)</f>
        <v>5419.4359999999997</v>
      </c>
    </row>
    <row r="12" spans="2:27" x14ac:dyDescent="0.35">
      <c r="B12" s="13">
        <v>4</v>
      </c>
      <c r="C12" s="4">
        <v>70</v>
      </c>
      <c r="D12" s="4">
        <v>50</v>
      </c>
      <c r="E12" s="4">
        <v>70.5</v>
      </c>
      <c r="H12" t="str">
        <f>C8</f>
        <v>Software</v>
      </c>
      <c r="I12">
        <f>COUNT(C9:C18)</f>
        <v>10</v>
      </c>
      <c r="J12">
        <f>SUM(C9:C18)</f>
        <v>736</v>
      </c>
      <c r="K12">
        <f>AVERAGE(C9:C18)</f>
        <v>73.599999999999994</v>
      </c>
      <c r="L12">
        <f>VAR(C9:C18)</f>
        <v>60.599999999999994</v>
      </c>
      <c r="M12">
        <f>DEVSQ(C9:C18)</f>
        <v>545.4</v>
      </c>
      <c r="N12">
        <f>SQRT(K19/I12)</f>
        <v>6.7133490565853613</v>
      </c>
      <c r="O12">
        <f>K12-N12*TINV(N10,J19)</f>
        <v>59.825345537914011</v>
      </c>
      <c r="P12">
        <f>K12+N12*TINV(N10,J19)</f>
        <v>87.374654462085971</v>
      </c>
      <c r="R12" t="str">
        <f>E8</f>
        <v>Contabilidad</v>
      </c>
      <c r="S12">
        <f>AVERAGE(E9:E18)</f>
        <v>42.489999999999995</v>
      </c>
      <c r="T12">
        <f>COUNT(E9:E18)</f>
        <v>10</v>
      </c>
      <c r="U12">
        <f>DEVSQ(E9:E18)</f>
        <v>6203.8090000000002</v>
      </c>
    </row>
    <row r="13" spans="2:27" x14ac:dyDescent="0.35">
      <c r="B13" s="13">
        <v>5</v>
      </c>
      <c r="C13" s="4">
        <v>85</v>
      </c>
      <c r="D13" s="4">
        <v>20</v>
      </c>
      <c r="E13" s="4">
        <v>10</v>
      </c>
      <c r="H13" t="str">
        <f>D8</f>
        <v>TIC's</v>
      </c>
      <c r="I13">
        <f>COUNT(D9:D18)</f>
        <v>10</v>
      </c>
      <c r="J13">
        <f>SUM(D9:D18)</f>
        <v>625.20000000000005</v>
      </c>
      <c r="K13">
        <f>AVERAGE(D9:D18)</f>
        <v>62.52</v>
      </c>
      <c r="L13">
        <f>VAR(D9:D18)</f>
        <v>602.1595555555557</v>
      </c>
      <c r="M13">
        <f>DEVSQ(D9:D18)</f>
        <v>5419.4359999999997</v>
      </c>
      <c r="N13">
        <f>SQRT(K19/I13)</f>
        <v>6.7133490565853613</v>
      </c>
      <c r="O13">
        <f>K13-N13*TINV(N10,J19)</f>
        <v>48.745345537914019</v>
      </c>
      <c r="P13">
        <f>K13+N13*TINV(N10,J19)</f>
        <v>76.294654462085987</v>
      </c>
      <c r="R13" s="44"/>
      <c r="S13" s="44"/>
      <c r="T13" s="44">
        <f>SUM(T10:T12)</f>
        <v>30</v>
      </c>
      <c r="U13" s="44">
        <f>SUM(U10:U12)</f>
        <v>12168.645</v>
      </c>
      <c r="V13" s="44">
        <f>T13-COUNT(T10:T12)</f>
        <v>27</v>
      </c>
      <c r="W13" s="44">
        <f>[1]!QCRIT(COUNT(T10:T12),V13,V8,2)</f>
        <v>3.5059999999999998</v>
      </c>
    </row>
    <row r="14" spans="2:27" ht="15" thickBot="1" x14ac:dyDescent="0.4">
      <c r="B14" s="13">
        <v>6</v>
      </c>
      <c r="C14" s="4">
        <v>70.5</v>
      </c>
      <c r="D14" s="4">
        <v>65</v>
      </c>
      <c r="E14" s="4">
        <v>55.9</v>
      </c>
      <c r="H14" t="str">
        <f>E8</f>
        <v>Contabilidad</v>
      </c>
      <c r="I14">
        <f>COUNT(E9:E18)</f>
        <v>10</v>
      </c>
      <c r="J14">
        <f>SUM(E9:E18)</f>
        <v>424.9</v>
      </c>
      <c r="K14">
        <f>AVERAGE(E9:E18)</f>
        <v>42.489999999999995</v>
      </c>
      <c r="L14">
        <f>VAR(E9:E18)</f>
        <v>689.31211111111122</v>
      </c>
      <c r="M14">
        <f>DEVSQ(E9:E18)</f>
        <v>6203.8090000000002</v>
      </c>
      <c r="N14">
        <f>SQRT(K19/I14)</f>
        <v>6.7133490565853613</v>
      </c>
      <c r="O14">
        <f>K14-N14*TINV(N10,J19)</f>
        <v>28.715345537914011</v>
      </c>
      <c r="P14">
        <f>K14+N14*TINV(N10,J19)</f>
        <v>56.264654462085979</v>
      </c>
      <c r="R14" t="s">
        <v>65</v>
      </c>
    </row>
    <row r="15" spans="2:27" ht="15" thickTop="1" x14ac:dyDescent="0.35">
      <c r="B15" s="13">
        <v>7</v>
      </c>
      <c r="C15" s="4">
        <v>72</v>
      </c>
      <c r="D15" s="4">
        <v>75</v>
      </c>
      <c r="E15" s="4">
        <v>64.5</v>
      </c>
      <c r="H15" s="44"/>
      <c r="I15" s="44"/>
      <c r="J15" s="44"/>
      <c r="K15" s="44"/>
      <c r="L15" s="44"/>
      <c r="M15" s="44"/>
      <c r="N15" s="44"/>
      <c r="O15" s="44"/>
      <c r="P15" s="44"/>
      <c r="R15" s="43" t="s">
        <v>66</v>
      </c>
      <c r="S15" s="43" t="s">
        <v>67</v>
      </c>
      <c r="T15" s="43" t="s">
        <v>61</v>
      </c>
      <c r="U15" s="43" t="s">
        <v>68</v>
      </c>
      <c r="V15" s="43" t="s">
        <v>69</v>
      </c>
      <c r="W15" s="43" t="s">
        <v>70</v>
      </c>
      <c r="X15" s="43" t="s">
        <v>71</v>
      </c>
      <c r="Y15" s="43" t="s">
        <v>32</v>
      </c>
      <c r="Z15" s="43" t="s">
        <v>72</v>
      </c>
      <c r="AA15" s="43" t="s">
        <v>73</v>
      </c>
    </row>
    <row r="16" spans="2:27" ht="15" thickBot="1" x14ac:dyDescent="0.4">
      <c r="B16" s="13">
        <v>8</v>
      </c>
      <c r="C16" s="4">
        <v>66</v>
      </c>
      <c r="D16" s="4">
        <v>80</v>
      </c>
      <c r="E16" s="4">
        <v>60</v>
      </c>
      <c r="H16" t="s">
        <v>48</v>
      </c>
      <c r="R16" s="44" t="str">
        <f>R10</f>
        <v>Software</v>
      </c>
      <c r="S16" s="44" t="str">
        <f>R11</f>
        <v>TIC's</v>
      </c>
      <c r="T16" s="44">
        <f>ABS(S10-S11)</f>
        <v>11.079999999999991</v>
      </c>
      <c r="U16" s="44">
        <f>SQRT(U13/V13/HARMEAN(T10,T11))</f>
        <v>6.7133490565853613</v>
      </c>
      <c r="V16" s="44">
        <f>T16/U16</f>
        <v>1.6504430064054583</v>
      </c>
      <c r="W16" s="44">
        <f>T16-U16*W$13</f>
        <v>-12.457001792388283</v>
      </c>
      <c r="X16" s="44">
        <f>T16+U16*W$13</f>
        <v>34.617001792388265</v>
      </c>
      <c r="Y16" s="44">
        <f>[1]!QDIST(V16,COUNT($T$10:$T$12),V$13)</f>
        <v>0.48252890781698898</v>
      </c>
      <c r="Z16" s="44">
        <f>U16*W$13</f>
        <v>23.537001792388274</v>
      </c>
      <c r="AA16" s="44">
        <f>T16*SQRT(V$13/U$13)</f>
        <v>0.52191590485371187</v>
      </c>
    </row>
    <row r="17" spans="2:27" ht="15" thickTop="1" x14ac:dyDescent="0.35">
      <c r="B17" s="13">
        <v>9</v>
      </c>
      <c r="C17" s="4">
        <v>68.5</v>
      </c>
      <c r="D17" s="4">
        <v>20</v>
      </c>
      <c r="E17" s="4">
        <v>10</v>
      </c>
      <c r="H17" s="43" t="s">
        <v>49</v>
      </c>
      <c r="I17" s="43" t="s">
        <v>44</v>
      </c>
      <c r="J17" s="43" t="s">
        <v>33</v>
      </c>
      <c r="K17" s="43" t="s">
        <v>50</v>
      </c>
      <c r="L17" s="43" t="s">
        <v>51</v>
      </c>
      <c r="M17" s="43" t="s">
        <v>52</v>
      </c>
      <c r="N17" s="43" t="s">
        <v>53</v>
      </c>
      <c r="O17" s="43" t="s">
        <v>54</v>
      </c>
      <c r="P17" s="43" t="s">
        <v>55</v>
      </c>
      <c r="R17" s="2" t="str">
        <f>R10</f>
        <v>Software</v>
      </c>
      <c r="S17" s="2" t="str">
        <f>R12</f>
        <v>Contabilidad</v>
      </c>
      <c r="T17" s="2">
        <f>ABS(S10-S12)</f>
        <v>31.11</v>
      </c>
      <c r="U17" s="2">
        <f>SQRT(U13/V13/HARMEAN(T10,T12))</f>
        <v>6.7133490565853613</v>
      </c>
      <c r="V17" s="2">
        <f t="shared" ref="V17:V18" si="0">T17/U17</f>
        <v>4.6340507156384341</v>
      </c>
      <c r="W17" s="2">
        <f t="shared" ref="W17:W18" si="1">T17-U17*W$13</f>
        <v>7.5729982076117253</v>
      </c>
      <c r="X17" s="2">
        <f t="shared" ref="X17:X18" si="2">T17+U17*W$13</f>
        <v>54.647001792388274</v>
      </c>
      <c r="Y17" s="47">
        <f>[1]!QDIST(V17,COUNT($T$10:$T$12),V$13)</f>
        <v>7.8592888497609481E-3</v>
      </c>
      <c r="Z17" s="2">
        <f t="shared" ref="Z17:Z18" si="3">U17*W$13</f>
        <v>23.537001792388274</v>
      </c>
      <c r="AA17" s="2">
        <f t="shared" ref="AA17:AA18" si="4">T17*SQRT(V$13/U$13)</f>
        <v>1.4654155054150713</v>
      </c>
    </row>
    <row r="18" spans="2:27" x14ac:dyDescent="0.35">
      <c r="B18" s="13">
        <v>10</v>
      </c>
      <c r="C18" s="4">
        <v>74</v>
      </c>
      <c r="D18" s="4">
        <v>78.5</v>
      </c>
      <c r="E18" s="4">
        <v>20</v>
      </c>
      <c r="H18" t="s">
        <v>56</v>
      </c>
      <c r="I18">
        <f>I20-I19</f>
        <v>4972.6646666666675</v>
      </c>
      <c r="J18">
        <f>COUNTA(H12:H14)-1</f>
        <v>2</v>
      </c>
      <c r="K18">
        <f>I18/J18</f>
        <v>2486.3323333333337</v>
      </c>
      <c r="L18">
        <f>K18/K19</f>
        <v>5.5167171858493695</v>
      </c>
      <c r="M18" s="46">
        <f>FDIST(L18,J18,J19)</f>
        <v>9.7988696348367248E-3</v>
      </c>
      <c r="N18">
        <f>FINV(N10,J18,J19)</f>
        <v>3.3541308285291991</v>
      </c>
      <c r="O18">
        <f>SQRT(DEVSQ(K12:K14)/(K19*J18))</f>
        <v>0.74274606601781268</v>
      </c>
      <c r="P18">
        <f>(I20-J20*K19)/(I20+K19)</f>
        <v>0.23142812097129853</v>
      </c>
      <c r="R18" s="45" t="str">
        <f>R11</f>
        <v>TIC's</v>
      </c>
      <c r="S18" s="45" t="str">
        <f>R12</f>
        <v>Contabilidad</v>
      </c>
      <c r="T18" s="45">
        <f>ABS(S11-S12)</f>
        <v>20.030000000000008</v>
      </c>
      <c r="U18" s="45">
        <f>SQRT(U13/V13/HARMEAN(T11,T12))</f>
        <v>6.7133490565853613</v>
      </c>
      <c r="V18" s="45">
        <f t="shared" si="0"/>
        <v>2.9836077092329756</v>
      </c>
      <c r="W18" s="45">
        <f t="shared" si="1"/>
        <v>-3.5070017923882659</v>
      </c>
      <c r="X18" s="45">
        <f t="shared" si="2"/>
        <v>43.567001792388282</v>
      </c>
      <c r="Y18" s="45">
        <f>[1]!QDIST(V18,COUNT($T$10:$T$12),V$13)</f>
        <v>0.10668165370737326</v>
      </c>
      <c r="Z18" s="45">
        <f t="shared" si="3"/>
        <v>23.537001792388274</v>
      </c>
      <c r="AA18" s="45">
        <f t="shared" si="4"/>
        <v>0.9434996005613594</v>
      </c>
    </row>
    <row r="19" spans="2:27" x14ac:dyDescent="0.35">
      <c r="H19" t="s">
        <v>57</v>
      </c>
      <c r="I19">
        <f>SUM(M12:M14)</f>
        <v>12168.645</v>
      </c>
      <c r="J19">
        <f>J20-J18</f>
        <v>27</v>
      </c>
      <c r="K19">
        <f>I19/J19</f>
        <v>450.69055555555559</v>
      </c>
    </row>
    <row r="20" spans="2:27" x14ac:dyDescent="0.35">
      <c r="H20" s="45" t="s">
        <v>7</v>
      </c>
      <c r="I20" s="45">
        <f>DEVSQ(C9:E18)</f>
        <v>17141.309666666668</v>
      </c>
      <c r="J20" s="45">
        <f>COUNT(C9:E18)-1</f>
        <v>29</v>
      </c>
      <c r="K20" s="45">
        <f>I20/J20</f>
        <v>591.07964367816101</v>
      </c>
      <c r="L20" s="45"/>
      <c r="M20" s="45"/>
      <c r="N20" s="45"/>
      <c r="O20" s="45"/>
      <c r="P20" s="45"/>
    </row>
    <row r="23" spans="2:27" x14ac:dyDescent="0.35">
      <c r="P23" t="s">
        <v>76</v>
      </c>
    </row>
    <row r="24" spans="2:27" x14ac:dyDescent="0.35">
      <c r="B24" t="s">
        <v>74</v>
      </c>
      <c r="P24" t="s">
        <v>77</v>
      </c>
    </row>
    <row r="25" spans="2:27" x14ac:dyDescent="0.35">
      <c r="B25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Tabla_Contingencia</vt:lpstr>
      <vt:lpstr>Chi_cuadrado</vt:lpstr>
      <vt:lpstr>Post_Hoc_Tukey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Gabriel Revelo Espinoza</dc:creator>
  <cp:lastModifiedBy>Andres Gabriel Revelo Espinoza</cp:lastModifiedBy>
  <dcterms:created xsi:type="dcterms:W3CDTF">2024-08-25T23:51:58Z</dcterms:created>
  <dcterms:modified xsi:type="dcterms:W3CDTF">2024-08-26T05:37:04Z</dcterms:modified>
</cp:coreProperties>
</file>