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aj\Downloads\"/>
    </mc:Choice>
  </mc:AlternateContent>
  <xr:revisionPtr revIDLastSave="0" documentId="13_ncr:1_{5F75790C-993C-4697-AE5C-5FF1A21443A3}" xr6:coauthVersionLast="47" xr6:coauthVersionMax="47" xr10:uidLastSave="{00000000-0000-0000-0000-000000000000}"/>
  <bookViews>
    <workbookView xWindow="-120" yWindow="-120" windowWidth="20730" windowHeight="11160" activeTab="1" xr2:uid="{A8CAF14C-90AF-4F38-8332-A2367F56253A}"/>
  </bookViews>
  <sheets>
    <sheet name="Punto I - b" sheetId="1" r:id="rId1"/>
    <sheet name="Punto I - c" sheetId="2" r:id="rId2"/>
  </sheets>
  <definedNames>
    <definedName name="solver_adj" localSheetId="1" hidden="1">'Punto I - c'!$E$30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'Punto I - c'!$E$30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'Punto I - c'!$S$30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'Punto I - c'!$E$29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2" l="1"/>
  <c r="E64" i="2"/>
  <c r="C40" i="2"/>
  <c r="D40" i="2"/>
  <c r="F40" i="2"/>
  <c r="G40" i="2"/>
  <c r="H40" i="2"/>
  <c r="P40" i="2"/>
  <c r="C41" i="2"/>
  <c r="D41" i="2"/>
  <c r="F41" i="2"/>
  <c r="G41" i="2"/>
  <c r="H41" i="2"/>
  <c r="P41" i="2"/>
  <c r="C42" i="2"/>
  <c r="D42" i="2"/>
  <c r="F42" i="2"/>
  <c r="G42" i="2"/>
  <c r="H42" i="2"/>
  <c r="P42" i="2"/>
  <c r="C43" i="2"/>
  <c r="D43" i="2"/>
  <c r="F43" i="2"/>
  <c r="G43" i="2"/>
  <c r="H43" i="2"/>
  <c r="P43" i="2"/>
  <c r="C44" i="2"/>
  <c r="D44" i="2"/>
  <c r="F44" i="2"/>
  <c r="G44" i="2"/>
  <c r="H44" i="2"/>
  <c r="P44" i="2"/>
  <c r="C45" i="2"/>
  <c r="D45" i="2"/>
  <c r="F45" i="2"/>
  <c r="G45" i="2"/>
  <c r="H45" i="2"/>
  <c r="P45" i="2"/>
  <c r="C46" i="2"/>
  <c r="D46" i="2"/>
  <c r="F46" i="2"/>
  <c r="G46" i="2"/>
  <c r="H46" i="2"/>
  <c r="P46" i="2"/>
  <c r="C47" i="2"/>
  <c r="D47" i="2"/>
  <c r="F47" i="2"/>
  <c r="G47" i="2"/>
  <c r="H47" i="2"/>
  <c r="P47" i="2"/>
  <c r="C48" i="2"/>
  <c r="D48" i="2"/>
  <c r="F48" i="2"/>
  <c r="G48" i="2"/>
  <c r="H48" i="2"/>
  <c r="P48" i="2"/>
  <c r="C49" i="2"/>
  <c r="D49" i="2"/>
  <c r="F49" i="2"/>
  <c r="G49" i="2"/>
  <c r="H49" i="2"/>
  <c r="P49" i="2"/>
  <c r="C50" i="2"/>
  <c r="D50" i="2"/>
  <c r="F50" i="2"/>
  <c r="G50" i="2"/>
  <c r="H50" i="2"/>
  <c r="P50" i="2"/>
  <c r="C51" i="2"/>
  <c r="D51" i="2"/>
  <c r="F51" i="2"/>
  <c r="G51" i="2"/>
  <c r="H51" i="2"/>
  <c r="P51" i="2"/>
  <c r="C52" i="2"/>
  <c r="D52" i="2"/>
  <c r="F52" i="2"/>
  <c r="G52" i="2"/>
  <c r="H52" i="2"/>
  <c r="P52" i="2"/>
  <c r="C53" i="2"/>
  <c r="D53" i="2"/>
  <c r="F53" i="2"/>
  <c r="G53" i="2"/>
  <c r="H53" i="2"/>
  <c r="P53" i="2"/>
  <c r="C54" i="2"/>
  <c r="D54" i="2"/>
  <c r="F54" i="2"/>
  <c r="G54" i="2"/>
  <c r="H54" i="2"/>
  <c r="P54" i="2"/>
  <c r="C55" i="2"/>
  <c r="D55" i="2"/>
  <c r="F55" i="2"/>
  <c r="G55" i="2"/>
  <c r="H55" i="2"/>
  <c r="P55" i="2"/>
  <c r="C56" i="2"/>
  <c r="D56" i="2"/>
  <c r="F56" i="2"/>
  <c r="G56" i="2"/>
  <c r="H56" i="2"/>
  <c r="P56" i="2"/>
  <c r="C57" i="2"/>
  <c r="D57" i="2"/>
  <c r="F57" i="2"/>
  <c r="G57" i="2"/>
  <c r="H57" i="2"/>
  <c r="P57" i="2"/>
  <c r="C58" i="2"/>
  <c r="D58" i="2"/>
  <c r="F58" i="2"/>
  <c r="G58" i="2"/>
  <c r="H58" i="2"/>
  <c r="P58" i="2"/>
  <c r="C59" i="2"/>
  <c r="D59" i="2"/>
  <c r="F59" i="2"/>
  <c r="G59" i="2"/>
  <c r="H59" i="2"/>
  <c r="P59" i="2"/>
  <c r="C60" i="2"/>
  <c r="D60" i="2"/>
  <c r="F60" i="2"/>
  <c r="G60" i="2"/>
  <c r="H60" i="2"/>
  <c r="P60" i="2"/>
  <c r="C33" i="2"/>
  <c r="D33" i="2"/>
  <c r="G33" i="2"/>
  <c r="H33" i="2"/>
  <c r="P33" i="2"/>
  <c r="F33" i="2" s="1"/>
  <c r="C34" i="2"/>
  <c r="D34" i="2"/>
  <c r="G34" i="2"/>
  <c r="I34" i="2" s="1"/>
  <c r="H34" i="2"/>
  <c r="P34" i="2"/>
  <c r="F34" i="2" s="1"/>
  <c r="C35" i="2"/>
  <c r="D35" i="2"/>
  <c r="G35" i="2"/>
  <c r="I35" i="2" s="1"/>
  <c r="H35" i="2"/>
  <c r="P35" i="2"/>
  <c r="C36" i="2"/>
  <c r="D36" i="2"/>
  <c r="G36" i="2"/>
  <c r="H36" i="2"/>
  <c r="P36" i="2"/>
  <c r="C37" i="2"/>
  <c r="D37" i="2"/>
  <c r="G37" i="2"/>
  <c r="H37" i="2"/>
  <c r="P37" i="2"/>
  <c r="C38" i="2"/>
  <c r="D38" i="2"/>
  <c r="G38" i="2"/>
  <c r="I38" i="2" s="1"/>
  <c r="H38" i="2"/>
  <c r="P38" i="2"/>
  <c r="C39" i="2"/>
  <c r="D39" i="2"/>
  <c r="G39" i="2"/>
  <c r="H39" i="2"/>
  <c r="P39" i="2"/>
  <c r="S32" i="2"/>
  <c r="F30" i="2"/>
  <c r="H32" i="2"/>
  <c r="I32" i="2" s="1"/>
  <c r="M32" i="2" s="1"/>
  <c r="N32" i="2" s="1"/>
  <c r="G32" i="2"/>
  <c r="J32" i="2" s="1"/>
  <c r="K32" i="2" s="1"/>
  <c r="D32" i="2"/>
  <c r="C32" i="2"/>
  <c r="P31" i="2"/>
  <c r="P32" i="2" s="1"/>
  <c r="H31" i="2"/>
  <c r="I31" i="2" s="1"/>
  <c r="M31" i="2" s="1"/>
  <c r="N31" i="2" s="1"/>
  <c r="G31" i="2"/>
  <c r="J31" i="2" s="1"/>
  <c r="K31" i="2" s="1"/>
  <c r="D31" i="2"/>
  <c r="C31" i="2"/>
  <c r="H30" i="2"/>
  <c r="G30" i="2"/>
  <c r="J30" i="2" s="1"/>
  <c r="K30" i="2" s="1"/>
  <c r="L30" i="2" s="1"/>
  <c r="D30" i="2"/>
  <c r="C30" i="2"/>
  <c r="H29" i="2"/>
  <c r="G29" i="2"/>
  <c r="J29" i="2" s="1"/>
  <c r="K29" i="2" s="1"/>
  <c r="L29" i="2" s="1"/>
  <c r="D29" i="2"/>
  <c r="C29" i="2"/>
  <c r="C18" i="2"/>
  <c r="C17" i="2"/>
  <c r="C19" i="2" s="1"/>
  <c r="C13" i="2"/>
  <c r="K29" i="1"/>
  <c r="I40" i="2" l="1"/>
  <c r="M40" i="2"/>
  <c r="N40" i="2" s="1"/>
  <c r="O40" i="2" s="1"/>
  <c r="Q40" i="2" s="1"/>
  <c r="J40" i="2"/>
  <c r="K40" i="2" s="1"/>
  <c r="L40" i="2" s="1"/>
  <c r="I56" i="2"/>
  <c r="M56" i="2" s="1"/>
  <c r="N56" i="2" s="1"/>
  <c r="O56" i="2" s="1"/>
  <c r="Q56" i="2" s="1"/>
  <c r="J56" i="2"/>
  <c r="K56" i="2" s="1"/>
  <c r="L56" i="2" s="1"/>
  <c r="I60" i="2"/>
  <c r="M60" i="2" s="1"/>
  <c r="N60" i="2" s="1"/>
  <c r="J60" i="2"/>
  <c r="K60" i="2" s="1"/>
  <c r="L60" i="2" s="1"/>
  <c r="I44" i="2"/>
  <c r="M44" i="2" s="1"/>
  <c r="N44" i="2" s="1"/>
  <c r="J44" i="2"/>
  <c r="K44" i="2" s="1"/>
  <c r="L44" i="2" s="1"/>
  <c r="I48" i="2"/>
  <c r="M48" i="2" s="1"/>
  <c r="N48" i="2" s="1"/>
  <c r="J48" i="2"/>
  <c r="K48" i="2" s="1"/>
  <c r="L48" i="2" s="1"/>
  <c r="I52" i="2"/>
  <c r="M52" i="2"/>
  <c r="N52" i="2" s="1"/>
  <c r="J52" i="2"/>
  <c r="K52" i="2" s="1"/>
  <c r="L52" i="2" s="1"/>
  <c r="I59" i="2"/>
  <c r="M59" i="2" s="1"/>
  <c r="N59" i="2" s="1"/>
  <c r="J59" i="2"/>
  <c r="K59" i="2" s="1"/>
  <c r="L59" i="2" s="1"/>
  <c r="I55" i="2"/>
  <c r="M55" i="2" s="1"/>
  <c r="N55" i="2" s="1"/>
  <c r="J55" i="2"/>
  <c r="K55" i="2" s="1"/>
  <c r="L55" i="2" s="1"/>
  <c r="I51" i="2"/>
  <c r="M51" i="2" s="1"/>
  <c r="N51" i="2" s="1"/>
  <c r="J51" i="2"/>
  <c r="K51" i="2" s="1"/>
  <c r="L51" i="2" s="1"/>
  <c r="I47" i="2"/>
  <c r="M47" i="2" s="1"/>
  <c r="N47" i="2" s="1"/>
  <c r="J47" i="2"/>
  <c r="K47" i="2" s="1"/>
  <c r="L47" i="2" s="1"/>
  <c r="I43" i="2"/>
  <c r="M43" i="2"/>
  <c r="N43" i="2" s="1"/>
  <c r="J43" i="2"/>
  <c r="K43" i="2" s="1"/>
  <c r="L43" i="2" s="1"/>
  <c r="I58" i="2"/>
  <c r="M58" i="2" s="1"/>
  <c r="N58" i="2" s="1"/>
  <c r="J58" i="2"/>
  <c r="K58" i="2" s="1"/>
  <c r="L58" i="2" s="1"/>
  <c r="I54" i="2"/>
  <c r="M54" i="2"/>
  <c r="N54" i="2" s="1"/>
  <c r="J54" i="2"/>
  <c r="K54" i="2" s="1"/>
  <c r="L54" i="2" s="1"/>
  <c r="I50" i="2"/>
  <c r="M50" i="2" s="1"/>
  <c r="N50" i="2" s="1"/>
  <c r="J50" i="2"/>
  <c r="K50" i="2" s="1"/>
  <c r="L50" i="2" s="1"/>
  <c r="I46" i="2"/>
  <c r="M46" i="2" s="1"/>
  <c r="N46" i="2" s="1"/>
  <c r="O46" i="2" s="1"/>
  <c r="Q46" i="2" s="1"/>
  <c r="J46" i="2"/>
  <c r="K46" i="2" s="1"/>
  <c r="L46" i="2" s="1"/>
  <c r="I42" i="2"/>
  <c r="M42" i="2" s="1"/>
  <c r="N42" i="2" s="1"/>
  <c r="J42" i="2"/>
  <c r="K42" i="2" s="1"/>
  <c r="L42" i="2" s="1"/>
  <c r="I57" i="2"/>
  <c r="M57" i="2" s="1"/>
  <c r="N57" i="2" s="1"/>
  <c r="O57" i="2" s="1"/>
  <c r="Q57" i="2" s="1"/>
  <c r="J57" i="2"/>
  <c r="K57" i="2" s="1"/>
  <c r="L57" i="2" s="1"/>
  <c r="I53" i="2"/>
  <c r="M53" i="2"/>
  <c r="N53" i="2" s="1"/>
  <c r="J53" i="2"/>
  <c r="K53" i="2" s="1"/>
  <c r="L53" i="2" s="1"/>
  <c r="I49" i="2"/>
  <c r="M49" i="2" s="1"/>
  <c r="N49" i="2" s="1"/>
  <c r="J49" i="2"/>
  <c r="K49" i="2" s="1"/>
  <c r="L49" i="2" s="1"/>
  <c r="I45" i="2"/>
  <c r="M45" i="2"/>
  <c r="N45" i="2" s="1"/>
  <c r="J45" i="2"/>
  <c r="K45" i="2" s="1"/>
  <c r="L45" i="2" s="1"/>
  <c r="I41" i="2"/>
  <c r="M41" i="2" s="1"/>
  <c r="N41" i="2" s="1"/>
  <c r="J41" i="2"/>
  <c r="K41" i="2" s="1"/>
  <c r="L41" i="2" s="1"/>
  <c r="I37" i="2"/>
  <c r="M37" i="2" s="1"/>
  <c r="N37" i="2" s="1"/>
  <c r="I33" i="2"/>
  <c r="I36" i="2"/>
  <c r="I39" i="2"/>
  <c r="M39" i="2" s="1"/>
  <c r="N39" i="2" s="1"/>
  <c r="F35" i="2"/>
  <c r="F36" i="2" s="1"/>
  <c r="F37" i="2" s="1"/>
  <c r="F38" i="2" s="1"/>
  <c r="F39" i="2" s="1"/>
  <c r="J39" i="2"/>
  <c r="K39" i="2" s="1"/>
  <c r="J38" i="2"/>
  <c r="K38" i="2" s="1"/>
  <c r="J37" i="2"/>
  <c r="K37" i="2" s="1"/>
  <c r="J36" i="2"/>
  <c r="K36" i="2" s="1"/>
  <c r="J35" i="2"/>
  <c r="K35" i="2" s="1"/>
  <c r="L35" i="2" s="1"/>
  <c r="J34" i="2"/>
  <c r="K34" i="2" s="1"/>
  <c r="L34" i="2" s="1"/>
  <c r="J33" i="2"/>
  <c r="K33" i="2" s="1"/>
  <c r="L33" i="2" s="1"/>
  <c r="M38" i="2"/>
  <c r="N38" i="2" s="1"/>
  <c r="M36" i="2"/>
  <c r="N36" i="2" s="1"/>
  <c r="M35" i="2"/>
  <c r="N35" i="2" s="1"/>
  <c r="M34" i="2"/>
  <c r="N34" i="2" s="1"/>
  <c r="M33" i="2"/>
  <c r="N33" i="2" s="1"/>
  <c r="O33" i="2" s="1"/>
  <c r="Q33" i="2" s="1"/>
  <c r="R33" i="2" s="1"/>
  <c r="F32" i="2"/>
  <c r="O32" i="2"/>
  <c r="Q32" i="2" s="1"/>
  <c r="L32" i="2"/>
  <c r="I30" i="2"/>
  <c r="M30" i="2" s="1"/>
  <c r="N30" i="2" s="1"/>
  <c r="F31" i="2"/>
  <c r="L31" i="2" s="1"/>
  <c r="I29" i="2"/>
  <c r="M29" i="2" s="1"/>
  <c r="N29" i="2" s="1"/>
  <c r="O47" i="2" l="1"/>
  <c r="Q47" i="2" s="1"/>
  <c r="R40" i="2"/>
  <c r="S40" i="2" s="1"/>
  <c r="O53" i="2"/>
  <c r="Q53" i="2" s="1"/>
  <c r="R53" i="2" s="1"/>
  <c r="S53" i="2" s="1"/>
  <c r="O44" i="2"/>
  <c r="Q44" i="2" s="1"/>
  <c r="O55" i="2"/>
  <c r="Q55" i="2" s="1"/>
  <c r="O41" i="2"/>
  <c r="Q41" i="2" s="1"/>
  <c r="O49" i="2"/>
  <c r="Q49" i="2" s="1"/>
  <c r="R49" i="2" s="1"/>
  <c r="S49" i="2" s="1"/>
  <c r="O42" i="2"/>
  <c r="Q42" i="2" s="1"/>
  <c r="O50" i="2"/>
  <c r="Q50" i="2" s="1"/>
  <c r="O58" i="2"/>
  <c r="Q58" i="2" s="1"/>
  <c r="R50" i="2"/>
  <c r="S50" i="2" s="1"/>
  <c r="O43" i="2"/>
  <c r="Q43" i="2" s="1"/>
  <c r="R46" i="2"/>
  <c r="S46" i="2" s="1"/>
  <c r="R55" i="2"/>
  <c r="S55" i="2" s="1"/>
  <c r="R41" i="2"/>
  <c r="S41" i="2" s="1"/>
  <c r="O59" i="2"/>
  <c r="Q59" i="2" s="1"/>
  <c r="R59" i="2" s="1"/>
  <c r="S59" i="2" s="1"/>
  <c r="R42" i="2"/>
  <c r="S42" i="2" s="1"/>
  <c r="R58" i="2"/>
  <c r="S58" i="2" s="1"/>
  <c r="O52" i="2"/>
  <c r="Q52" i="2" s="1"/>
  <c r="R52" i="2" s="1"/>
  <c r="S52" i="2" s="1"/>
  <c r="O60" i="2"/>
  <c r="Q60" i="2" s="1"/>
  <c r="R57" i="2"/>
  <c r="S57" i="2" s="1"/>
  <c r="R43" i="2"/>
  <c r="S43" i="2" s="1"/>
  <c r="R56" i="2"/>
  <c r="S56" i="2" s="1"/>
  <c r="O45" i="2"/>
  <c r="Q45" i="2" s="1"/>
  <c r="R45" i="2" s="1"/>
  <c r="S45" i="2" s="1"/>
  <c r="O54" i="2"/>
  <c r="Q54" i="2" s="1"/>
  <c r="O51" i="2"/>
  <c r="Q51" i="2" s="1"/>
  <c r="R51" i="2" s="1"/>
  <c r="S51" i="2" s="1"/>
  <c r="O48" i="2"/>
  <c r="Q48" i="2" s="1"/>
  <c r="R48" i="2" s="1"/>
  <c r="S48" i="2" s="1"/>
  <c r="R54" i="2"/>
  <c r="S54" i="2" s="1"/>
  <c r="R47" i="2"/>
  <c r="S47" i="2" s="1"/>
  <c r="R44" i="2"/>
  <c r="S44" i="2" s="1"/>
  <c r="R60" i="2"/>
  <c r="S60" i="2" s="1"/>
  <c r="O34" i="2"/>
  <c r="Q34" i="2" s="1"/>
  <c r="O38" i="2"/>
  <c r="Q38" i="2" s="1"/>
  <c r="L39" i="2"/>
  <c r="O35" i="2"/>
  <c r="Q35" i="2" s="1"/>
  <c r="O39" i="2"/>
  <c r="Q39" i="2" s="1"/>
  <c r="L36" i="2"/>
  <c r="O36" i="2"/>
  <c r="Q36" i="2" s="1"/>
  <c r="R36" i="2" s="1"/>
  <c r="R34" i="2"/>
  <c r="S34" i="2" s="1"/>
  <c r="L37" i="2"/>
  <c r="S33" i="2"/>
  <c r="O37" i="2"/>
  <c r="Q37" i="2" s="1"/>
  <c r="R35" i="2"/>
  <c r="S35" i="2" s="1"/>
  <c r="L38" i="2"/>
  <c r="R39" i="2" s="1"/>
  <c r="R32" i="2"/>
  <c r="O30" i="2"/>
  <c r="Q30" i="2" s="1"/>
  <c r="R30" i="2" s="1"/>
  <c r="S30" i="2" s="1"/>
  <c r="O31" i="2"/>
  <c r="Q31" i="2" s="1"/>
  <c r="R31" i="2" s="1"/>
  <c r="S31" i="2" s="1"/>
  <c r="S36" i="2" l="1"/>
  <c r="R38" i="2"/>
  <c r="R37" i="2"/>
  <c r="S37" i="2" s="1"/>
  <c r="S39" i="2"/>
  <c r="S38" i="2"/>
  <c r="K30" i="1" l="1"/>
  <c r="K31" i="1"/>
  <c r="C32" i="1"/>
  <c r="C31" i="1"/>
  <c r="D31" i="1"/>
  <c r="C30" i="1"/>
  <c r="D30" i="1"/>
  <c r="D24" i="1"/>
  <c r="D15" i="1"/>
  <c r="D12" i="1"/>
  <c r="D22" i="1" s="1"/>
  <c r="D33" i="1" l="1"/>
  <c r="K33" i="1"/>
  <c r="C33" i="1"/>
  <c r="E33" i="1" s="1"/>
  <c r="K32" i="1"/>
  <c r="D32" i="1"/>
  <c r="E32" i="1" s="1"/>
  <c r="F32" i="1" s="1"/>
  <c r="E30" i="1"/>
  <c r="F30" i="1" s="1"/>
  <c r="E31" i="1"/>
  <c r="D18" i="1"/>
  <c r="G32" i="1"/>
  <c r="F31" i="1"/>
  <c r="G31" i="1"/>
  <c r="G30" i="1"/>
  <c r="F33" i="1" l="1"/>
  <c r="D34" i="1"/>
  <c r="K34" i="1"/>
  <c r="C34" i="1"/>
  <c r="G33" i="1"/>
  <c r="H33" i="1" s="1"/>
  <c r="H32" i="1"/>
  <c r="D29" i="1"/>
  <c r="C29" i="1"/>
  <c r="H30" i="1"/>
  <c r="H31" i="1"/>
  <c r="D35" i="1" l="1"/>
  <c r="K35" i="1"/>
  <c r="C35" i="1"/>
  <c r="E34" i="1"/>
  <c r="F34" i="1" s="1"/>
  <c r="G34" i="1"/>
  <c r="I33" i="1"/>
  <c r="I31" i="1"/>
  <c r="G29" i="1"/>
  <c r="E29" i="1"/>
  <c r="F29" i="1" s="1"/>
  <c r="I32" i="1"/>
  <c r="H34" i="1" l="1"/>
  <c r="I34" i="1" s="1"/>
  <c r="E35" i="1"/>
  <c r="F35" i="1" s="1"/>
  <c r="G35" i="1"/>
  <c r="D36" i="1"/>
  <c r="C36" i="1"/>
  <c r="K36" i="1"/>
  <c r="H29" i="1"/>
  <c r="I30" i="1" s="1"/>
  <c r="J30" i="1" s="1"/>
  <c r="H35" i="1" l="1"/>
  <c r="I35" i="1" s="1"/>
  <c r="G36" i="1"/>
  <c r="E36" i="1"/>
  <c r="F36" i="1" s="1"/>
  <c r="D37" i="1"/>
  <c r="C37" i="1"/>
  <c r="K37" i="1"/>
  <c r="J31" i="1"/>
  <c r="J32" i="1" s="1"/>
  <c r="J33" i="1" s="1"/>
  <c r="J34" i="1" s="1"/>
  <c r="J35" i="1" l="1"/>
  <c r="H36" i="1"/>
  <c r="I36" i="1" s="1"/>
  <c r="E37" i="1"/>
  <c r="F37" i="1" s="1"/>
  <c r="G37" i="1"/>
  <c r="D38" i="1"/>
  <c r="K38" i="1"/>
  <c r="C38" i="1"/>
  <c r="J36" i="1" l="1"/>
  <c r="D39" i="1"/>
  <c r="K39" i="1"/>
  <c r="C39" i="1"/>
  <c r="G38" i="1"/>
  <c r="E38" i="1"/>
  <c r="F38" i="1" s="1"/>
  <c r="H37" i="1"/>
  <c r="I37" i="1" s="1"/>
  <c r="J37" i="1" s="1"/>
  <c r="G39" i="1" l="1"/>
  <c r="E39" i="1"/>
  <c r="F39" i="1" s="1"/>
  <c r="H38" i="1"/>
  <c r="I38" i="1" s="1"/>
  <c r="J38" i="1" s="1"/>
  <c r="H39" i="1" l="1"/>
  <c r="I39" i="1" s="1"/>
  <c r="J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</author>
  </authors>
  <commentList>
    <comment ref="P28" authorId="0" shapeId="0" xr:uid="{6C75283C-90A8-44D4-B7F3-1396376768F1}">
      <text>
        <r>
          <rPr>
            <b/>
            <sz val="9"/>
            <color indexed="81"/>
            <rFont val="Tahoma"/>
            <family val="2"/>
          </rPr>
          <t>Nicolas:</t>
        </r>
        <r>
          <rPr>
            <sz val="9"/>
            <color indexed="81"/>
            <rFont val="Tahoma"/>
            <family val="2"/>
          </rPr>
          <t xml:space="preserve">
Deltra X me lo da la Topografía del terreno</t>
        </r>
      </text>
    </comment>
  </commentList>
</comments>
</file>

<file path=xl/sharedStrings.xml><?xml version="1.0" encoding="utf-8"?>
<sst xmlns="http://schemas.openxmlformats.org/spreadsheetml/2006/main" count="72" uniqueCount="66">
  <si>
    <t>n</t>
  </si>
  <si>
    <t>So</t>
  </si>
  <si>
    <t>Q (m3/s)</t>
  </si>
  <si>
    <t>cota 1</t>
  </si>
  <si>
    <t>1) Profundidad Normal</t>
  </si>
  <si>
    <t>Q_Maning</t>
  </si>
  <si>
    <t>yn</t>
  </si>
  <si>
    <t>2) Profindidad Yc</t>
  </si>
  <si>
    <t>Yc</t>
  </si>
  <si>
    <t>base (m)</t>
  </si>
  <si>
    <t>3)Calcular Kn</t>
  </si>
  <si>
    <t>Kn</t>
  </si>
  <si>
    <t xml:space="preserve">*Solver </t>
  </si>
  <si>
    <t>4). Calculo Zc</t>
  </si>
  <si>
    <t>Zc</t>
  </si>
  <si>
    <t>5) identificar el Perfil y Sección de Control</t>
  </si>
  <si>
    <t>Cota 1+yc</t>
  </si>
  <si>
    <t>Cota 1 + yn</t>
  </si>
  <si>
    <t>Perfil</t>
  </si>
  <si>
    <t>6) Tomar Y1=0.61 m(Sección de control)</t>
  </si>
  <si>
    <t>#</t>
  </si>
  <si>
    <t>P1</t>
  </si>
  <si>
    <t>R1</t>
  </si>
  <si>
    <t>K1</t>
  </si>
  <si>
    <t>Z1</t>
  </si>
  <si>
    <t>y</t>
  </si>
  <si>
    <t>A1 (m2)</t>
  </si>
  <si>
    <t>(dx/dy)</t>
  </si>
  <si>
    <t>Δx</t>
  </si>
  <si>
    <t>cotas</t>
  </si>
  <si>
    <t>L</t>
  </si>
  <si>
    <t>M3</t>
  </si>
  <si>
    <t>*Método integración Gráfica canales rectngulares</t>
  </si>
  <si>
    <t>*Paso Directo</t>
  </si>
  <si>
    <t>*Paso Estándar</t>
  </si>
  <si>
    <t>b</t>
  </si>
  <si>
    <t>m</t>
  </si>
  <si>
    <t>1.1) Calculo yn</t>
  </si>
  <si>
    <t>Yn</t>
  </si>
  <si>
    <t>*mediante Solver</t>
  </si>
  <si>
    <t>Q</t>
  </si>
  <si>
    <t>1.2) Calculo yc</t>
  </si>
  <si>
    <t>yc (m9</t>
  </si>
  <si>
    <t>Q2/g</t>
  </si>
  <si>
    <t>A3/T</t>
  </si>
  <si>
    <t>delta</t>
  </si>
  <si>
    <t>2) Tipo de Perfil</t>
  </si>
  <si>
    <t>Yn&gt;Yc</t>
  </si>
  <si>
    <t>M</t>
  </si>
  <si>
    <t>3) Iniciar por Sc y1=2m</t>
  </si>
  <si>
    <t>yc</t>
  </si>
  <si>
    <t>z (m)</t>
  </si>
  <si>
    <t>A (m2)</t>
  </si>
  <si>
    <t>P</t>
  </si>
  <si>
    <t>R</t>
  </si>
  <si>
    <t>U</t>
  </si>
  <si>
    <t>U2/2g</t>
  </si>
  <si>
    <t>E</t>
  </si>
  <si>
    <t>k1</t>
  </si>
  <si>
    <t>Sf</t>
  </si>
  <si>
    <t>Sf Promedio</t>
  </si>
  <si>
    <t>delta x</t>
  </si>
  <si>
    <r>
      <t>he</t>
    </r>
    <r>
      <rPr>
        <vertAlign val="subscript"/>
        <sz val="11"/>
        <color theme="1"/>
        <rFont val="Calibri"/>
        <family val="2"/>
      </rPr>
      <t>T2-1</t>
    </r>
  </si>
  <si>
    <t>E2</t>
  </si>
  <si>
    <t>E2-E1=0</t>
  </si>
  <si>
    <t>abcisa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</si>
</sst>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0.0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2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7218490-D092-41D0-B8AC-6672A9388E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'Punto I - b'!$J$29:$J$39</c:f>
              <c:numCache>
                <c:formatCode>General</c:formatCode>
                <c:ptCount val="11"/>
                <c:pt idx="0">
                  <c:v>0</c:v>
                </c:pt>
                <c:pt idx="1">
                  <c:v>9.3036835405147258</c:v>
                </c:pt>
                <c:pt idx="2">
                  <c:v>17.958402017808048</c:v>
                </c:pt>
                <c:pt idx="3">
                  <c:v>25.906765030477935</c:v>
                </c:pt>
                <c:pt idx="4">
                  <c:v>33.087419602977675</c:v>
                </c:pt>
                <c:pt idx="5">
                  <c:v>39.433633254449106</c:v>
                </c:pt>
                <c:pt idx="6">
                  <c:v>44.87198533802961</c:v>
                </c:pt>
                <c:pt idx="7">
                  <c:v>49.321044876904438</c:v>
                </c:pt>
                <c:pt idx="8">
                  <c:v>52.689938809880623</c:v>
                </c:pt>
                <c:pt idx="9">
                  <c:v>54.876723857157607</c:v>
                </c:pt>
                <c:pt idx="10">
                  <c:v>55.766472757323086</c:v>
                </c:pt>
              </c:numCache>
            </c:numRef>
          </c:xVal>
          <c:yVal>
            <c:numRef>
              <c:f>'Punto I - b'!$K$29:$K$39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4-4D6E-9C25-E9B2691C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05151"/>
        <c:axId val="1073208895"/>
      </c:scatterChart>
      <c:valAx>
        <c:axId val="107320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208895"/>
        <c:crosses val="autoZero"/>
        <c:crossBetween val="midCat"/>
      </c:valAx>
      <c:valAx>
        <c:axId val="10732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20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11</xdr:row>
      <xdr:rowOff>45720</xdr:rowOff>
    </xdr:from>
    <xdr:to>
      <xdr:col>13</xdr:col>
      <xdr:colOff>360045</xdr:colOff>
      <xdr:row>25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266466-7862-2D1D-394F-9E03E8DB2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530860</xdr:colOff>
      <xdr:row>0</xdr:row>
      <xdr:rowOff>0</xdr:rowOff>
    </xdr:from>
    <xdr:to>
      <xdr:col>15</xdr:col>
      <xdr:colOff>874395</xdr:colOff>
      <xdr:row>24</xdr:row>
      <xdr:rowOff>166211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C302C2-EE3A-4721-82F6-EDB90150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8310" y="0"/>
          <a:ext cx="5934710" cy="473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B09E-1FFF-44F7-9B56-3476D4D7A6C4}">
  <dimension ref="A1:K39"/>
  <sheetViews>
    <sheetView topLeftCell="A26" workbookViewId="0">
      <selection activeCell="A40" sqref="A40"/>
    </sheetView>
  </sheetViews>
  <sheetFormatPr baseColWidth="10" defaultRowHeight="15" x14ac:dyDescent="0.25"/>
  <sheetData>
    <row r="1" spans="3:5" x14ac:dyDescent="0.25">
      <c r="C1" t="s">
        <v>2</v>
      </c>
      <c r="D1">
        <v>3.8</v>
      </c>
    </row>
    <row r="2" spans="3:5" x14ac:dyDescent="0.25">
      <c r="C2" t="s">
        <v>0</v>
      </c>
      <c r="D2">
        <v>1.2999999999999999E-2</v>
      </c>
    </row>
    <row r="3" spans="3:5" x14ac:dyDescent="0.25">
      <c r="C3" t="s">
        <v>1</v>
      </c>
      <c r="D3">
        <v>1E-3</v>
      </c>
    </row>
    <row r="4" spans="3:5" x14ac:dyDescent="0.25">
      <c r="C4" t="s">
        <v>3</v>
      </c>
      <c r="D4">
        <v>0</v>
      </c>
    </row>
    <row r="6" spans="3:5" x14ac:dyDescent="0.25">
      <c r="C6" t="s">
        <v>9</v>
      </c>
      <c r="D6">
        <v>1.2</v>
      </c>
    </row>
    <row r="7" spans="3:5" x14ac:dyDescent="0.25">
      <c r="C7" t="s">
        <v>4</v>
      </c>
    </row>
    <row r="8" spans="3:5" x14ac:dyDescent="0.25">
      <c r="C8" t="s">
        <v>5</v>
      </c>
    </row>
    <row r="9" spans="3:5" x14ac:dyDescent="0.25">
      <c r="C9" t="s">
        <v>6</v>
      </c>
      <c r="D9" s="1">
        <v>2.1555</v>
      </c>
      <c r="E9" s="1" t="s">
        <v>12</v>
      </c>
    </row>
    <row r="11" spans="3:5" x14ac:dyDescent="0.25">
      <c r="C11" t="s">
        <v>7</v>
      </c>
    </row>
    <row r="12" spans="3:5" x14ac:dyDescent="0.25">
      <c r="C12" t="s">
        <v>8</v>
      </c>
      <c r="D12">
        <f>+(((D1/D6)^2)/9.81)^(1/3)</f>
        <v>1.0073457641559331</v>
      </c>
    </row>
    <row r="14" spans="3:5" x14ac:dyDescent="0.25">
      <c r="C14" t="s">
        <v>10</v>
      </c>
    </row>
    <row r="15" spans="3:5" x14ac:dyDescent="0.25">
      <c r="C15" t="s">
        <v>11</v>
      </c>
      <c r="D15">
        <f>+(D6*D9)*((D6*D9)/(D6+2*D9))^(2/3)</f>
        <v>1.5621707963034264</v>
      </c>
    </row>
    <row r="17" spans="1:11" x14ac:dyDescent="0.25">
      <c r="C17" t="s">
        <v>13</v>
      </c>
    </row>
    <row r="18" spans="1:11" x14ac:dyDescent="0.25">
      <c r="C18" t="s">
        <v>14</v>
      </c>
      <c r="D18" s="2">
        <f>+(D6*D12)*SQRT(D12)</f>
        <v>1.2132466279467915</v>
      </c>
    </row>
    <row r="20" spans="1:11" x14ac:dyDescent="0.25">
      <c r="C20" t="s">
        <v>15</v>
      </c>
    </row>
    <row r="22" spans="1:11" x14ac:dyDescent="0.25">
      <c r="C22" t="s">
        <v>16</v>
      </c>
      <c r="D22" s="2">
        <f>+D4+D12</f>
        <v>1.0073457641559331</v>
      </c>
    </row>
    <row r="24" spans="1:11" x14ac:dyDescent="0.25">
      <c r="C24" t="s">
        <v>17</v>
      </c>
      <c r="D24">
        <f>+D4+D9</f>
        <v>2.1555</v>
      </c>
    </row>
    <row r="25" spans="1:11" x14ac:dyDescent="0.25">
      <c r="C25" t="s">
        <v>18</v>
      </c>
      <c r="D25" t="s">
        <v>31</v>
      </c>
    </row>
    <row r="27" spans="1:11" x14ac:dyDescent="0.25">
      <c r="C27" t="s">
        <v>19</v>
      </c>
    </row>
    <row r="28" spans="1:11" x14ac:dyDescent="0.25">
      <c r="A28" s="3" t="s">
        <v>20</v>
      </c>
      <c r="B28" s="4" t="s">
        <v>25</v>
      </c>
      <c r="C28" s="4" t="s">
        <v>26</v>
      </c>
      <c r="D28" s="4" t="s">
        <v>21</v>
      </c>
      <c r="E28" s="4" t="s">
        <v>22</v>
      </c>
      <c r="F28" s="4" t="s">
        <v>23</v>
      </c>
      <c r="G28" s="4" t="s">
        <v>24</v>
      </c>
      <c r="H28" s="4" t="s">
        <v>27</v>
      </c>
      <c r="I28" s="5" t="s">
        <v>28</v>
      </c>
      <c r="J28" s="6" t="s">
        <v>30</v>
      </c>
      <c r="K28" s="6" t="s">
        <v>29</v>
      </c>
    </row>
    <row r="29" spans="1:11" x14ac:dyDescent="0.25">
      <c r="A29" s="3">
        <v>1</v>
      </c>
      <c r="B29" s="4">
        <v>0.5</v>
      </c>
      <c r="C29" s="4">
        <f>+$D$6*B29</f>
        <v>0.6</v>
      </c>
      <c r="D29" s="4">
        <f>+$D$6+2*B29</f>
        <v>2.2000000000000002</v>
      </c>
      <c r="E29" s="4">
        <f>+C29/D29</f>
        <v>0.27272727272727271</v>
      </c>
      <c r="F29" s="4">
        <f>+(C29)*E29^(2/3)</f>
        <v>0.25233081868269497</v>
      </c>
      <c r="G29" s="4">
        <f>+C29*SQRT(B29)</f>
        <v>0.42426406871192851</v>
      </c>
      <c r="H29" s="4">
        <f>+(1-($D$18/G29)^2)/($D$3*(1-($D$15/F29)^2))</f>
        <v>192.2843934368737</v>
      </c>
      <c r="I29" s="4"/>
      <c r="J29" s="7">
        <v>0</v>
      </c>
      <c r="K29" s="7">
        <f>+B29+$D$4</f>
        <v>0.5</v>
      </c>
    </row>
    <row r="30" spans="1:11" x14ac:dyDescent="0.25">
      <c r="A30" s="3">
        <v>2</v>
      </c>
      <c r="B30" s="4">
        <v>0.55000000000000004</v>
      </c>
      <c r="C30" s="4">
        <f>+$D$6*B30</f>
        <v>0.66</v>
      </c>
      <c r="D30" s="4">
        <f>+$D$6+2*B30</f>
        <v>2.2999999999999998</v>
      </c>
      <c r="E30" s="4">
        <f>+C30/D30</f>
        <v>0.28695652173913044</v>
      </c>
      <c r="F30" s="4">
        <f>+(C30)*E30^(2/3)</f>
        <v>0.28713623525262472</v>
      </c>
      <c r="G30" s="4">
        <f>+C30*SQRT(B30)</f>
        <v>0.4894691001483138</v>
      </c>
      <c r="H30" s="4">
        <f>+(1-($D$18/G30)^2)/($D$3*(1-($D$15/F30)^2))</f>
        <v>179.86294818371502</v>
      </c>
      <c r="I30" s="4">
        <f>+((H30+H29)/2)*(B30-B29)</f>
        <v>9.3036835405147258</v>
      </c>
      <c r="J30" s="7">
        <f t="shared" ref="J30:J39" si="0">+J29+I30</f>
        <v>9.3036835405147258</v>
      </c>
      <c r="K30" s="7">
        <f t="shared" ref="K30:K39" si="1">+B30+$D$4</f>
        <v>0.55000000000000004</v>
      </c>
    </row>
    <row r="31" spans="1:11" x14ac:dyDescent="0.25">
      <c r="A31" s="3">
        <v>3</v>
      </c>
      <c r="B31" s="4">
        <v>0.6</v>
      </c>
      <c r="C31" s="4">
        <f>+$D$6*B31</f>
        <v>0.72</v>
      </c>
      <c r="D31" s="4">
        <f>+$D$6+2*B31</f>
        <v>2.4</v>
      </c>
      <c r="E31" s="4">
        <f>+C31/D31</f>
        <v>0.3</v>
      </c>
      <c r="F31" s="4">
        <f>+(C31)*E31^(2/3)</f>
        <v>0.3226611417521158</v>
      </c>
      <c r="G31" s="4">
        <f>+C31*SQRT(B31)</f>
        <v>0.55770960185386798</v>
      </c>
      <c r="H31" s="4">
        <f>+(1-($D$18/G31)^2)/($D$3*(1-($D$15/F31)^2))</f>
        <v>166.3257909080184</v>
      </c>
      <c r="I31" s="4">
        <f>+((H31+H30)/2)*(B31-B30)</f>
        <v>8.6547184772933239</v>
      </c>
      <c r="J31" s="7">
        <f t="shared" si="0"/>
        <v>17.958402017808048</v>
      </c>
      <c r="K31" s="7">
        <f t="shared" si="1"/>
        <v>0.6</v>
      </c>
    </row>
    <row r="32" spans="1:11" x14ac:dyDescent="0.25">
      <c r="A32" s="3">
        <v>4</v>
      </c>
      <c r="B32" s="4">
        <v>0.65</v>
      </c>
      <c r="C32" s="4">
        <f>+$D$6*B32</f>
        <v>0.78</v>
      </c>
      <c r="D32" s="4">
        <f>+$D$6+2*B32</f>
        <v>2.5</v>
      </c>
      <c r="E32" s="4">
        <f>+C32/D32</f>
        <v>0.312</v>
      </c>
      <c r="F32" s="4">
        <f>+(C32)*E32^(2/3)</f>
        <v>0.35880982959838309</v>
      </c>
      <c r="G32" s="4">
        <f>+C32*SQRT(B32)</f>
        <v>0.62885610436728689</v>
      </c>
      <c r="H32" s="4">
        <f>+(1-($D$18/G32)^2)/($D$3*(1-($D$15/F32)^2))</f>
        <v>151.60872959877682</v>
      </c>
      <c r="I32" s="4">
        <f>+((H32+H31)/2)*(B32-B31)</f>
        <v>7.9483630126698888</v>
      </c>
      <c r="J32" s="7">
        <f t="shared" si="0"/>
        <v>25.906765030477935</v>
      </c>
      <c r="K32" s="7">
        <f t="shared" si="1"/>
        <v>0.65</v>
      </c>
    </row>
    <row r="33" spans="1:11" x14ac:dyDescent="0.25">
      <c r="A33" s="3">
        <v>5</v>
      </c>
      <c r="B33" s="4">
        <v>0.7</v>
      </c>
      <c r="C33" s="4">
        <f t="shared" ref="C33:C39" si="2">+$D$6*B33</f>
        <v>0.84</v>
      </c>
      <c r="D33" s="4">
        <f t="shared" ref="D33:D39" si="3">+$D$6+2*B33</f>
        <v>2.5999999999999996</v>
      </c>
      <c r="E33" s="4">
        <f t="shared" ref="E33:E39" si="4">+C33/D33</f>
        <v>0.32307692307692309</v>
      </c>
      <c r="F33" s="4">
        <f t="shared" ref="F33:F39" si="5">+(C33)*E33^(2/3)</f>
        <v>0.39550311781057557</v>
      </c>
      <c r="G33" s="4">
        <f t="shared" ref="G33:G39" si="6">+C33*SQRT(B33)</f>
        <v>0.70279442228862343</v>
      </c>
      <c r="H33" s="4">
        <f t="shared" ref="H33:H39" si="7">+(1-($D$18/G33)^2)/($D$3*(1-($D$15/F33)^2))</f>
        <v>135.61745330121329</v>
      </c>
      <c r="I33" s="4">
        <f t="shared" ref="I33:I39" si="8">+((H33+H32)/2)*(B33-B32)</f>
        <v>7.1806545724997441</v>
      </c>
      <c r="J33" s="7">
        <f t="shared" si="0"/>
        <v>33.087419602977675</v>
      </c>
      <c r="K33" s="7">
        <f t="shared" si="1"/>
        <v>0.7</v>
      </c>
    </row>
    <row r="34" spans="1:11" x14ac:dyDescent="0.25">
      <c r="A34" s="3">
        <v>6</v>
      </c>
      <c r="B34" s="4">
        <v>0.75</v>
      </c>
      <c r="C34" s="4">
        <f t="shared" si="2"/>
        <v>0.89999999999999991</v>
      </c>
      <c r="D34" s="4">
        <f t="shared" si="3"/>
        <v>2.7</v>
      </c>
      <c r="E34" s="4">
        <f t="shared" si="4"/>
        <v>0.33333333333333326</v>
      </c>
      <c r="F34" s="4">
        <f t="shared" si="5"/>
        <v>0.43267487109222236</v>
      </c>
      <c r="G34" s="4">
        <f t="shared" si="6"/>
        <v>0.77942286340599465</v>
      </c>
      <c r="H34" s="4">
        <f t="shared" si="7"/>
        <v>118.23109275764359</v>
      </c>
      <c r="I34" s="4">
        <f t="shared" si="8"/>
        <v>6.3462136514714276</v>
      </c>
      <c r="J34" s="7">
        <f t="shared" si="0"/>
        <v>39.433633254449106</v>
      </c>
      <c r="K34" s="7">
        <f t="shared" si="1"/>
        <v>0.75</v>
      </c>
    </row>
    <row r="35" spans="1:11" x14ac:dyDescent="0.25">
      <c r="A35" s="3">
        <v>7</v>
      </c>
      <c r="B35" s="4">
        <v>0.8</v>
      </c>
      <c r="C35" s="4">
        <f t="shared" si="2"/>
        <v>0.96</v>
      </c>
      <c r="D35" s="4">
        <f t="shared" si="3"/>
        <v>2.8</v>
      </c>
      <c r="E35" s="4">
        <f t="shared" si="4"/>
        <v>0.34285714285714286</v>
      </c>
      <c r="F35" s="4">
        <f t="shared" si="5"/>
        <v>0.47026937868690627</v>
      </c>
      <c r="G35" s="4">
        <f t="shared" si="6"/>
        <v>0.8586501033599192</v>
      </c>
      <c r="H35" s="4">
        <f t="shared" si="7"/>
        <v>99.302990585576396</v>
      </c>
      <c r="I35" s="4">
        <f t="shared" si="8"/>
        <v>5.4383520835805053</v>
      </c>
      <c r="J35" s="7">
        <f t="shared" si="0"/>
        <v>44.87198533802961</v>
      </c>
      <c r="K35" s="7">
        <f t="shared" si="1"/>
        <v>0.8</v>
      </c>
    </row>
    <row r="36" spans="1:11" x14ac:dyDescent="0.25">
      <c r="A36" s="3">
        <v>8</v>
      </c>
      <c r="B36" s="4">
        <v>0.85</v>
      </c>
      <c r="C36" s="4">
        <f t="shared" si="2"/>
        <v>1.02</v>
      </c>
      <c r="D36" s="4">
        <f t="shared" si="3"/>
        <v>2.9</v>
      </c>
      <c r="E36" s="4">
        <f t="shared" si="4"/>
        <v>0.35172413793103452</v>
      </c>
      <c r="F36" s="4">
        <f t="shared" si="5"/>
        <v>0.50823935090468364</v>
      </c>
      <c r="G36" s="4">
        <f t="shared" si="6"/>
        <v>0.94039353464387454</v>
      </c>
      <c r="H36" s="4">
        <f t="shared" si="7"/>
        <v>78.659390969416791</v>
      </c>
      <c r="I36" s="4">
        <f t="shared" si="8"/>
        <v>4.449059538874824</v>
      </c>
      <c r="J36" s="7">
        <f t="shared" si="0"/>
        <v>49.321044876904438</v>
      </c>
      <c r="K36" s="7">
        <f t="shared" si="1"/>
        <v>0.85</v>
      </c>
    </row>
    <row r="37" spans="1:11" x14ac:dyDescent="0.25">
      <c r="A37" s="3">
        <v>9</v>
      </c>
      <c r="B37" s="4">
        <v>0.9</v>
      </c>
      <c r="C37" s="4">
        <f t="shared" si="2"/>
        <v>1.08</v>
      </c>
      <c r="D37" s="4">
        <f t="shared" si="3"/>
        <v>3</v>
      </c>
      <c r="E37" s="4">
        <f t="shared" si="4"/>
        <v>0.36000000000000004</v>
      </c>
      <c r="F37" s="4">
        <f t="shared" si="5"/>
        <v>0.54654436711553356</v>
      </c>
      <c r="G37" s="4">
        <f t="shared" si="6"/>
        <v>1.024577961894555</v>
      </c>
      <c r="H37" s="4">
        <f t="shared" si="7"/>
        <v>56.096366349630628</v>
      </c>
      <c r="I37" s="4">
        <f t="shared" si="8"/>
        <v>3.3688939329761882</v>
      </c>
      <c r="J37" s="7">
        <f t="shared" si="0"/>
        <v>52.689938809880623</v>
      </c>
      <c r="K37" s="7">
        <f t="shared" si="1"/>
        <v>0.9</v>
      </c>
    </row>
    <row r="38" spans="1:11" x14ac:dyDescent="0.25">
      <c r="A38" s="3">
        <v>10</v>
      </c>
      <c r="B38" s="4">
        <v>0.95</v>
      </c>
      <c r="C38" s="4">
        <f t="shared" si="2"/>
        <v>1.1399999999999999</v>
      </c>
      <c r="D38" s="4">
        <f t="shared" si="3"/>
        <v>3.0999999999999996</v>
      </c>
      <c r="E38" s="4">
        <f t="shared" si="4"/>
        <v>0.36774193548387096</v>
      </c>
      <c r="F38" s="4">
        <f t="shared" si="5"/>
        <v>0.58514965907881733</v>
      </c>
      <c r="G38" s="4">
        <f t="shared" si="6"/>
        <v>1.1111345553082217</v>
      </c>
      <c r="H38" s="4">
        <f t="shared" si="7"/>
        <v>31.375035541448824</v>
      </c>
      <c r="I38" s="4">
        <f t="shared" si="8"/>
        <v>2.1867850472769832</v>
      </c>
      <c r="J38" s="7">
        <f t="shared" si="0"/>
        <v>54.876723857157607</v>
      </c>
      <c r="K38" s="7">
        <f t="shared" si="1"/>
        <v>0.95</v>
      </c>
    </row>
    <row r="39" spans="1:11" x14ac:dyDescent="0.25">
      <c r="A39" s="3">
        <v>11</v>
      </c>
      <c r="B39" s="4">
        <v>1</v>
      </c>
      <c r="C39" s="4">
        <f t="shared" si="2"/>
        <v>1.2</v>
      </c>
      <c r="D39" s="4">
        <f t="shared" si="3"/>
        <v>3.2</v>
      </c>
      <c r="E39" s="4">
        <f t="shared" si="4"/>
        <v>0.37499999999999994</v>
      </c>
      <c r="F39" s="4">
        <f t="shared" si="5"/>
        <v>0.6240251469155712</v>
      </c>
      <c r="G39" s="4">
        <f t="shared" si="6"/>
        <v>1.2</v>
      </c>
      <c r="H39" s="4">
        <f t="shared" si="7"/>
        <v>4.2149204651701959</v>
      </c>
      <c r="I39" s="4">
        <f t="shared" si="8"/>
        <v>0.88974890016547625</v>
      </c>
      <c r="J39" s="7">
        <f t="shared" si="0"/>
        <v>55.766472757323086</v>
      </c>
      <c r="K39" s="7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E517-3DB8-4BC7-8D92-C7808F92EA75}">
  <dimension ref="B1:T227"/>
  <sheetViews>
    <sheetView tabSelected="1" topLeftCell="A26" zoomScale="85" zoomScaleNormal="85" workbookViewId="0">
      <selection activeCell="E28" sqref="E28"/>
    </sheetView>
  </sheetViews>
  <sheetFormatPr baseColWidth="10" defaultRowHeight="15" x14ac:dyDescent="0.25"/>
  <cols>
    <col min="3" max="6" width="11.7109375" bestFit="1" customWidth="1"/>
    <col min="7" max="7" width="12.5703125" bestFit="1" customWidth="1"/>
    <col min="8" max="12" width="11.7109375" bestFit="1" customWidth="1"/>
    <col min="13" max="13" width="13.5703125" bestFit="1" customWidth="1"/>
    <col min="14" max="15" width="11.7109375" bestFit="1" customWidth="1"/>
    <col min="16" max="16" width="13.5703125" bestFit="1" customWidth="1"/>
    <col min="17" max="18" width="11.7109375" bestFit="1" customWidth="1"/>
    <col min="19" max="19" width="12.28515625" bestFit="1" customWidth="1"/>
  </cols>
  <sheetData>
    <row r="1" spans="2:4" x14ac:dyDescent="0.25">
      <c r="C1" t="s">
        <v>32</v>
      </c>
    </row>
    <row r="2" spans="2:4" x14ac:dyDescent="0.25">
      <c r="C2" t="s">
        <v>33</v>
      </c>
    </row>
    <row r="3" spans="2:4" x14ac:dyDescent="0.25">
      <c r="C3" t="s">
        <v>34</v>
      </c>
    </row>
    <row r="5" spans="2:4" x14ac:dyDescent="0.25">
      <c r="B5" t="s">
        <v>2</v>
      </c>
      <c r="C5">
        <v>3.8</v>
      </c>
    </row>
    <row r="6" spans="2:4" x14ac:dyDescent="0.25">
      <c r="B6" t="s">
        <v>0</v>
      </c>
      <c r="C6">
        <v>1.2999999999999999E-2</v>
      </c>
    </row>
    <row r="7" spans="2:4" x14ac:dyDescent="0.25">
      <c r="B7" t="s">
        <v>1</v>
      </c>
      <c r="C7">
        <v>1E-3</v>
      </c>
    </row>
    <row r="8" spans="2:4" x14ac:dyDescent="0.25">
      <c r="B8" t="s">
        <v>35</v>
      </c>
      <c r="C8">
        <v>1.2</v>
      </c>
    </row>
    <row r="9" spans="2:4" x14ac:dyDescent="0.25">
      <c r="B9" t="s">
        <v>36</v>
      </c>
      <c r="C9">
        <v>0</v>
      </c>
    </row>
    <row r="11" spans="2:4" x14ac:dyDescent="0.25">
      <c r="B11" t="s">
        <v>37</v>
      </c>
    </row>
    <row r="12" spans="2:4" x14ac:dyDescent="0.25">
      <c r="B12" t="s">
        <v>38</v>
      </c>
      <c r="C12">
        <v>2.1555</v>
      </c>
      <c r="D12" t="s">
        <v>39</v>
      </c>
    </row>
    <row r="13" spans="2:4" x14ac:dyDescent="0.25">
      <c r="B13" t="s">
        <v>40</v>
      </c>
      <c r="C13" s="8">
        <f>+(1/C6)*SQRT(C7)*(((C8*C12+C9*C12^2)^(5/3))/((C8+2*C12*SQRT(C9^2+1))^(2/3)))</f>
        <v>3.8000137003982863</v>
      </c>
    </row>
    <row r="15" spans="2:4" x14ac:dyDescent="0.25">
      <c r="B15" t="s">
        <v>41</v>
      </c>
    </row>
    <row r="16" spans="2:4" x14ac:dyDescent="0.25">
      <c r="B16" t="s">
        <v>42</v>
      </c>
      <c r="C16" s="9">
        <v>1.0073413719557953</v>
      </c>
    </row>
    <row r="17" spans="2:20" x14ac:dyDescent="0.25">
      <c r="B17" t="s">
        <v>43</v>
      </c>
      <c r="C17" s="9">
        <f>+(C5^2)/9.81</f>
        <v>1.4719673802242608</v>
      </c>
    </row>
    <row r="18" spans="2:20" x14ac:dyDescent="0.25">
      <c r="B18" t="s">
        <v>44</v>
      </c>
      <c r="C18" s="9">
        <f>+((C8*C16+C9*C16^2)^3)/(C8+2*C9*C16)</f>
        <v>1.4719481262182252</v>
      </c>
    </row>
    <row r="19" spans="2:20" x14ac:dyDescent="0.25">
      <c r="B19" t="s">
        <v>45</v>
      </c>
      <c r="C19" s="9">
        <f>+C17-C18</f>
        <v>1.9254006035529514E-5</v>
      </c>
    </row>
    <row r="22" spans="2:20" x14ac:dyDescent="0.25">
      <c r="B22" t="s">
        <v>46</v>
      </c>
    </row>
    <row r="23" spans="2:20" x14ac:dyDescent="0.25">
      <c r="B23" t="s">
        <v>47</v>
      </c>
      <c r="C23" t="s">
        <v>48</v>
      </c>
    </row>
    <row r="26" spans="2:20" x14ac:dyDescent="0.25">
      <c r="B26" t="s">
        <v>49</v>
      </c>
      <c r="F26" s="10"/>
    </row>
    <row r="27" spans="2:20" x14ac:dyDescent="0.25">
      <c r="F27" s="10"/>
    </row>
    <row r="28" spans="2:20" ht="18" x14ac:dyDescent="0.35">
      <c r="B28" s="4" t="s">
        <v>20</v>
      </c>
      <c r="C28" s="4" t="s">
        <v>50</v>
      </c>
      <c r="D28" s="4" t="s">
        <v>6</v>
      </c>
      <c r="E28" s="4" t="s">
        <v>25</v>
      </c>
      <c r="F28" s="4" t="s">
        <v>51</v>
      </c>
      <c r="G28" s="4" t="s">
        <v>52</v>
      </c>
      <c r="H28" s="4" t="s">
        <v>53</v>
      </c>
      <c r="I28" s="4" t="s">
        <v>54</v>
      </c>
      <c r="J28" s="4" t="s">
        <v>55</v>
      </c>
      <c r="K28" s="4" t="s">
        <v>56</v>
      </c>
      <c r="L28" s="4" t="s">
        <v>57</v>
      </c>
      <c r="M28" s="5" t="s">
        <v>58</v>
      </c>
      <c r="N28" s="6" t="s">
        <v>59</v>
      </c>
      <c r="O28" s="5" t="s">
        <v>60</v>
      </c>
      <c r="P28" s="5" t="s">
        <v>61</v>
      </c>
      <c r="Q28" s="6" t="s">
        <v>62</v>
      </c>
      <c r="R28" s="6" t="s">
        <v>63</v>
      </c>
      <c r="S28" s="6" t="s">
        <v>64</v>
      </c>
      <c r="T28" s="5" t="s">
        <v>65</v>
      </c>
    </row>
    <row r="29" spans="2:20" x14ac:dyDescent="0.25">
      <c r="B29">
        <v>1</v>
      </c>
      <c r="C29" s="10">
        <f>+$C$16</f>
        <v>1.0073413719557953</v>
      </c>
      <c r="D29" s="10">
        <f>+$C$12</f>
        <v>2.1555</v>
      </c>
      <c r="E29" s="10">
        <v>2.15</v>
      </c>
      <c r="F29" s="10">
        <v>0</v>
      </c>
      <c r="G29" s="10">
        <f>+$C$8*E29+$C$9*E29^2</f>
        <v>2.5799999999999996</v>
      </c>
      <c r="H29" s="10">
        <f>+$C$8+2*E29*SQRT($C$9^2+1)</f>
        <v>5.5</v>
      </c>
      <c r="I29" s="10">
        <f>+G29/H29</f>
        <v>0.469090909090909</v>
      </c>
      <c r="J29" s="10">
        <f>+$C$5/G29</f>
        <v>1.4728682170542637</v>
      </c>
      <c r="K29" s="10">
        <f>+(J29^2)/(2*9.81)</f>
        <v>0.11056782797189631</v>
      </c>
      <c r="L29" s="10">
        <f>+E29+K29+F29</f>
        <v>2.2605678279718964</v>
      </c>
      <c r="M29" s="10">
        <f>+(1/$C$6)*G29*I29^(2/3)</f>
        <v>119.81587525892027</v>
      </c>
      <c r="N29" s="10">
        <f>+($C$5/M29)^2</f>
        <v>1.0058621447927084E-3</v>
      </c>
      <c r="O29" s="10"/>
      <c r="P29" s="10"/>
      <c r="Q29" s="10"/>
      <c r="R29" s="10"/>
      <c r="S29" s="10"/>
    </row>
    <row r="30" spans="2:20" x14ac:dyDescent="0.25">
      <c r="B30">
        <v>2</v>
      </c>
      <c r="C30" s="10">
        <f>+$C$16</f>
        <v>1.0073413719557953</v>
      </c>
      <c r="D30" s="10">
        <f>+$C$12</f>
        <v>2.1555</v>
      </c>
      <c r="E30" s="10">
        <v>2.149</v>
      </c>
      <c r="F30" s="10">
        <f>+P30*$C$7</f>
        <v>0.188</v>
      </c>
      <c r="G30" s="10">
        <f>+$C$8*E30+$C$9*E30^2</f>
        <v>2.5787999999999998</v>
      </c>
      <c r="H30" s="10">
        <f>+$C$8+2*E30*SQRT($C$9^2+1)</f>
        <v>5.4980000000000002</v>
      </c>
      <c r="I30" s="10">
        <f>+G30/H30</f>
        <v>0.46904328846853394</v>
      </c>
      <c r="J30" s="10">
        <f>+$C$5/G30</f>
        <v>1.4735535908174346</v>
      </c>
      <c r="K30" s="10">
        <f>+(J30^2)/(2*9.81)</f>
        <v>0.11067075356834634</v>
      </c>
      <c r="L30" s="10">
        <f>+E30+K30+F30</f>
        <v>2.4476707535683464</v>
      </c>
      <c r="M30" s="10">
        <f>+(1/$C$6)*G30*I30^(2/3)</f>
        <v>119.75204169400236</v>
      </c>
      <c r="N30" s="10">
        <f>+($C$5/M30)^2</f>
        <v>1.0069347758479223E-3</v>
      </c>
      <c r="O30" s="10">
        <f>+(N30+N29)/2</f>
        <v>1.0063984603203152E-3</v>
      </c>
      <c r="P30" s="10">
        <v>188</v>
      </c>
      <c r="Q30" s="10">
        <f>+O30*P30</f>
        <v>0.18920291054021926</v>
      </c>
      <c r="R30" s="10">
        <f>+L29+Q30</f>
        <v>2.4497707385121155</v>
      </c>
      <c r="S30" s="10">
        <f>+R30-L30</f>
        <v>2.0999849437690621E-3</v>
      </c>
    </row>
    <row r="31" spans="2:20" x14ac:dyDescent="0.25">
      <c r="B31">
        <v>3</v>
      </c>
      <c r="C31" s="10">
        <f t="shared" ref="C31:C94" si="0">+$C$16</f>
        <v>1.0073413719557953</v>
      </c>
      <c r="D31" s="10">
        <f t="shared" ref="D31:D94" si="1">+$C$12</f>
        <v>2.1555</v>
      </c>
      <c r="E31" s="10">
        <v>2.1480000000000001</v>
      </c>
      <c r="F31" s="10">
        <f>+P31*$C$7+F30</f>
        <v>0.42300000000000004</v>
      </c>
      <c r="G31" s="10">
        <f>+$C$8*E31+$C$9*E31^2</f>
        <v>2.5775999999999999</v>
      </c>
      <c r="H31" s="10">
        <f>+$C$8+2*E31*SQRT($C$9^2+1)</f>
        <v>5.4960000000000004</v>
      </c>
      <c r="I31" s="10">
        <f t="shared" ref="I31:I32" si="2">+G31/H31</f>
        <v>0.46899563318777288</v>
      </c>
      <c r="J31" s="10">
        <f t="shared" ref="J31:J32" si="3">+$C$5/G31</f>
        <v>1.4742396027312228</v>
      </c>
      <c r="K31" s="10">
        <f t="shared" ref="K31:K32" si="4">+(J31^2)/(2*9.81)</f>
        <v>0.11077382294908836</v>
      </c>
      <c r="L31" s="10">
        <f>+E31+K31+F31</f>
        <v>2.6817738229490886</v>
      </c>
      <c r="M31" s="10">
        <f t="shared" ref="M31:M32" si="5">+(1/$C$6)*G31*I31^(2/3)</f>
        <v>119.68820950161073</v>
      </c>
      <c r="N31" s="10">
        <f t="shared" ref="N31:N32" si="6">+($C$5/M31)^2</f>
        <v>1.0080091004477918E-3</v>
      </c>
      <c r="O31" s="10">
        <f t="shared" ref="O31:O32" si="7">+(N31+N30)/2</f>
        <v>1.0074719381478569E-3</v>
      </c>
      <c r="P31" s="10">
        <f>423-P30</f>
        <v>235</v>
      </c>
      <c r="Q31" s="10">
        <f>+O31*P31</f>
        <v>0.23675590546474637</v>
      </c>
      <c r="R31" s="10">
        <f>+L30+Q31</f>
        <v>2.6844266590330927</v>
      </c>
      <c r="S31" s="10">
        <f>+R31-L31</f>
        <v>2.6528360840041287E-3</v>
      </c>
    </row>
    <row r="32" spans="2:20" x14ac:dyDescent="0.25">
      <c r="B32" s="1">
        <v>4</v>
      </c>
      <c r="C32" s="11">
        <f t="shared" si="0"/>
        <v>1.0073413719557953</v>
      </c>
      <c r="D32" s="11">
        <f t="shared" si="1"/>
        <v>2.1555</v>
      </c>
      <c r="E32" s="11">
        <v>2.1469999999999998</v>
      </c>
      <c r="F32" s="11">
        <f>+P32*$C$7+F31</f>
        <v>0.93600000000000005</v>
      </c>
      <c r="G32" s="10">
        <f>+$C$8*E32+$C$9*E32^2</f>
        <v>2.5763999999999996</v>
      </c>
      <c r="H32" s="10">
        <f>+$C$8+2*E32*SQRT($C$9^2+1)</f>
        <v>5.4939999999999998</v>
      </c>
      <c r="I32" s="10">
        <f t="shared" si="2"/>
        <v>0.46894794321077532</v>
      </c>
      <c r="J32" s="10">
        <f t="shared" si="3"/>
        <v>1.4749262536873158</v>
      </c>
      <c r="K32" s="10">
        <f t="shared" si="4"/>
        <v>0.11087703638206423</v>
      </c>
      <c r="L32" s="10">
        <f>+E32+K32+F32</f>
        <v>3.1938770363820641</v>
      </c>
      <c r="M32" s="10">
        <f t="shared" si="5"/>
        <v>119.62437868329081</v>
      </c>
      <c r="N32" s="10">
        <f t="shared" si="6"/>
        <v>1.0090851221202961E-3</v>
      </c>
      <c r="O32" s="10">
        <f t="shared" si="7"/>
        <v>1.0085471112840439E-3</v>
      </c>
      <c r="P32" s="10">
        <f>748-P31</f>
        <v>513</v>
      </c>
      <c r="Q32" s="10">
        <f>+O32*P32</f>
        <v>0.51738466808871453</v>
      </c>
      <c r="R32" s="10">
        <f>+L31+Q32</f>
        <v>3.199158491037803</v>
      </c>
      <c r="S32" s="10">
        <f>+R32-L32</f>
        <v>5.2814546557389264E-3</v>
      </c>
    </row>
    <row r="33" spans="2:19" x14ac:dyDescent="0.25">
      <c r="B33">
        <v>5</v>
      </c>
      <c r="C33" s="10">
        <f t="shared" si="0"/>
        <v>1.0073413719557953</v>
      </c>
      <c r="D33" s="10">
        <f t="shared" si="1"/>
        <v>2.1555</v>
      </c>
      <c r="E33" s="10">
        <v>2.1459999999999999</v>
      </c>
      <c r="F33" s="10">
        <f t="shared" ref="F33:F39" si="8">+P33*$C$7+F32</f>
        <v>1.171</v>
      </c>
      <c r="G33" s="10">
        <f t="shared" ref="G33:G39" si="9">+$C$8*E33+$C$9*E33^2</f>
        <v>2.5751999999999997</v>
      </c>
      <c r="H33" s="10">
        <f t="shared" ref="H33:H39" si="10">+$C$8+2*E33*SQRT($C$9^2+1)</f>
        <v>5.492</v>
      </c>
      <c r="I33" s="10">
        <f t="shared" ref="I33:I39" si="11">+G33/H33</f>
        <v>0.46890021849963576</v>
      </c>
      <c r="J33" s="10">
        <f t="shared" ref="J33:J39" si="12">+$C$5/G33</f>
        <v>1.4756135445790619</v>
      </c>
      <c r="K33" s="10">
        <f t="shared" ref="K33:K39" si="13">+(J33^2)/(2*9.81)</f>
        <v>0.1109803941358401</v>
      </c>
      <c r="L33" s="10">
        <f t="shared" ref="L33:L39" si="14">+E33+K33+F33</f>
        <v>3.4279803941358402</v>
      </c>
      <c r="M33" s="10">
        <f t="shared" ref="M33:M39" si="15">+(1/$C$6)*G33*I33^(2/3)</f>
        <v>119.56054924059048</v>
      </c>
      <c r="N33" s="10">
        <f t="shared" ref="N33:N39" si="16">+($C$5/M33)^2</f>
        <v>1.0101628444025229E-3</v>
      </c>
      <c r="O33" s="10">
        <f t="shared" ref="O33:O39" si="17">+(N33+N32)/2</f>
        <v>1.0096239832614097E-3</v>
      </c>
      <c r="P33" s="10">
        <f t="shared" ref="P33:P39" si="18">748-P32</f>
        <v>235</v>
      </c>
      <c r="Q33" s="10">
        <f t="shared" ref="Q33:Q39" si="19">+O33*P33</f>
        <v>0.23726163606643128</v>
      </c>
      <c r="R33" s="10">
        <f t="shared" ref="R33:R39" si="20">+L32+Q33</f>
        <v>3.4311386724484954</v>
      </c>
      <c r="S33" s="10">
        <f t="shared" ref="S33:S39" si="21">+R33-L33</f>
        <v>3.1582783126551384E-3</v>
      </c>
    </row>
    <row r="34" spans="2:19" x14ac:dyDescent="0.25">
      <c r="B34">
        <v>6</v>
      </c>
      <c r="C34" s="10">
        <f t="shared" si="0"/>
        <v>1.0073413719557953</v>
      </c>
      <c r="D34" s="10">
        <f t="shared" si="1"/>
        <v>2.1555</v>
      </c>
      <c r="E34" s="10">
        <v>2.145</v>
      </c>
      <c r="F34" s="10">
        <f t="shared" si="8"/>
        <v>1.6840000000000002</v>
      </c>
      <c r="G34" s="10">
        <f t="shared" si="9"/>
        <v>2.5739999999999998</v>
      </c>
      <c r="H34" s="10">
        <f t="shared" si="10"/>
        <v>5.49</v>
      </c>
      <c r="I34" s="10">
        <f t="shared" si="11"/>
        <v>0.46885245901639339</v>
      </c>
      <c r="J34" s="10">
        <f t="shared" si="12"/>
        <v>1.4763014763014763</v>
      </c>
      <c r="K34" s="10">
        <f t="shared" si="13"/>
        <v>0.11108389647960848</v>
      </c>
      <c r="L34" s="10">
        <f t="shared" si="14"/>
        <v>3.9400838964796088</v>
      </c>
      <c r="M34" s="10">
        <f t="shared" si="15"/>
        <v>119.49672117505985</v>
      </c>
      <c r="N34" s="10">
        <f t="shared" si="16"/>
        <v>1.0112422708406946E-3</v>
      </c>
      <c r="O34" s="10">
        <f t="shared" si="17"/>
        <v>1.0107025576216087E-3</v>
      </c>
      <c r="P34" s="10">
        <f t="shared" si="18"/>
        <v>513</v>
      </c>
      <c r="Q34" s="10">
        <f t="shared" si="19"/>
        <v>0.51849041205988522</v>
      </c>
      <c r="R34" s="10">
        <f t="shared" si="20"/>
        <v>3.9464708061957254</v>
      </c>
      <c r="S34" s="10">
        <f t="shared" si="21"/>
        <v>6.3869097161166621E-3</v>
      </c>
    </row>
    <row r="35" spans="2:19" x14ac:dyDescent="0.25">
      <c r="B35">
        <v>7</v>
      </c>
      <c r="C35" s="10">
        <f t="shared" si="0"/>
        <v>1.0073413719557953</v>
      </c>
      <c r="D35" s="10">
        <f t="shared" si="1"/>
        <v>2.1555</v>
      </c>
      <c r="E35" s="10">
        <v>2.1440000000000001</v>
      </c>
      <c r="F35" s="10">
        <f t="shared" si="8"/>
        <v>1.9190000000000003</v>
      </c>
      <c r="G35" s="10">
        <f t="shared" si="9"/>
        <v>2.5728</v>
      </c>
      <c r="H35" s="10">
        <f t="shared" si="10"/>
        <v>5.4880000000000004</v>
      </c>
      <c r="I35" s="10">
        <f t="shared" si="11"/>
        <v>0.46880466472303201</v>
      </c>
      <c r="J35" s="10">
        <f t="shared" si="12"/>
        <v>1.4769900497512438</v>
      </c>
      <c r="K35" s="10">
        <f t="shared" si="13"/>
        <v>0.11118754368318969</v>
      </c>
      <c r="L35" s="10">
        <f t="shared" si="14"/>
        <v>4.1741875436831899</v>
      </c>
      <c r="M35" s="10">
        <f t="shared" si="15"/>
        <v>119.43289448825134</v>
      </c>
      <c r="N35" s="10">
        <f t="shared" si="16"/>
        <v>1.012323404990199E-3</v>
      </c>
      <c r="O35" s="10">
        <f t="shared" si="17"/>
        <v>1.0117828379154468E-3</v>
      </c>
      <c r="P35" s="10">
        <f t="shared" si="18"/>
        <v>235</v>
      </c>
      <c r="Q35" s="10">
        <f t="shared" si="19"/>
        <v>0.23776896691013</v>
      </c>
      <c r="R35" s="10">
        <f t="shared" si="20"/>
        <v>4.1778528633897389</v>
      </c>
      <c r="S35" s="10">
        <f t="shared" si="21"/>
        <v>3.6653197065490417E-3</v>
      </c>
    </row>
    <row r="36" spans="2:19" x14ac:dyDescent="0.25">
      <c r="B36">
        <v>8</v>
      </c>
      <c r="C36" s="10">
        <f t="shared" si="0"/>
        <v>1.0073413719557953</v>
      </c>
      <c r="D36" s="10">
        <f t="shared" si="1"/>
        <v>2.1555</v>
      </c>
      <c r="E36" s="10">
        <v>2.1429999999999998</v>
      </c>
      <c r="F36" s="10">
        <f t="shared" si="8"/>
        <v>2.4320000000000004</v>
      </c>
      <c r="G36" s="10">
        <f t="shared" si="9"/>
        <v>2.5715999999999997</v>
      </c>
      <c r="H36" s="10">
        <f t="shared" si="10"/>
        <v>5.4859999999999998</v>
      </c>
      <c r="I36" s="10">
        <f t="shared" si="11"/>
        <v>0.46875683558148007</v>
      </c>
      <c r="J36" s="10">
        <f t="shared" si="12"/>
        <v>1.4776792658267228</v>
      </c>
      <c r="K36" s="10">
        <f t="shared" si="13"/>
        <v>0.11129133601703377</v>
      </c>
      <c r="L36" s="10">
        <f t="shared" si="14"/>
        <v>4.6862913360170335</v>
      </c>
      <c r="M36" s="10">
        <f t="shared" si="15"/>
        <v>119.36906918171974</v>
      </c>
      <c r="N36" s="10">
        <f t="shared" si="16"/>
        <v>1.013406250415617E-3</v>
      </c>
      <c r="O36" s="10">
        <f t="shared" si="17"/>
        <v>1.012864827702908E-3</v>
      </c>
      <c r="P36" s="10">
        <f t="shared" si="18"/>
        <v>513</v>
      </c>
      <c r="Q36" s="10">
        <f t="shared" si="19"/>
        <v>0.5195996566115918</v>
      </c>
      <c r="R36" s="10">
        <f t="shared" si="20"/>
        <v>4.693787200294782</v>
      </c>
      <c r="S36" s="10">
        <f t="shared" si="21"/>
        <v>7.4958642777485096E-3</v>
      </c>
    </row>
    <row r="37" spans="2:19" x14ac:dyDescent="0.25">
      <c r="B37">
        <v>9</v>
      </c>
      <c r="C37" s="10">
        <f t="shared" si="0"/>
        <v>1.0073413719557953</v>
      </c>
      <c r="D37" s="10">
        <f t="shared" si="1"/>
        <v>2.1555</v>
      </c>
      <c r="E37" s="10">
        <v>2.1419999999999999</v>
      </c>
      <c r="F37" s="10">
        <f t="shared" si="8"/>
        <v>2.6670000000000003</v>
      </c>
      <c r="G37" s="10">
        <f t="shared" si="9"/>
        <v>2.5703999999999998</v>
      </c>
      <c r="H37" s="10">
        <f t="shared" si="10"/>
        <v>5.484</v>
      </c>
      <c r="I37" s="10">
        <f t="shared" si="11"/>
        <v>0.46870897155361047</v>
      </c>
      <c r="J37" s="10">
        <f t="shared" si="12"/>
        <v>1.478369125427949</v>
      </c>
      <c r="K37" s="10">
        <f t="shared" si="13"/>
        <v>0.11139527375222215</v>
      </c>
      <c r="L37" s="10">
        <f t="shared" si="14"/>
        <v>4.9203952737522219</v>
      </c>
      <c r="M37" s="10">
        <f t="shared" si="15"/>
        <v>119.30524525702228</v>
      </c>
      <c r="N37" s="10">
        <f t="shared" si="16"/>
        <v>1.0144908106907468E-3</v>
      </c>
      <c r="O37" s="10">
        <f t="shared" si="17"/>
        <v>1.0139485305531819E-3</v>
      </c>
      <c r="P37" s="10">
        <f t="shared" si="18"/>
        <v>235</v>
      </c>
      <c r="Q37" s="10">
        <f t="shared" si="19"/>
        <v>0.23827790467999774</v>
      </c>
      <c r="R37" s="10">
        <f t="shared" si="20"/>
        <v>4.9245692406970312</v>
      </c>
      <c r="S37" s="10">
        <f t="shared" si="21"/>
        <v>4.1739669448093153E-3</v>
      </c>
    </row>
    <row r="38" spans="2:19" x14ac:dyDescent="0.25">
      <c r="B38">
        <v>10</v>
      </c>
      <c r="C38" s="10">
        <f t="shared" si="0"/>
        <v>1.0073413719557953</v>
      </c>
      <c r="D38" s="10">
        <f t="shared" si="1"/>
        <v>2.1555</v>
      </c>
      <c r="E38" s="10">
        <v>2.141</v>
      </c>
      <c r="F38" s="10">
        <f t="shared" si="8"/>
        <v>3.18</v>
      </c>
      <c r="G38" s="10">
        <f t="shared" si="9"/>
        <v>2.5691999999999999</v>
      </c>
      <c r="H38" s="10">
        <f t="shared" si="10"/>
        <v>5.4820000000000002</v>
      </c>
      <c r="I38" s="10">
        <f t="shared" si="11"/>
        <v>0.4686610726012404</v>
      </c>
      <c r="J38" s="10">
        <f t="shared" si="12"/>
        <v>1.4790596294566403</v>
      </c>
      <c r="K38" s="10">
        <f t="shared" si="13"/>
        <v>0.11149935716046963</v>
      </c>
      <c r="L38" s="10">
        <f t="shared" si="14"/>
        <v>5.4324993571604701</v>
      </c>
      <c r="M38" s="10">
        <f t="shared" si="15"/>
        <v>119.24142271571837</v>
      </c>
      <c r="N38" s="10">
        <f t="shared" si="16"/>
        <v>1.0155770893986397E-3</v>
      </c>
      <c r="O38" s="10">
        <f t="shared" si="17"/>
        <v>1.0150339500446933E-3</v>
      </c>
      <c r="P38" s="10">
        <f t="shared" si="18"/>
        <v>513</v>
      </c>
      <c r="Q38" s="10">
        <f t="shared" si="19"/>
        <v>0.52071241637292764</v>
      </c>
      <c r="R38" s="10">
        <f t="shared" si="20"/>
        <v>5.4411076901251496</v>
      </c>
      <c r="S38" s="10">
        <f t="shared" si="21"/>
        <v>8.6083329646795548E-3</v>
      </c>
    </row>
    <row r="39" spans="2:19" x14ac:dyDescent="0.25">
      <c r="B39">
        <v>11</v>
      </c>
      <c r="C39" s="10">
        <f t="shared" si="0"/>
        <v>1.0073413719557953</v>
      </c>
      <c r="D39" s="10">
        <f t="shared" si="1"/>
        <v>2.1555</v>
      </c>
      <c r="E39" s="10">
        <v>2.14</v>
      </c>
      <c r="F39" s="10">
        <f t="shared" si="8"/>
        <v>3.415</v>
      </c>
      <c r="G39" s="10">
        <f t="shared" si="9"/>
        <v>2.5680000000000001</v>
      </c>
      <c r="H39" s="10">
        <f t="shared" si="10"/>
        <v>5.48</v>
      </c>
      <c r="I39" s="10">
        <f t="shared" si="11"/>
        <v>0.46861313868613136</v>
      </c>
      <c r="J39" s="10">
        <f t="shared" si="12"/>
        <v>1.4797507788161992</v>
      </c>
      <c r="K39" s="10">
        <f t="shared" si="13"/>
        <v>0.11160358651412579</v>
      </c>
      <c r="L39" s="10">
        <f t="shared" si="14"/>
        <v>5.6666035865141264</v>
      </c>
      <c r="M39" s="10">
        <f t="shared" si="15"/>
        <v>119.17760155936993</v>
      </c>
      <c r="N39" s="10">
        <f t="shared" si="16"/>
        <v>1.0166650901316213E-3</v>
      </c>
      <c r="O39" s="10">
        <f t="shared" si="17"/>
        <v>1.0161210897651305E-3</v>
      </c>
      <c r="P39" s="10">
        <f t="shared" si="18"/>
        <v>235</v>
      </c>
      <c r="Q39" s="10">
        <f t="shared" si="19"/>
        <v>0.23878845609480567</v>
      </c>
      <c r="R39" s="10">
        <f t="shared" si="20"/>
        <v>5.671287813255276</v>
      </c>
      <c r="S39" s="10">
        <f t="shared" si="21"/>
        <v>4.6842267411495442E-3</v>
      </c>
    </row>
    <row r="40" spans="2:19" x14ac:dyDescent="0.25">
      <c r="B40">
        <v>12</v>
      </c>
      <c r="C40" s="10">
        <f t="shared" si="0"/>
        <v>1.0073413719557953</v>
      </c>
      <c r="D40" s="10">
        <f t="shared" si="1"/>
        <v>2.1555</v>
      </c>
      <c r="E40" s="10">
        <v>2.1389999999999998</v>
      </c>
      <c r="F40" s="10">
        <f t="shared" ref="F40:F103" si="22">+P40*$C$7+F39</f>
        <v>3.9279999999999999</v>
      </c>
      <c r="G40" s="10">
        <f t="shared" ref="G40:G103" si="23">+$C$8*E40+$C$9*E40^2</f>
        <v>2.5667999999999997</v>
      </c>
      <c r="H40" s="10">
        <f t="shared" ref="H40:H103" si="24">+$C$8+2*E40*SQRT($C$9^2+1)</f>
        <v>5.4779999999999998</v>
      </c>
      <c r="I40" s="10">
        <f t="shared" ref="I40:I103" si="25">+G40/H40</f>
        <v>0.46856516976998902</v>
      </c>
      <c r="J40" s="10">
        <f t="shared" ref="J40:J103" si="26">+$C$5/G40</f>
        <v>1.4804425744117189</v>
      </c>
      <c r="K40" s="10">
        <f t="shared" ref="K40:K103" si="27">+(J40^2)/(2*9.81)</f>
        <v>0.11170796208617725</v>
      </c>
      <c r="L40" s="10">
        <f t="shared" ref="L40:L103" si="28">+E40+K40+F40</f>
        <v>6.1787079620861771</v>
      </c>
      <c r="M40" s="10">
        <f t="shared" ref="M40:M103" si="29">+(1/$C$6)*G40*I40^(2/3)</f>
        <v>119.11378178954108</v>
      </c>
      <c r="N40" s="10">
        <f t="shared" ref="N40:N103" si="30">+($C$5/M40)^2</f>
        <v>1.017754816491326E-3</v>
      </c>
      <c r="O40" s="10">
        <f t="shared" ref="O40:O103" si="31">+(N40+N39)/2</f>
        <v>1.0172099533114736E-3</v>
      </c>
      <c r="P40" s="10">
        <f t="shared" ref="P40:P103" si="32">748-P39</f>
        <v>513</v>
      </c>
      <c r="Q40" s="10">
        <f t="shared" ref="Q40:Q103" si="33">+O40*P40</f>
        <v>0.52182870604878595</v>
      </c>
      <c r="R40" s="10">
        <f t="shared" ref="R40:R103" si="34">+L39+Q40</f>
        <v>6.1884322925629123</v>
      </c>
      <c r="S40" s="10">
        <f t="shared" ref="S40:S103" si="35">+R40-L40</f>
        <v>9.7243304767351546E-3</v>
      </c>
    </row>
    <row r="41" spans="2:19" x14ac:dyDescent="0.25">
      <c r="B41">
        <v>13</v>
      </c>
      <c r="C41" s="10">
        <f t="shared" si="0"/>
        <v>1.0073413719557953</v>
      </c>
      <c r="D41" s="10">
        <f t="shared" si="1"/>
        <v>2.1555</v>
      </c>
      <c r="E41" s="10">
        <v>2.1379999999999999</v>
      </c>
      <c r="F41" s="10">
        <f t="shared" si="22"/>
        <v>4.1630000000000003</v>
      </c>
      <c r="G41" s="10">
        <f t="shared" si="23"/>
        <v>2.5655999999999999</v>
      </c>
      <c r="H41" s="10">
        <f t="shared" si="24"/>
        <v>5.476</v>
      </c>
      <c r="I41" s="10">
        <f t="shared" si="25"/>
        <v>0.46851716581446307</v>
      </c>
      <c r="J41" s="10">
        <f t="shared" si="26"/>
        <v>1.4811350171499844</v>
      </c>
      <c r="K41" s="10">
        <f t="shared" si="27"/>
        <v>0.11181248415024896</v>
      </c>
      <c r="L41" s="10">
        <f t="shared" si="28"/>
        <v>6.4128124841502494</v>
      </c>
      <c r="M41" s="10">
        <f t="shared" si="29"/>
        <v>119.04996340779846</v>
      </c>
      <c r="N41" s="10">
        <f t="shared" si="30"/>
        <v>1.0188462720887208E-3</v>
      </c>
      <c r="O41" s="10">
        <f t="shared" si="31"/>
        <v>1.0183005442900234E-3</v>
      </c>
      <c r="P41" s="10">
        <f t="shared" si="32"/>
        <v>235</v>
      </c>
      <c r="Q41" s="10">
        <f t="shared" si="33"/>
        <v>0.23930062790815551</v>
      </c>
      <c r="R41" s="10">
        <f t="shared" si="34"/>
        <v>6.4180085899943329</v>
      </c>
      <c r="S41" s="10">
        <f t="shared" si="35"/>
        <v>5.1961058440834762E-3</v>
      </c>
    </row>
    <row r="42" spans="2:19" x14ac:dyDescent="0.25">
      <c r="B42">
        <v>14</v>
      </c>
      <c r="C42" s="10">
        <f t="shared" si="0"/>
        <v>1.0073413719557953</v>
      </c>
      <c r="D42" s="10">
        <f t="shared" si="1"/>
        <v>2.1555</v>
      </c>
      <c r="E42" s="10">
        <v>2.137</v>
      </c>
      <c r="F42" s="10">
        <f t="shared" si="22"/>
        <v>4.6760000000000002</v>
      </c>
      <c r="G42" s="10">
        <f t="shared" si="23"/>
        <v>2.5644</v>
      </c>
      <c r="H42" s="10">
        <f t="shared" si="24"/>
        <v>5.4740000000000002</v>
      </c>
      <c r="I42" s="10">
        <f t="shared" si="25"/>
        <v>0.46846912678114722</v>
      </c>
      <c r="J42" s="10">
        <f t="shared" si="26"/>
        <v>1.4818281079394788</v>
      </c>
      <c r="K42" s="10">
        <f t="shared" si="27"/>
        <v>0.11191715298060631</v>
      </c>
      <c r="L42" s="10">
        <f t="shared" si="28"/>
        <v>6.9249171529806066</v>
      </c>
      <c r="M42" s="10">
        <f t="shared" si="29"/>
        <v>118.98614641571092</v>
      </c>
      <c r="N42" s="10">
        <f t="shared" si="30"/>
        <v>1.0199394605441387E-3</v>
      </c>
      <c r="O42" s="10">
        <f t="shared" si="31"/>
        <v>1.0193928663164297E-3</v>
      </c>
      <c r="P42" s="10">
        <f t="shared" si="32"/>
        <v>513</v>
      </c>
      <c r="Q42" s="10">
        <f t="shared" si="33"/>
        <v>0.52294854042032846</v>
      </c>
      <c r="R42" s="10">
        <f t="shared" si="34"/>
        <v>6.9357610245705779</v>
      </c>
      <c r="S42" s="10">
        <f t="shared" si="35"/>
        <v>1.0843871589971243E-2</v>
      </c>
    </row>
    <row r="43" spans="2:19" x14ac:dyDescent="0.25">
      <c r="B43">
        <v>15</v>
      </c>
      <c r="C43" s="10">
        <f t="shared" si="0"/>
        <v>1.0073413719557953</v>
      </c>
      <c r="D43" s="10">
        <f t="shared" si="1"/>
        <v>2.1555</v>
      </c>
      <c r="E43" s="10">
        <v>2.1360000000000001</v>
      </c>
      <c r="F43" s="10">
        <f t="shared" si="22"/>
        <v>4.9110000000000005</v>
      </c>
      <c r="G43" s="10">
        <f t="shared" si="23"/>
        <v>2.5632000000000001</v>
      </c>
      <c r="H43" s="10">
        <f t="shared" si="24"/>
        <v>5.4720000000000004</v>
      </c>
      <c r="I43" s="10">
        <f t="shared" si="25"/>
        <v>0.46842105263157896</v>
      </c>
      <c r="J43" s="10">
        <f t="shared" si="26"/>
        <v>1.482521847690387</v>
      </c>
      <c r="K43" s="10">
        <f t="shared" si="27"/>
        <v>0.11202196885215693</v>
      </c>
      <c r="L43" s="10">
        <f t="shared" si="28"/>
        <v>7.1590219688521577</v>
      </c>
      <c r="M43" s="10">
        <f t="shared" si="29"/>
        <v>118.92233081484979</v>
      </c>
      <c r="N43" s="10">
        <f t="shared" si="30"/>
        <v>1.0210343854873041E-3</v>
      </c>
      <c r="O43" s="10">
        <f t="shared" si="31"/>
        <v>1.0204869230157213E-3</v>
      </c>
      <c r="P43" s="10">
        <f t="shared" si="32"/>
        <v>235</v>
      </c>
      <c r="Q43" s="10">
        <f t="shared" si="33"/>
        <v>0.23981442690869451</v>
      </c>
      <c r="R43" s="10">
        <f t="shared" si="34"/>
        <v>7.1647315798893008</v>
      </c>
      <c r="S43" s="10">
        <f t="shared" si="35"/>
        <v>5.7096110371430697E-3</v>
      </c>
    </row>
    <row r="44" spans="2:19" x14ac:dyDescent="0.25">
      <c r="B44">
        <v>16</v>
      </c>
      <c r="C44" s="10">
        <f t="shared" si="0"/>
        <v>1.0073413719557953</v>
      </c>
      <c r="D44" s="10">
        <f t="shared" si="1"/>
        <v>2.1555</v>
      </c>
      <c r="E44" s="10">
        <v>2.1349999999999998</v>
      </c>
      <c r="F44" s="10">
        <f t="shared" si="22"/>
        <v>5.4240000000000004</v>
      </c>
      <c r="G44" s="10">
        <f t="shared" si="23"/>
        <v>2.5619999999999998</v>
      </c>
      <c r="H44" s="10">
        <f t="shared" si="24"/>
        <v>5.47</v>
      </c>
      <c r="I44" s="10">
        <f t="shared" si="25"/>
        <v>0.4683729433272395</v>
      </c>
      <c r="J44" s="10">
        <f t="shared" si="26"/>
        <v>1.4832162373145981</v>
      </c>
      <c r="K44" s="10">
        <f t="shared" si="27"/>
        <v>0.11212693204045229</v>
      </c>
      <c r="L44" s="10">
        <f t="shared" si="28"/>
        <v>7.6711269320404529</v>
      </c>
      <c r="M44" s="10">
        <f t="shared" si="29"/>
        <v>118.85851660678874</v>
      </c>
      <c r="N44" s="10">
        <f t="shared" si="30"/>
        <v>1.0221310505573622E-3</v>
      </c>
      <c r="O44" s="10">
        <f t="shared" si="31"/>
        <v>1.021582718022333E-3</v>
      </c>
      <c r="P44" s="10">
        <f t="shared" si="32"/>
        <v>513</v>
      </c>
      <c r="Q44" s="10">
        <f t="shared" si="33"/>
        <v>0.52407193434545685</v>
      </c>
      <c r="R44" s="10">
        <f t="shared" si="34"/>
        <v>7.6830939031976149</v>
      </c>
      <c r="S44" s="10">
        <f t="shared" si="35"/>
        <v>1.1966971157161943E-2</v>
      </c>
    </row>
    <row r="45" spans="2:19" x14ac:dyDescent="0.25">
      <c r="B45">
        <v>17</v>
      </c>
      <c r="C45" s="10">
        <f t="shared" si="0"/>
        <v>1.0073413719557953</v>
      </c>
      <c r="D45" s="10">
        <f t="shared" si="1"/>
        <v>2.1555</v>
      </c>
      <c r="E45" s="10">
        <v>2.1339999999999999</v>
      </c>
      <c r="F45" s="10">
        <f t="shared" si="22"/>
        <v>5.6590000000000007</v>
      </c>
      <c r="G45" s="10">
        <f t="shared" si="23"/>
        <v>2.5608</v>
      </c>
      <c r="H45" s="10">
        <f t="shared" si="24"/>
        <v>5.468</v>
      </c>
      <c r="I45" s="10">
        <f t="shared" si="25"/>
        <v>0.46832479882955375</v>
      </c>
      <c r="J45" s="10">
        <f t="shared" si="26"/>
        <v>1.4839112777257106</v>
      </c>
      <c r="K45" s="10">
        <f t="shared" si="27"/>
        <v>0.11223204282168966</v>
      </c>
      <c r="L45" s="10">
        <f t="shared" si="28"/>
        <v>7.9052320428216909</v>
      </c>
      <c r="M45" s="10">
        <f t="shared" si="29"/>
        <v>118.79470379310381</v>
      </c>
      <c r="N45" s="10">
        <f t="shared" si="30"/>
        <v>1.0232294594029118E-3</v>
      </c>
      <c r="O45" s="10">
        <f t="shared" si="31"/>
        <v>1.022680254980137E-3</v>
      </c>
      <c r="P45" s="10">
        <f t="shared" si="32"/>
        <v>235</v>
      </c>
      <c r="Q45" s="10">
        <f t="shared" si="33"/>
        <v>0.24032985992033221</v>
      </c>
      <c r="R45" s="10">
        <f t="shared" si="34"/>
        <v>7.9114567919607852</v>
      </c>
      <c r="S45" s="10">
        <f t="shared" si="35"/>
        <v>6.224749139094321E-3</v>
      </c>
    </row>
    <row r="46" spans="2:19" x14ac:dyDescent="0.25">
      <c r="B46" s="1">
        <v>18</v>
      </c>
      <c r="C46" s="11">
        <f t="shared" si="0"/>
        <v>1.0073413719557953</v>
      </c>
      <c r="D46" s="11">
        <f t="shared" si="1"/>
        <v>2.1555</v>
      </c>
      <c r="E46" s="11">
        <v>2.133</v>
      </c>
      <c r="F46" s="11">
        <f t="shared" si="22"/>
        <v>6.1720000000000006</v>
      </c>
      <c r="G46" s="10">
        <f t="shared" si="23"/>
        <v>2.5596000000000001</v>
      </c>
      <c r="H46" s="10">
        <f t="shared" si="24"/>
        <v>5.4660000000000002</v>
      </c>
      <c r="I46" s="10">
        <f t="shared" si="25"/>
        <v>0.46827661909989021</v>
      </c>
      <c r="J46" s="10">
        <f t="shared" si="26"/>
        <v>1.4846069698390372</v>
      </c>
      <c r="K46" s="10">
        <f t="shared" si="27"/>
        <v>0.11233730147271394</v>
      </c>
      <c r="L46" s="10">
        <f t="shared" si="28"/>
        <v>8.4173373014727151</v>
      </c>
      <c r="M46" s="10">
        <f t="shared" si="29"/>
        <v>118.73089237537344</v>
      </c>
      <c r="N46" s="10">
        <f t="shared" si="30"/>
        <v>1.0243296156820286E-3</v>
      </c>
      <c r="O46" s="10">
        <f t="shared" si="31"/>
        <v>1.0237795375424702E-3</v>
      </c>
      <c r="P46" s="10">
        <f t="shared" si="32"/>
        <v>513</v>
      </c>
      <c r="Q46" s="10">
        <f t="shared" si="33"/>
        <v>0.52519890275928727</v>
      </c>
      <c r="R46" s="10">
        <f t="shared" si="34"/>
        <v>8.4304309455809783</v>
      </c>
      <c r="S46" s="10">
        <f t="shared" si="35"/>
        <v>1.3093644108263192E-2</v>
      </c>
    </row>
    <row r="47" spans="2:19" x14ac:dyDescent="0.25">
      <c r="B47">
        <v>19</v>
      </c>
      <c r="C47" s="10">
        <f t="shared" si="0"/>
        <v>1.0073413719557953</v>
      </c>
      <c r="D47" s="10">
        <f t="shared" si="1"/>
        <v>2.1555</v>
      </c>
      <c r="E47" s="10">
        <v>2.1320000000000001</v>
      </c>
      <c r="F47" s="10">
        <f t="shared" si="22"/>
        <v>6.4070000000000009</v>
      </c>
      <c r="G47" s="10">
        <f t="shared" si="23"/>
        <v>2.5584000000000002</v>
      </c>
      <c r="H47" s="10">
        <f t="shared" si="24"/>
        <v>5.4640000000000004</v>
      </c>
      <c r="I47" s="10">
        <f t="shared" si="25"/>
        <v>0.46822840409956079</v>
      </c>
      <c r="J47" s="10">
        <f t="shared" si="26"/>
        <v>1.485303314571607</v>
      </c>
      <c r="K47" s="10">
        <f t="shared" si="27"/>
        <v>0.11244270827101949</v>
      </c>
      <c r="L47" s="10">
        <f t="shared" si="28"/>
        <v>8.6514427082710199</v>
      </c>
      <c r="M47" s="10">
        <f t="shared" si="29"/>
        <v>118.66708235517848</v>
      </c>
      <c r="N47" s="10">
        <f t="shared" si="30"/>
        <v>1.0254315230622995E-3</v>
      </c>
      <c r="O47" s="10">
        <f t="shared" si="31"/>
        <v>1.0248805693721641E-3</v>
      </c>
      <c r="P47" s="10">
        <f t="shared" si="32"/>
        <v>235</v>
      </c>
      <c r="Q47" s="10">
        <f t="shared" si="33"/>
        <v>0.24084693380245858</v>
      </c>
      <c r="R47" s="10">
        <f t="shared" si="34"/>
        <v>8.6581842352751739</v>
      </c>
      <c r="S47" s="10">
        <f t="shared" si="35"/>
        <v>6.7415270041539799E-3</v>
      </c>
    </row>
    <row r="48" spans="2:19" x14ac:dyDescent="0.25">
      <c r="B48">
        <v>20</v>
      </c>
      <c r="C48" s="10">
        <f t="shared" si="0"/>
        <v>1.0073413719557953</v>
      </c>
      <c r="D48" s="10">
        <f t="shared" si="1"/>
        <v>2.1555</v>
      </c>
      <c r="E48" s="10">
        <v>2.1309999999999998</v>
      </c>
      <c r="F48" s="10">
        <f t="shared" si="22"/>
        <v>6.9200000000000008</v>
      </c>
      <c r="G48" s="10">
        <f t="shared" si="23"/>
        <v>2.5571999999999995</v>
      </c>
      <c r="H48" s="10">
        <f t="shared" si="24"/>
        <v>5.4619999999999997</v>
      </c>
      <c r="I48" s="10">
        <f t="shared" si="25"/>
        <v>0.46818015378982053</v>
      </c>
      <c r="J48" s="10">
        <f t="shared" si="26"/>
        <v>1.4860003128421713</v>
      </c>
      <c r="K48" s="10">
        <f t="shared" si="27"/>
        <v>0.11254826349475183</v>
      </c>
      <c r="L48" s="10">
        <f t="shared" si="28"/>
        <v>9.1635482634947518</v>
      </c>
      <c r="M48" s="10">
        <f t="shared" si="29"/>
        <v>118.60327373410203</v>
      </c>
      <c r="N48" s="10">
        <f t="shared" si="30"/>
        <v>1.0265351852208511E-3</v>
      </c>
      <c r="O48" s="10">
        <f t="shared" si="31"/>
        <v>1.0259833541415753E-3</v>
      </c>
      <c r="P48" s="10">
        <f t="shared" si="32"/>
        <v>513</v>
      </c>
      <c r="Q48" s="10">
        <f t="shared" si="33"/>
        <v>0.52632946067462816</v>
      </c>
      <c r="R48" s="10">
        <f t="shared" si="34"/>
        <v>9.1777721689456477</v>
      </c>
      <c r="S48" s="10">
        <f t="shared" si="35"/>
        <v>1.4223905450895913E-2</v>
      </c>
    </row>
    <row r="49" spans="2:19" x14ac:dyDescent="0.25">
      <c r="B49">
        <v>21</v>
      </c>
      <c r="C49" s="10">
        <f t="shared" si="0"/>
        <v>1.0073413719557953</v>
      </c>
      <c r="D49" s="10">
        <f t="shared" si="1"/>
        <v>2.1555</v>
      </c>
      <c r="E49" s="10">
        <v>2.13</v>
      </c>
      <c r="F49" s="10">
        <f t="shared" si="22"/>
        <v>7.1550000000000011</v>
      </c>
      <c r="G49" s="10">
        <f t="shared" si="23"/>
        <v>2.5559999999999996</v>
      </c>
      <c r="H49" s="10">
        <f t="shared" si="24"/>
        <v>5.46</v>
      </c>
      <c r="I49" s="10">
        <f t="shared" si="25"/>
        <v>0.46813186813186808</v>
      </c>
      <c r="J49" s="10">
        <f t="shared" si="26"/>
        <v>1.4866979655712051</v>
      </c>
      <c r="K49" s="10">
        <f t="shared" si="27"/>
        <v>0.11265396742270947</v>
      </c>
      <c r="L49" s="10">
        <f t="shared" si="28"/>
        <v>9.3976539674227109</v>
      </c>
      <c r="M49" s="10">
        <f t="shared" si="29"/>
        <v>118.53946651372985</v>
      </c>
      <c r="N49" s="10">
        <f t="shared" si="30"/>
        <v>1.0276406058443758E-3</v>
      </c>
      <c r="O49" s="10">
        <f t="shared" si="31"/>
        <v>1.0270878955326134E-3</v>
      </c>
      <c r="P49" s="10">
        <f t="shared" si="32"/>
        <v>235</v>
      </c>
      <c r="Q49" s="10">
        <f t="shared" si="33"/>
        <v>0.24136565545016417</v>
      </c>
      <c r="R49" s="10">
        <f t="shared" si="34"/>
        <v>9.4049139189449154</v>
      </c>
      <c r="S49" s="10">
        <f t="shared" si="35"/>
        <v>7.2599515222044886E-3</v>
      </c>
    </row>
    <row r="50" spans="2:19" x14ac:dyDescent="0.25">
      <c r="B50">
        <v>22</v>
      </c>
      <c r="C50" s="10">
        <f t="shared" si="0"/>
        <v>1.0073413719557953</v>
      </c>
      <c r="D50" s="10">
        <f t="shared" si="1"/>
        <v>2.1555</v>
      </c>
      <c r="E50" s="10">
        <v>2.129</v>
      </c>
      <c r="F50" s="10">
        <f t="shared" si="22"/>
        <v>7.668000000000001</v>
      </c>
      <c r="G50" s="10">
        <f t="shared" si="23"/>
        <v>2.5547999999999997</v>
      </c>
      <c r="H50" s="10">
        <f t="shared" si="24"/>
        <v>5.4580000000000002</v>
      </c>
      <c r="I50" s="10">
        <f t="shared" si="25"/>
        <v>0.46808354708684491</v>
      </c>
      <c r="J50" s="10">
        <f t="shared" si="26"/>
        <v>1.4873962736809145</v>
      </c>
      <c r="K50" s="10">
        <f t="shared" si="27"/>
        <v>0.11275982033434608</v>
      </c>
      <c r="L50" s="10">
        <f t="shared" si="28"/>
        <v>9.9097598203343473</v>
      </c>
      <c r="M50" s="10">
        <f t="shared" si="29"/>
        <v>118.47566069564988</v>
      </c>
      <c r="N50" s="10">
        <f t="shared" si="30"/>
        <v>1.0287477886291663E-3</v>
      </c>
      <c r="O50" s="10">
        <f t="shared" si="31"/>
        <v>1.028194197236771E-3</v>
      </c>
      <c r="P50" s="10">
        <f t="shared" si="32"/>
        <v>513</v>
      </c>
      <c r="Q50" s="10">
        <f t="shared" si="33"/>
        <v>0.52746362318246354</v>
      </c>
      <c r="R50" s="10">
        <f t="shared" si="34"/>
        <v>9.9251175906051738</v>
      </c>
      <c r="S50" s="10">
        <f t="shared" si="35"/>
        <v>1.5357770270826521E-2</v>
      </c>
    </row>
    <row r="51" spans="2:19" x14ac:dyDescent="0.25">
      <c r="B51">
        <v>23</v>
      </c>
      <c r="C51" s="10">
        <f t="shared" si="0"/>
        <v>1.0073413719557953</v>
      </c>
      <c r="D51" s="10">
        <f t="shared" si="1"/>
        <v>2.1555</v>
      </c>
      <c r="E51" s="10">
        <v>2.1280000000000001</v>
      </c>
      <c r="F51" s="10">
        <f t="shared" si="22"/>
        <v>7.9030000000000014</v>
      </c>
      <c r="G51" s="10">
        <f t="shared" si="23"/>
        <v>2.5535999999999999</v>
      </c>
      <c r="H51" s="10">
        <f t="shared" si="24"/>
        <v>5.4560000000000004</v>
      </c>
      <c r="I51" s="10">
        <f t="shared" si="25"/>
        <v>0.46803519061583571</v>
      </c>
      <c r="J51" s="10">
        <f t="shared" si="26"/>
        <v>1.4880952380952381</v>
      </c>
      <c r="K51" s="10">
        <f t="shared" si="27"/>
        <v>0.11286582250977183</v>
      </c>
      <c r="L51" s="10">
        <f t="shared" si="28"/>
        <v>10.143865822509774</v>
      </c>
      <c r="M51" s="10">
        <f t="shared" si="29"/>
        <v>118.4118562814525</v>
      </c>
      <c r="N51" s="10">
        <f t="shared" si="30"/>
        <v>1.0298567372811433E-3</v>
      </c>
      <c r="O51" s="10">
        <f t="shared" si="31"/>
        <v>1.0293022629551548E-3</v>
      </c>
      <c r="P51" s="10">
        <f t="shared" si="32"/>
        <v>235</v>
      </c>
      <c r="Q51" s="10">
        <f t="shared" si="33"/>
        <v>0.24188603179446139</v>
      </c>
      <c r="R51" s="10">
        <f t="shared" si="34"/>
        <v>10.151645852128809</v>
      </c>
      <c r="S51" s="10">
        <f t="shared" si="35"/>
        <v>7.7800296190346785E-3</v>
      </c>
    </row>
    <row r="52" spans="2:19" x14ac:dyDescent="0.25">
      <c r="B52">
        <v>24</v>
      </c>
      <c r="C52" s="10">
        <f t="shared" si="0"/>
        <v>1.0073413719557953</v>
      </c>
      <c r="D52" s="10">
        <f t="shared" si="1"/>
        <v>2.1555</v>
      </c>
      <c r="E52" s="10">
        <v>2.1269999999999998</v>
      </c>
      <c r="F52" s="10">
        <f t="shared" si="22"/>
        <v>8.4160000000000021</v>
      </c>
      <c r="G52" s="10">
        <f t="shared" si="23"/>
        <v>2.5523999999999996</v>
      </c>
      <c r="H52" s="10">
        <f t="shared" si="24"/>
        <v>5.4539999999999997</v>
      </c>
      <c r="I52" s="10">
        <f t="shared" si="25"/>
        <v>0.46798679867986792</v>
      </c>
      <c r="J52" s="10">
        <f t="shared" si="26"/>
        <v>1.4887948597398528</v>
      </c>
      <c r="K52" s="10">
        <f t="shared" si="27"/>
        <v>0.11297197422975576</v>
      </c>
      <c r="L52" s="10">
        <f t="shared" si="28"/>
        <v>10.655971974229757</v>
      </c>
      <c r="M52" s="10">
        <f t="shared" si="29"/>
        <v>118.3480532727306</v>
      </c>
      <c r="N52" s="10">
        <f t="shared" si="30"/>
        <v>1.0309674555158824E-3</v>
      </c>
      <c r="O52" s="10">
        <f t="shared" si="31"/>
        <v>1.030412096398513E-3</v>
      </c>
      <c r="P52" s="10">
        <f t="shared" si="32"/>
        <v>513</v>
      </c>
      <c r="Q52" s="10">
        <f t="shared" si="33"/>
        <v>0.52860140545243717</v>
      </c>
      <c r="R52" s="10">
        <f t="shared" si="34"/>
        <v>10.672467227962212</v>
      </c>
      <c r="S52" s="10">
        <f t="shared" si="35"/>
        <v>1.6495253732454529E-2</v>
      </c>
    </row>
    <row r="53" spans="2:19" x14ac:dyDescent="0.25">
      <c r="B53">
        <v>25</v>
      </c>
      <c r="C53" s="10">
        <f t="shared" si="0"/>
        <v>1.0073413719557953</v>
      </c>
      <c r="D53" s="10">
        <f t="shared" si="1"/>
        <v>2.1555</v>
      </c>
      <c r="E53" s="10">
        <v>2.1259999999999999</v>
      </c>
      <c r="F53" s="10">
        <f t="shared" si="22"/>
        <v>8.6510000000000016</v>
      </c>
      <c r="G53" s="10">
        <f t="shared" si="23"/>
        <v>2.5511999999999997</v>
      </c>
      <c r="H53" s="10">
        <f t="shared" si="24"/>
        <v>5.452</v>
      </c>
      <c r="I53" s="10">
        <f t="shared" si="25"/>
        <v>0.46793837123991189</v>
      </c>
      <c r="J53" s="10">
        <f t="shared" si="26"/>
        <v>1.4894951395421763</v>
      </c>
      <c r="K53" s="10">
        <f t="shared" si="27"/>
        <v>0.11307827577572717</v>
      </c>
      <c r="L53" s="10">
        <f t="shared" si="28"/>
        <v>10.890078275775728</v>
      </c>
      <c r="M53" s="10">
        <f t="shared" si="29"/>
        <v>118.28425167107936</v>
      </c>
      <c r="N53" s="10">
        <f t="shared" si="30"/>
        <v>1.0320799470586513E-3</v>
      </c>
      <c r="O53" s="10">
        <f t="shared" si="31"/>
        <v>1.0315237012872669E-3</v>
      </c>
      <c r="P53" s="10">
        <f t="shared" si="32"/>
        <v>235</v>
      </c>
      <c r="Q53" s="10">
        <f t="shared" si="33"/>
        <v>0.2424080698025077</v>
      </c>
      <c r="R53" s="10">
        <f t="shared" si="34"/>
        <v>10.898380044032265</v>
      </c>
      <c r="S53" s="10">
        <f t="shared" si="35"/>
        <v>8.3017682565369455E-3</v>
      </c>
    </row>
    <row r="54" spans="2:19" x14ac:dyDescent="0.25">
      <c r="B54">
        <v>26</v>
      </c>
      <c r="C54" s="10">
        <f t="shared" si="0"/>
        <v>1.0073413719557953</v>
      </c>
      <c r="D54" s="10">
        <f t="shared" si="1"/>
        <v>2.1555</v>
      </c>
      <c r="E54" s="10">
        <v>2.125</v>
      </c>
      <c r="F54" s="10">
        <f t="shared" si="22"/>
        <v>9.1640000000000015</v>
      </c>
      <c r="G54" s="10">
        <f t="shared" si="23"/>
        <v>2.5499999999999998</v>
      </c>
      <c r="H54" s="10">
        <f t="shared" si="24"/>
        <v>5.45</v>
      </c>
      <c r="I54" s="10">
        <f t="shared" si="25"/>
        <v>0.4678899082568807</v>
      </c>
      <c r="J54" s="10">
        <f t="shared" si="26"/>
        <v>1.4901960784313726</v>
      </c>
      <c r="K54" s="10">
        <f t="shared" si="27"/>
        <v>0.11318472742977785</v>
      </c>
      <c r="L54" s="10">
        <f t="shared" si="28"/>
        <v>11.402184727429779</v>
      </c>
      <c r="M54" s="10">
        <f t="shared" si="29"/>
        <v>118.22045147809651</v>
      </c>
      <c r="N54" s="10">
        <f t="shared" si="30"/>
        <v>1.0331942156444308E-3</v>
      </c>
      <c r="O54" s="10">
        <f t="shared" si="31"/>
        <v>1.032637081351541E-3</v>
      </c>
      <c r="P54" s="10">
        <f t="shared" si="32"/>
        <v>513</v>
      </c>
      <c r="Q54" s="10">
        <f t="shared" si="33"/>
        <v>0.52974282273334061</v>
      </c>
      <c r="R54" s="10">
        <f t="shared" si="34"/>
        <v>11.419821098509068</v>
      </c>
      <c r="S54" s="10">
        <f t="shared" si="35"/>
        <v>1.7636371079289503E-2</v>
      </c>
    </row>
    <row r="55" spans="2:19" x14ac:dyDescent="0.25">
      <c r="B55">
        <v>27</v>
      </c>
      <c r="C55" s="10">
        <f t="shared" si="0"/>
        <v>1.0073413719557953</v>
      </c>
      <c r="D55" s="10">
        <f t="shared" si="1"/>
        <v>2.1555</v>
      </c>
      <c r="E55" s="10">
        <v>2.1240000000000001</v>
      </c>
      <c r="F55" s="10">
        <f t="shared" si="22"/>
        <v>9.3990000000000009</v>
      </c>
      <c r="G55" s="10">
        <f t="shared" si="23"/>
        <v>2.5488</v>
      </c>
      <c r="H55" s="10">
        <f t="shared" si="24"/>
        <v>5.4480000000000004</v>
      </c>
      <c r="I55" s="10">
        <f t="shared" si="25"/>
        <v>0.46784140969162991</v>
      </c>
      <c r="J55" s="10">
        <f t="shared" si="26"/>
        <v>1.4908976773383553</v>
      </c>
      <c r="K55" s="10">
        <f t="shared" si="27"/>
        <v>0.11329132947466375</v>
      </c>
      <c r="L55" s="10">
        <f t="shared" si="28"/>
        <v>11.636291329474664</v>
      </c>
      <c r="M55" s="10">
        <f t="shared" si="29"/>
        <v>118.15665269538208</v>
      </c>
      <c r="N55" s="10">
        <f t="shared" si="30"/>
        <v>1.0343102650179539E-3</v>
      </c>
      <c r="O55" s="10">
        <f t="shared" si="31"/>
        <v>1.0337522403311922E-3</v>
      </c>
      <c r="P55" s="10">
        <f t="shared" si="32"/>
        <v>235</v>
      </c>
      <c r="Q55" s="10">
        <f t="shared" si="33"/>
        <v>0.24293177647783018</v>
      </c>
      <c r="R55" s="10">
        <f t="shared" si="34"/>
        <v>11.645116503907609</v>
      </c>
      <c r="S55" s="10">
        <f t="shared" si="35"/>
        <v>8.8251744329443937E-3</v>
      </c>
    </row>
    <row r="56" spans="2:19" x14ac:dyDescent="0.25">
      <c r="B56">
        <v>28</v>
      </c>
      <c r="C56" s="10">
        <f t="shared" si="0"/>
        <v>1.0073413719557953</v>
      </c>
      <c r="D56" s="10">
        <f t="shared" si="1"/>
        <v>2.1555</v>
      </c>
      <c r="E56" s="10">
        <v>2.1230000000000002</v>
      </c>
      <c r="F56" s="10">
        <f t="shared" si="22"/>
        <v>9.9120000000000008</v>
      </c>
      <c r="G56" s="10">
        <f t="shared" si="23"/>
        <v>2.5476000000000001</v>
      </c>
      <c r="H56" s="10">
        <f t="shared" si="24"/>
        <v>5.4460000000000006</v>
      </c>
      <c r="I56" s="10">
        <f t="shared" si="25"/>
        <v>0.46779287550495774</v>
      </c>
      <c r="J56" s="10">
        <f t="shared" si="26"/>
        <v>1.491599937195792</v>
      </c>
      <c r="K56" s="10">
        <f t="shared" si="27"/>
        <v>0.11339808219380686</v>
      </c>
      <c r="L56" s="10">
        <f t="shared" si="28"/>
        <v>12.148398082193808</v>
      </c>
      <c r="M56" s="10">
        <f t="shared" si="29"/>
        <v>118.09285532453859</v>
      </c>
      <c r="N56" s="10">
        <f t="shared" si="30"/>
        <v>1.03542809893373E-3</v>
      </c>
      <c r="O56" s="10">
        <f t="shared" si="31"/>
        <v>1.0348691819758418E-3</v>
      </c>
      <c r="P56" s="10">
        <f t="shared" si="32"/>
        <v>513</v>
      </c>
      <c r="Q56" s="10">
        <f t="shared" si="33"/>
        <v>0.53088789035360684</v>
      </c>
      <c r="R56" s="10">
        <f t="shared" si="34"/>
        <v>12.167179219828272</v>
      </c>
      <c r="S56" s="10">
        <f t="shared" si="35"/>
        <v>1.8781137634464429E-2</v>
      </c>
    </row>
    <row r="57" spans="2:19" x14ac:dyDescent="0.25">
      <c r="B57">
        <v>29</v>
      </c>
      <c r="C57" s="10">
        <f t="shared" si="0"/>
        <v>1.0073413719557953</v>
      </c>
      <c r="D57" s="10">
        <f t="shared" si="1"/>
        <v>2.1555</v>
      </c>
      <c r="E57" s="10">
        <v>2.1219999999999999</v>
      </c>
      <c r="F57" s="10">
        <f t="shared" si="22"/>
        <v>10.147</v>
      </c>
      <c r="G57" s="10">
        <f t="shared" si="23"/>
        <v>2.5463999999999998</v>
      </c>
      <c r="H57" s="10">
        <f t="shared" si="24"/>
        <v>5.444</v>
      </c>
      <c r="I57" s="10">
        <f t="shared" si="25"/>
        <v>0.46774430565760466</v>
      </c>
      <c r="J57" s="10">
        <f t="shared" si="26"/>
        <v>1.4923028589381087</v>
      </c>
      <c r="K57" s="10">
        <f t="shared" si="27"/>
        <v>0.11350498587129729</v>
      </c>
      <c r="L57" s="10">
        <f t="shared" si="28"/>
        <v>12.382504985871297</v>
      </c>
      <c r="M57" s="10">
        <f t="shared" si="29"/>
        <v>118.02905936717097</v>
      </c>
      <c r="N57" s="10">
        <f t="shared" si="30"/>
        <v>1.0365477211560768E-3</v>
      </c>
      <c r="O57" s="10">
        <f t="shared" si="31"/>
        <v>1.0359879100449035E-3</v>
      </c>
      <c r="P57" s="10">
        <f t="shared" si="32"/>
        <v>235</v>
      </c>
      <c r="Q57" s="10">
        <f t="shared" si="33"/>
        <v>0.24345715886055233</v>
      </c>
      <c r="R57" s="10">
        <f t="shared" si="34"/>
        <v>12.39185524105436</v>
      </c>
      <c r="S57" s="10">
        <f t="shared" si="35"/>
        <v>9.3502551830635383E-3</v>
      </c>
    </row>
    <row r="58" spans="2:19" x14ac:dyDescent="0.25">
      <c r="B58">
        <v>30</v>
      </c>
      <c r="C58" s="10">
        <f t="shared" si="0"/>
        <v>1.0073413719557953</v>
      </c>
      <c r="D58" s="10">
        <f t="shared" si="1"/>
        <v>2.1555</v>
      </c>
      <c r="E58" s="10">
        <v>2.121</v>
      </c>
      <c r="F58" s="10">
        <f t="shared" si="22"/>
        <v>10.66</v>
      </c>
      <c r="G58" s="10">
        <f t="shared" si="23"/>
        <v>2.5451999999999999</v>
      </c>
      <c r="H58" s="10">
        <f t="shared" si="24"/>
        <v>5.4420000000000002</v>
      </c>
      <c r="I58" s="10">
        <f t="shared" si="25"/>
        <v>0.46769570011025358</v>
      </c>
      <c r="J58" s="10">
        <f t="shared" si="26"/>
        <v>1.4930064435014929</v>
      </c>
      <c r="K58" s="10">
        <f t="shared" si="27"/>
        <v>0.11361204079189481</v>
      </c>
      <c r="L58" s="10">
        <f t="shared" si="28"/>
        <v>12.894612040791895</v>
      </c>
      <c r="M58" s="10">
        <f t="shared" si="29"/>
        <v>117.96526482488663</v>
      </c>
      <c r="N58" s="10">
        <f t="shared" si="30"/>
        <v>1.0376691354591523E-3</v>
      </c>
      <c r="O58" s="10">
        <f t="shared" si="31"/>
        <v>1.0371084283076145E-3</v>
      </c>
      <c r="P58" s="10">
        <f t="shared" si="32"/>
        <v>513</v>
      </c>
      <c r="Q58" s="10">
        <f t="shared" si="33"/>
        <v>0.53203662372180627</v>
      </c>
      <c r="R58" s="10">
        <f t="shared" si="34"/>
        <v>12.914541609593103</v>
      </c>
      <c r="S58" s="10">
        <f t="shared" si="35"/>
        <v>1.9929568801208219E-2</v>
      </c>
    </row>
    <row r="59" spans="2:19" x14ac:dyDescent="0.25">
      <c r="B59" s="1">
        <v>31</v>
      </c>
      <c r="C59" s="11">
        <f t="shared" si="0"/>
        <v>1.0073413719557953</v>
      </c>
      <c r="D59" s="11">
        <f t="shared" si="1"/>
        <v>2.1555</v>
      </c>
      <c r="E59" s="11">
        <v>2.12</v>
      </c>
      <c r="F59" s="11">
        <f t="shared" si="22"/>
        <v>10.895</v>
      </c>
      <c r="G59" s="10">
        <f t="shared" si="23"/>
        <v>2.544</v>
      </c>
      <c r="H59" s="10">
        <f t="shared" si="24"/>
        <v>5.44</v>
      </c>
      <c r="I59" s="10">
        <f t="shared" si="25"/>
        <v>0.46764705882352936</v>
      </c>
      <c r="J59" s="10">
        <f t="shared" si="26"/>
        <v>1.4937106918238994</v>
      </c>
      <c r="K59" s="10">
        <f t="shared" si="27"/>
        <v>0.11371924724103118</v>
      </c>
      <c r="L59" s="10">
        <f t="shared" si="28"/>
        <v>13.128719247241031</v>
      </c>
      <c r="M59" s="10">
        <f t="shared" si="29"/>
        <v>117.90147169929543</v>
      </c>
      <c r="N59" s="10">
        <f t="shared" si="30"/>
        <v>1.038792345626983E-3</v>
      </c>
      <c r="O59" s="10">
        <f t="shared" si="31"/>
        <v>1.0382307405430676E-3</v>
      </c>
      <c r="P59" s="10">
        <f t="shared" si="32"/>
        <v>235</v>
      </c>
      <c r="Q59" s="10">
        <f t="shared" si="33"/>
        <v>0.24398422402762091</v>
      </c>
      <c r="R59" s="10">
        <f t="shared" si="34"/>
        <v>13.138596264819515</v>
      </c>
      <c r="S59" s="10">
        <f t="shared" si="35"/>
        <v>9.8770175784839154E-3</v>
      </c>
    </row>
    <row r="60" spans="2:19" x14ac:dyDescent="0.25">
      <c r="B60">
        <v>32</v>
      </c>
      <c r="C60" s="10">
        <f t="shared" si="0"/>
        <v>1.0073413719557953</v>
      </c>
      <c r="D60" s="10">
        <f t="shared" si="1"/>
        <v>2.1555</v>
      </c>
      <c r="E60" s="10">
        <v>2.1190000000000002</v>
      </c>
      <c r="F60" s="10">
        <f t="shared" si="22"/>
        <v>11.407999999999999</v>
      </c>
      <c r="G60" s="10">
        <f t="shared" si="23"/>
        <v>2.5428000000000002</v>
      </c>
      <c r="H60" s="10">
        <f t="shared" si="24"/>
        <v>5.4380000000000006</v>
      </c>
      <c r="I60" s="10">
        <f t="shared" si="25"/>
        <v>0.46759838175799923</v>
      </c>
      <c r="J60" s="10">
        <f t="shared" si="26"/>
        <v>1.4944156048450525</v>
      </c>
      <c r="K60" s="10">
        <f t="shared" si="27"/>
        <v>0.11382660550481163</v>
      </c>
      <c r="L60" s="10">
        <f t="shared" si="28"/>
        <v>13.640826605504811</v>
      </c>
      <c r="M60" s="10">
        <f t="shared" si="29"/>
        <v>117.83767999200961</v>
      </c>
      <c r="N60" s="10">
        <f t="shared" si="30"/>
        <v>1.0399173554534969E-3</v>
      </c>
      <c r="O60" s="10">
        <f t="shared" si="31"/>
        <v>1.0393548505402399E-3</v>
      </c>
      <c r="P60" s="10">
        <f t="shared" si="32"/>
        <v>513</v>
      </c>
      <c r="Q60" s="10">
        <f t="shared" si="33"/>
        <v>0.53318903832714304</v>
      </c>
      <c r="R60" s="10">
        <f t="shared" si="34"/>
        <v>13.661908285568174</v>
      </c>
      <c r="S60" s="10">
        <f t="shared" si="35"/>
        <v>2.108168006336264E-2</v>
      </c>
    </row>
    <row r="61" spans="2:19" x14ac:dyDescent="0.25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2:19" x14ac:dyDescent="0.25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2:19" x14ac:dyDescent="0.2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2:19" x14ac:dyDescent="0.25">
      <c r="C64" s="10"/>
      <c r="D64" s="10"/>
      <c r="E64" s="10">
        <f>0.1*2.155</f>
        <v>0.2155</v>
      </c>
      <c r="F64" s="10">
        <f>E64+2.155</f>
        <v>2.3704999999999998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3:19" x14ac:dyDescent="0.25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3:19" x14ac:dyDescent="0.25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3:19" x14ac:dyDescent="0.25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x14ac:dyDescent="0.25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3:19" x14ac:dyDescent="0.2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3:19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3:19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3:19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3:19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3:19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3:19" x14ac:dyDescent="0.2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3:19" x14ac:dyDescent="0.2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2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3:19" x14ac:dyDescent="0.25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3:19" x14ac:dyDescent="0.25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3:19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3:19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3:19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3:19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3:19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3:19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3:19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3:19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3:19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3:19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3:19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3:19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3:19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3:19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3:19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3:19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3:19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3:19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3:19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3:19" x14ac:dyDescent="0.2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3:19" x14ac:dyDescent="0.2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3:19" x14ac:dyDescent="0.2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3:19" x14ac:dyDescent="0.2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3:19" x14ac:dyDescent="0.2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2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3:19" x14ac:dyDescent="0.2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3:19" x14ac:dyDescent="0.2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3:19" x14ac:dyDescent="0.2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3:19" x14ac:dyDescent="0.2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3:19" x14ac:dyDescent="0.2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3:19" x14ac:dyDescent="0.2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3:19" x14ac:dyDescent="0.2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2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2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3:19" x14ac:dyDescent="0.2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3:19" x14ac:dyDescent="0.2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3:19" x14ac:dyDescent="0.2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3:19" x14ac:dyDescent="0.2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3:19" x14ac:dyDescent="0.2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2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3:19" x14ac:dyDescent="0.2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3:19" x14ac:dyDescent="0.2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3:19" x14ac:dyDescent="0.2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3:19" x14ac:dyDescent="0.2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3:19" x14ac:dyDescent="0.2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3:19" x14ac:dyDescent="0.2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3:19" x14ac:dyDescent="0.2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3:19" x14ac:dyDescent="0.2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2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3:19" x14ac:dyDescent="0.2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3:19" x14ac:dyDescent="0.2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3:19" x14ac:dyDescent="0.2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3:19" x14ac:dyDescent="0.2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3:19" x14ac:dyDescent="0.2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spans="3:19" x14ac:dyDescent="0.2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2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3:19" x14ac:dyDescent="0.2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spans="3:19" x14ac:dyDescent="0.2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spans="3:19" x14ac:dyDescent="0.2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spans="3:19" x14ac:dyDescent="0.2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spans="3:19" x14ac:dyDescent="0.2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3:19" x14ac:dyDescent="0.2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3:19" x14ac:dyDescent="0.2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2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2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3:19" x14ac:dyDescent="0.2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3:19" x14ac:dyDescent="0.2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3:19" x14ac:dyDescent="0.2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3:19" x14ac:dyDescent="0.2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3:19" x14ac:dyDescent="0.2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2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3:19" x14ac:dyDescent="0.2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3:19" x14ac:dyDescent="0.2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3:19" x14ac:dyDescent="0.2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3:19" x14ac:dyDescent="0.2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3:19" x14ac:dyDescent="0.2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3:19" x14ac:dyDescent="0.2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3:19" x14ac:dyDescent="0.2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3:19" x14ac:dyDescent="0.2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2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3:19" x14ac:dyDescent="0.2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spans="3:19" x14ac:dyDescent="0.2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spans="3:19" x14ac:dyDescent="0.2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spans="3:19" x14ac:dyDescent="0.2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3:19" x14ac:dyDescent="0.2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3:19" x14ac:dyDescent="0.2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2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spans="3:19" x14ac:dyDescent="0.2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spans="3:19" x14ac:dyDescent="0.2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spans="3:19" x14ac:dyDescent="0.2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spans="3:19" x14ac:dyDescent="0.2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spans="3:19" x14ac:dyDescent="0.2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3:19" x14ac:dyDescent="0.2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spans="3:19" x14ac:dyDescent="0.2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2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2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spans="3:19" x14ac:dyDescent="0.2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spans="3:19" x14ac:dyDescent="0.2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spans="3:19" x14ac:dyDescent="0.2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spans="3:19" x14ac:dyDescent="0.2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spans="3:19" x14ac:dyDescent="0.2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2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3:19" x14ac:dyDescent="0.2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spans="3:19" x14ac:dyDescent="0.2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3:19" x14ac:dyDescent="0.2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spans="3:19" x14ac:dyDescent="0.2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spans="3:19" x14ac:dyDescent="0.2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spans="3:19" x14ac:dyDescent="0.2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spans="3:19" x14ac:dyDescent="0.2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3:19" x14ac:dyDescent="0.2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2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spans="3:19" x14ac:dyDescent="0.2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spans="3:19" x14ac:dyDescent="0.2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spans="3:19" x14ac:dyDescent="0.2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spans="3:19" x14ac:dyDescent="0.2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spans="3:19" x14ac:dyDescent="0.2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spans="3:19" x14ac:dyDescent="0.2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spans="3:19" x14ac:dyDescent="0.2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spans="3:19" x14ac:dyDescent="0.2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3:19" x14ac:dyDescent="0.2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spans="3:19" x14ac:dyDescent="0.2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spans="3:19" x14ac:dyDescent="0.2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3:19" x14ac:dyDescent="0.2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3:19" x14ac:dyDescent="0.2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2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2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spans="3:19" x14ac:dyDescent="0.2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3:19" x14ac:dyDescent="0.2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 spans="3:19" x14ac:dyDescent="0.2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 spans="3:19" x14ac:dyDescent="0.2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spans="3:19" x14ac:dyDescent="0.2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2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 spans="3:19" x14ac:dyDescent="0.2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 spans="3:19" x14ac:dyDescent="0.2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spans="3:19" x14ac:dyDescent="0.2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spans="3:19" x14ac:dyDescent="0.2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spans="3:19" x14ac:dyDescent="0.2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spans="3:19" x14ac:dyDescent="0.2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3:19" x14ac:dyDescent="0.2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pans="3:19" x14ac:dyDescent="0.2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2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spans="3:19" x14ac:dyDescent="0.2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spans="3:19" x14ac:dyDescent="0.2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</sheetData>
  <dataConsolidate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I - b</vt:lpstr>
      <vt:lpstr>Punto I -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Jaime Oviedo Chacón</cp:lastModifiedBy>
  <dcterms:created xsi:type="dcterms:W3CDTF">2023-05-02T22:29:07Z</dcterms:created>
  <dcterms:modified xsi:type="dcterms:W3CDTF">2023-05-23T22:58:53Z</dcterms:modified>
</cp:coreProperties>
</file>