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eccion Compuesta" sheetId="1" r:id="rId4"/>
    <sheet state="visible" name="Punto I" sheetId="2" r:id="rId5"/>
    <sheet state="visible" name="Punto II" sheetId="3" r:id="rId6"/>
    <sheet state="visible" name="Punto III" sheetId="4" r:id="rId7"/>
    <sheet state="visible" name="Punto IV" sheetId="5" r:id="rId8"/>
    <sheet state="visible" name="Punto V" sheetId="6" r:id="rId9"/>
    <sheet state="visible" name="Punto VI" sheetId="7" r:id="rId10"/>
    <sheet state="hidden" name="Punto VII" sheetId="8" r:id="rId11"/>
    <sheet state="visible" name="Punto VIII" sheetId="9" r:id="rId12"/>
  </sheets>
  <definedNames/>
  <calcPr/>
</workbook>
</file>

<file path=xl/sharedStrings.xml><?xml version="1.0" encoding="utf-8"?>
<sst xmlns="http://schemas.openxmlformats.org/spreadsheetml/2006/main" count="631" uniqueCount="153">
  <si>
    <t>Datos Iniciales</t>
  </si>
  <si>
    <t>Caudal</t>
  </si>
  <si>
    <t>Q</t>
  </si>
  <si>
    <t>m³/s</t>
  </si>
  <si>
    <t>Rugosidad</t>
  </si>
  <si>
    <t>n</t>
  </si>
  <si>
    <t>Pendiente</t>
  </si>
  <si>
    <r>
      <rPr>
        <rFont val="Arial"/>
        <color theme="1"/>
      </rPr>
      <t>S</t>
    </r>
    <r>
      <rPr>
        <rFont val="Arial"/>
        <color theme="1"/>
        <sz val="7.0"/>
      </rPr>
      <t>o</t>
    </r>
  </si>
  <si>
    <t>m/m</t>
  </si>
  <si>
    <t>%</t>
  </si>
  <si>
    <t>Ancho base</t>
  </si>
  <si>
    <t>b</t>
  </si>
  <si>
    <t>m</t>
  </si>
  <si>
    <t>Talud Izq 1</t>
  </si>
  <si>
    <r>
      <rPr>
        <rFont val="Arial"/>
        <color theme="1"/>
      </rPr>
      <t>z</t>
    </r>
    <r>
      <rPr>
        <rFont val="Arial"/>
        <color theme="1"/>
        <sz val="6.0"/>
      </rPr>
      <t>1</t>
    </r>
  </si>
  <si>
    <t>Talud Der 1</t>
  </si>
  <si>
    <r>
      <rPr>
        <rFont val="Arial"/>
        <color theme="1"/>
      </rPr>
      <t>z</t>
    </r>
    <r>
      <rPr>
        <rFont val="Arial"/>
        <color theme="1"/>
        <sz val="6.0"/>
      </rPr>
      <t>2</t>
    </r>
  </si>
  <si>
    <t>Desnivel</t>
  </si>
  <si>
    <t>Izq</t>
  </si>
  <si>
    <t>Der</t>
  </si>
  <si>
    <t>Hombro</t>
  </si>
  <si>
    <t>Talud Izq 2</t>
  </si>
  <si>
    <r>
      <rPr>
        <rFont val="Arial"/>
        <color theme="1"/>
      </rPr>
      <t>z</t>
    </r>
    <r>
      <rPr>
        <rFont val="Arial"/>
        <color theme="1"/>
        <sz val="6.0"/>
      </rPr>
      <t>3</t>
    </r>
  </si>
  <si>
    <t>Talud Der 2</t>
  </si>
  <si>
    <r>
      <rPr>
        <rFont val="Arial"/>
        <color theme="1"/>
      </rPr>
      <t>z</t>
    </r>
    <r>
      <rPr>
        <rFont val="Arial"/>
        <color theme="1"/>
        <sz val="6.0"/>
      </rPr>
      <t>4</t>
    </r>
  </si>
  <si>
    <t>Gravedad</t>
  </si>
  <si>
    <t>g</t>
  </si>
  <si>
    <t>m/s²</t>
  </si>
  <si>
    <t>Factor de sección</t>
  </si>
  <si>
    <r>
      <rPr>
        <rFont val="Arial"/>
        <color theme="1"/>
      </rPr>
      <t>f=(</t>
    </r>
    <r>
      <rPr>
        <rFont val="Arial"/>
        <color theme="1"/>
        <sz val="11.0"/>
      </rPr>
      <t>y</t>
    </r>
    <r>
      <rPr>
        <rFont val="Arial"/>
        <color theme="1"/>
        <sz val="6.0"/>
      </rPr>
      <t>N</t>
    </r>
    <r>
      <rPr>
        <rFont val="Arial"/>
        <color theme="1"/>
      </rPr>
      <t>)</t>
    </r>
  </si>
  <si>
    <t>Profundidad</t>
  </si>
  <si>
    <t>y</t>
  </si>
  <si>
    <t>Mediante Solver</t>
  </si>
  <si>
    <t>Talud lateral 1</t>
  </si>
  <si>
    <r>
      <rPr>
        <rFont val="Arial"/>
        <color theme="1"/>
      </rPr>
      <t>m</t>
    </r>
    <r>
      <rPr>
        <rFont val="Arial"/>
        <color theme="1"/>
        <sz val="6.0"/>
      </rPr>
      <t>1</t>
    </r>
  </si>
  <si>
    <t>Talud lateral 2</t>
  </si>
  <si>
    <r>
      <rPr>
        <rFont val="Arial"/>
        <color theme="1"/>
      </rPr>
      <t>m</t>
    </r>
    <r>
      <rPr>
        <rFont val="Arial"/>
        <color theme="1"/>
        <sz val="6.0"/>
      </rPr>
      <t>2</t>
    </r>
  </si>
  <si>
    <t>Concreto</t>
  </si>
  <si>
    <t>F (E20) = 1</t>
  </si>
  <si>
    <t>Área mojada</t>
  </si>
  <si>
    <t>A</t>
  </si>
  <si>
    <t>m²</t>
  </si>
  <si>
    <t>Ancho superficial</t>
  </si>
  <si>
    <t>T</t>
  </si>
  <si>
    <t>Perímetro mojado</t>
  </si>
  <si>
    <t>P</t>
  </si>
  <si>
    <t>Radio hidráulico</t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</si>
  <si>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</si>
  <si>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t>Profundidad hidráulica</t>
  </si>
  <si>
    <t>D</t>
  </si>
  <si>
    <t>Velocidad</t>
  </si>
  <si>
    <t>V</t>
  </si>
  <si>
    <t>m/s</t>
  </si>
  <si>
    <t>Número de Froude</t>
  </si>
  <si>
    <t>F</t>
  </si>
  <si>
    <t>-</t>
  </si>
  <si>
    <t>Tipo de Flujo</t>
  </si>
  <si>
    <t>Energía específica</t>
  </si>
  <si>
    <t>E</t>
  </si>
  <si>
    <r>
      <rPr>
        <rFont val="Arial"/>
        <color theme="1"/>
      </rPr>
      <t>S</t>
    </r>
    <r>
      <rPr>
        <rFont val="Arial"/>
        <color theme="1"/>
        <sz val="7.0"/>
      </rPr>
      <t>o</t>
    </r>
  </si>
  <si>
    <t>Energía en 1</t>
  </si>
  <si>
    <t>E1</t>
  </si>
  <si>
    <t>Froud en 1</t>
  </si>
  <si>
    <t>F1</t>
  </si>
  <si>
    <t xml:space="preserve">Pendiente </t>
  </si>
  <si>
    <t>So</t>
  </si>
  <si>
    <t>Energía Mínima</t>
  </si>
  <si>
    <r>
      <rPr>
        <rFont val="Arial"/>
        <color theme="1"/>
      </rPr>
      <t>E</t>
    </r>
    <r>
      <rPr>
        <rFont val="Arial"/>
        <color theme="1"/>
        <sz val="7.0"/>
      </rPr>
      <t>mín</t>
    </r>
  </si>
  <si>
    <t>Cambio en el fondo</t>
  </si>
  <si>
    <t>ΔZ</t>
  </si>
  <si>
    <t>Prundidad crítica</t>
  </si>
  <si>
    <t>yc</t>
  </si>
  <si>
    <t>Borde Libre 1</t>
  </si>
  <si>
    <r>
      <rPr>
        <rFont val="Arial"/>
        <color theme="1"/>
      </rPr>
      <t>BL</t>
    </r>
    <r>
      <rPr>
        <rFont val="Arial"/>
        <color theme="1"/>
        <sz val="7.0"/>
      </rPr>
      <t>1</t>
    </r>
  </si>
  <si>
    <t>Borde Libre 2</t>
  </si>
  <si>
    <r>
      <rPr>
        <rFont val="Arial"/>
        <color theme="1"/>
      </rPr>
      <t>BL</t>
    </r>
    <r>
      <rPr>
        <rFont val="Arial"/>
        <color theme="1"/>
        <sz val="8.0"/>
      </rPr>
      <t>2</t>
    </r>
  </si>
  <si>
    <t>Altura canal punto 1</t>
  </si>
  <si>
    <t>h1</t>
  </si>
  <si>
    <t>Altura canal punto 2</t>
  </si>
  <si>
    <t>h2</t>
  </si>
  <si>
    <t>Talud lateral</t>
  </si>
  <si>
    <t>θ</t>
  </si>
  <si>
    <t>°</t>
  </si>
  <si>
    <r>
      <rPr>
        <rFont val="Arial"/>
        <color theme="1"/>
      </rPr>
      <t>S</t>
    </r>
    <r>
      <rPr>
        <rFont val="Arial"/>
        <color theme="1"/>
        <sz val="7.0"/>
      </rPr>
      <t>o</t>
    </r>
  </si>
  <si>
    <t>cm/m</t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</si>
  <si>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</si>
  <si>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t>l/s</t>
  </si>
  <si>
    <t>cm</t>
  </si>
  <si>
    <t xml:space="preserve">Igualar </t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</si>
  <si>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</si>
  <si>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S</t>
    </r>
    <r>
      <rPr>
        <rFont val="Arial"/>
        <color theme="1"/>
        <sz val="7.0"/>
      </rPr>
      <t>o</t>
    </r>
  </si>
  <si>
    <r>
      <rPr>
        <rFont val="Arial"/>
        <color theme="1"/>
      </rPr>
      <t>S</t>
    </r>
    <r>
      <rPr>
        <rFont val="Arial"/>
        <color theme="1"/>
        <sz val="7.0"/>
      </rPr>
      <t>o</t>
    </r>
  </si>
  <si>
    <t>(a) Aguas arriba</t>
  </si>
  <si>
    <r>
      <rPr>
        <rFont val="Roboto, RobotoDraft, Helvetica, Arial, sans-serif"/>
        <color rgb="FF000000"/>
        <sz val="11.0"/>
      </rPr>
      <t>y</t>
    </r>
    <r>
      <rPr>
        <rFont val="Roboto, RobotoDraft, Helvetica, Arial, sans-serif"/>
        <color rgb="FF000000"/>
        <sz val="6.0"/>
      </rPr>
      <t>N1</t>
    </r>
  </si>
  <si>
    <r>
      <rPr>
        <rFont val="Roboto, RobotoDraft, Helvetica, Arial, sans-serif"/>
        <color rgb="FF000000"/>
        <sz val="11.0"/>
      </rPr>
      <t>y</t>
    </r>
    <r>
      <rPr>
        <rFont val="Roboto, RobotoDraft, Helvetica, Arial, sans-serif"/>
        <color rgb="FF000000"/>
        <sz val="6.0"/>
      </rPr>
      <t>c1</t>
    </r>
  </si>
  <si>
    <t>E28 = 0</t>
  </si>
  <si>
    <t>F = 1</t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</si>
  <si>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</si>
  <si>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</si>
  <si>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E</t>
    </r>
    <r>
      <rPr>
        <rFont val="Arial"/>
        <color theme="1"/>
        <sz val="7.0"/>
      </rPr>
      <t>1</t>
    </r>
  </si>
  <si>
    <r>
      <rPr>
        <rFont val="Arial"/>
        <color theme="1"/>
      </rPr>
      <t>E</t>
    </r>
    <r>
      <rPr>
        <rFont val="Arial"/>
        <color theme="1"/>
        <sz val="7.0"/>
      </rPr>
      <t>1</t>
    </r>
  </si>
  <si>
    <r>
      <rPr>
        <rFont val="Arial"/>
        <color theme="1"/>
      </rPr>
      <t>f=(</t>
    </r>
    <r>
      <rPr>
        <rFont val="Arial"/>
        <color theme="1"/>
        <sz val="11.0"/>
      </rPr>
      <t>y</t>
    </r>
    <r>
      <rPr>
        <rFont val="Arial"/>
        <color theme="1"/>
        <sz val="6.0"/>
      </rPr>
      <t>N</t>
    </r>
    <r>
      <rPr>
        <rFont val="Arial"/>
        <color theme="1"/>
      </rPr>
      <t>)</t>
    </r>
  </si>
  <si>
    <r>
      <rPr>
        <rFont val="Arial"/>
        <color theme="1"/>
      </rPr>
      <t>f=(</t>
    </r>
    <r>
      <rPr>
        <rFont val="Arial"/>
        <color theme="1"/>
        <sz val="11.0"/>
      </rPr>
      <t>y</t>
    </r>
    <r>
      <rPr>
        <rFont val="Arial"/>
        <color theme="1"/>
        <sz val="6.0"/>
      </rPr>
      <t>N</t>
    </r>
    <r>
      <rPr>
        <rFont val="Arial"/>
        <color theme="1"/>
      </rPr>
      <t>)</t>
    </r>
  </si>
  <si>
    <t>Diferencia</t>
  </si>
  <si>
    <t>(b) Aguas abajo</t>
  </si>
  <si>
    <r>
      <rPr>
        <rFont val="Roboto, RobotoDraft, Helvetica, Arial, sans-serif"/>
        <color rgb="FF000000"/>
        <sz val="11.0"/>
      </rPr>
      <t>y</t>
    </r>
    <r>
      <rPr>
        <rFont val="Roboto, RobotoDraft, Helvetica, Arial, sans-serif"/>
        <color rgb="FF000000"/>
        <sz val="6.0"/>
      </rPr>
      <t>c2</t>
    </r>
  </si>
  <si>
    <r>
      <rPr>
        <rFont val="Roboto, RobotoDraft, Helvetica, Arial, sans-serif"/>
        <color rgb="FF000000"/>
        <sz val="11.0"/>
      </rPr>
      <t>y</t>
    </r>
    <r>
      <rPr>
        <rFont val="Roboto, RobotoDraft, Helvetica, Arial, sans-serif"/>
        <color rgb="FF000000"/>
        <sz val="6.0"/>
      </rPr>
      <t>1</t>
    </r>
    <r>
      <rPr>
        <rFont val="Roboto, RobotoDraft, Helvetica, Arial, sans-serif"/>
        <color rgb="FF000000"/>
      </rPr>
      <t>*</t>
    </r>
  </si>
  <si>
    <t>K43 = 0</t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</si>
  <si>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</si>
  <si>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</si>
  <si>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t>Energía específica min</t>
  </si>
  <si>
    <r>
      <rPr>
        <rFont val="Arial"/>
        <color theme="1"/>
      </rPr>
      <t>E</t>
    </r>
    <r>
      <rPr>
        <rFont val="Arial"/>
        <color theme="1"/>
        <sz val="8.0"/>
      </rPr>
      <t>2</t>
    </r>
  </si>
  <si>
    <r>
      <rPr>
        <rFont val="Arial"/>
        <color theme="1"/>
      </rPr>
      <t>E</t>
    </r>
    <r>
      <rPr>
        <rFont val="Arial"/>
        <color theme="1"/>
        <sz val="7.0"/>
      </rPr>
      <t>1</t>
    </r>
    <r>
      <rPr>
        <rFont val="Arial"/>
        <color theme="1"/>
      </rPr>
      <t>*</t>
    </r>
  </si>
  <si>
    <r>
      <rPr>
        <rFont val="Arial"/>
        <color theme="1"/>
      </rPr>
      <t>E</t>
    </r>
    <r>
      <rPr>
        <rFont val="Arial"/>
        <color theme="1"/>
        <sz val="8.0"/>
      </rPr>
      <t>2</t>
    </r>
  </si>
  <si>
    <t>(c) Ancho máximo estribos</t>
  </si>
  <si>
    <r>
      <rPr>
        <rFont val="Arial"/>
        <color theme="1"/>
      </rPr>
      <t>E</t>
    </r>
    <r>
      <rPr>
        <rFont val="Arial"/>
        <color theme="1"/>
        <sz val="8.0"/>
      </rPr>
      <t>2</t>
    </r>
  </si>
  <si>
    <r>
      <rPr>
        <rFont val="Arial"/>
        <color theme="1"/>
      </rPr>
      <t>E</t>
    </r>
    <r>
      <rPr>
        <rFont val="Arial"/>
        <color theme="1"/>
        <sz val="8.0"/>
      </rPr>
      <t>2</t>
    </r>
  </si>
  <si>
    <t>Ancho estribo</t>
  </si>
  <si>
    <t>x</t>
  </si>
  <si>
    <t>Prof a quitar</t>
  </si>
  <si>
    <t>Maximizando el valor (E53), cambiando (E53 y E56), con restricción de (E51 = 0)</t>
  </si>
  <si>
    <r>
      <rPr>
        <rFont val="Roboto, RobotoDraft, Helvetica, Arial, sans-serif"/>
        <color rgb="FF000000"/>
        <sz val="11.0"/>
      </rPr>
      <t>y</t>
    </r>
    <r>
      <rPr>
        <rFont val="Roboto, RobotoDraft, Helvetica, Arial, sans-serif"/>
        <color rgb="FF000000"/>
        <sz val="6.0"/>
      </rPr>
      <t>2</t>
    </r>
  </si>
  <si>
    <r>
      <rPr>
        <rFont val="Arial"/>
        <color theme="1"/>
      </rPr>
      <t>A</t>
    </r>
    <r>
      <rPr>
        <rFont val="Arial"/>
        <color theme="1"/>
        <sz val="7.0"/>
      </rPr>
      <t>2</t>
    </r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</si>
  <si>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</si>
  <si>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E</t>
    </r>
    <r>
      <rPr>
        <rFont val="Arial"/>
        <color theme="1"/>
        <sz val="8.0"/>
      </rPr>
      <t>2</t>
    </r>
  </si>
  <si>
    <t>(d)</t>
  </si>
  <si>
    <t>Borde libre</t>
  </si>
  <si>
    <r>
      <rPr>
        <rFont val="Arial"/>
        <color theme="1"/>
      </rPr>
      <t>BL</t>
    </r>
    <r>
      <rPr>
        <rFont val="Arial"/>
        <color theme="1"/>
        <sz val="7.0"/>
      </rPr>
      <t>1</t>
    </r>
  </si>
  <si>
    <r>
      <rPr>
        <rFont val="Arial"/>
        <color theme="1"/>
      </rPr>
      <t>m</t>
    </r>
    <r>
      <rPr>
        <rFont val="Arial"/>
        <color theme="1"/>
        <sz val="6.0"/>
      </rPr>
      <t>1</t>
    </r>
  </si>
  <si>
    <r>
      <rPr>
        <rFont val="Arial"/>
        <color theme="1"/>
      </rPr>
      <t>m</t>
    </r>
    <r>
      <rPr>
        <rFont val="Arial"/>
        <color theme="1"/>
        <sz val="6.0"/>
      </rPr>
      <t>2</t>
    </r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</si>
  <si>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</si>
  <si>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S</t>
    </r>
    <r>
      <rPr>
        <rFont val="Arial"/>
        <color theme="1"/>
        <sz val="7.0"/>
      </rPr>
      <t>o</t>
    </r>
  </si>
  <si>
    <r>
      <rPr>
        <rFont val="Arial"/>
        <color theme="1"/>
      </rPr>
      <t>b</t>
    </r>
    <r>
      <rPr>
        <rFont val="Arial"/>
        <color theme="1"/>
        <sz val="7.0"/>
      </rPr>
      <t>2</t>
    </r>
  </si>
  <si>
    <r>
      <rPr>
        <rFont val="Roboto, RobotoDraft, Helvetica, Arial, sans-serif"/>
        <color rgb="FF000000"/>
        <sz val="11.0"/>
      </rPr>
      <t>y</t>
    </r>
    <r>
      <rPr>
        <rFont val="Roboto, RobotoDraft, Helvetica, Arial, sans-serif"/>
        <color rgb="FF000000"/>
        <sz val="6.0"/>
      </rPr>
      <t>N1</t>
    </r>
  </si>
  <si>
    <r>
      <rPr>
        <rFont val="Roboto, RobotoDraft, Helvetica, Arial, sans-serif"/>
        <color rgb="FF000000"/>
        <sz val="11.0"/>
      </rPr>
      <t>y</t>
    </r>
    <r>
      <rPr>
        <rFont val="Roboto, RobotoDraft, Helvetica, Arial, sans-serif"/>
        <color rgb="FF000000"/>
        <sz val="6.0"/>
      </rPr>
      <t>c1</t>
    </r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</si>
  <si>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</si>
  <si>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</si>
  <si>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E</t>
    </r>
    <r>
      <rPr>
        <rFont val="Arial"/>
        <color theme="1"/>
        <sz val="7.0"/>
      </rPr>
      <t>1</t>
    </r>
  </si>
  <si>
    <r>
      <rPr>
        <rFont val="Arial"/>
        <color theme="1"/>
      </rPr>
      <t>E</t>
    </r>
    <r>
      <rPr>
        <rFont val="Arial"/>
        <color theme="1"/>
        <sz val="7.0"/>
      </rPr>
      <t>1</t>
    </r>
  </si>
  <si>
    <r>
      <rPr>
        <rFont val="Arial"/>
        <color theme="1"/>
      </rPr>
      <t>f=(</t>
    </r>
    <r>
      <rPr>
        <rFont val="Arial"/>
        <color theme="1"/>
        <sz val="11.0"/>
      </rPr>
      <t>y</t>
    </r>
    <r>
      <rPr>
        <rFont val="Arial"/>
        <color theme="1"/>
        <sz val="6.0"/>
      </rPr>
      <t>N</t>
    </r>
    <r>
      <rPr>
        <rFont val="Arial"/>
        <color theme="1"/>
      </rPr>
      <t>)</t>
    </r>
  </si>
  <si>
    <r>
      <rPr>
        <rFont val="Arial"/>
        <color theme="1"/>
      </rPr>
      <t>f=(</t>
    </r>
    <r>
      <rPr>
        <rFont val="Arial"/>
        <color theme="1"/>
        <sz val="11.0"/>
      </rPr>
      <t>y</t>
    </r>
    <r>
      <rPr>
        <rFont val="Arial"/>
        <color theme="1"/>
        <sz val="6.0"/>
      </rPr>
      <t>N</t>
    </r>
    <r>
      <rPr>
        <rFont val="Arial"/>
        <color theme="1"/>
      </rPr>
      <t>)</t>
    </r>
  </si>
  <si>
    <r>
      <rPr>
        <rFont val="Arial"/>
        <color theme="1"/>
      </rPr>
      <t>E</t>
    </r>
    <r>
      <rPr>
        <rFont val="Arial"/>
        <color theme="1"/>
        <sz val="7.0"/>
      </rPr>
      <t>2</t>
    </r>
  </si>
  <si>
    <r>
      <rPr>
        <rFont val="Arial"/>
        <color theme="1"/>
      </rPr>
      <t>E</t>
    </r>
    <r>
      <rPr>
        <rFont val="Arial"/>
        <color theme="1"/>
        <sz val="8.0"/>
      </rPr>
      <t>2</t>
    </r>
  </si>
  <si>
    <r>
      <rPr>
        <rFont val="Roboto, RobotoDraft, Helvetica, Arial, sans-serif"/>
        <color rgb="FF000000"/>
        <sz val="11.0"/>
      </rPr>
      <t>y</t>
    </r>
    <r>
      <rPr>
        <rFont val="Roboto, RobotoDraft, Helvetica, Arial, sans-serif"/>
        <color rgb="FF000000"/>
        <sz val="6.0"/>
      </rPr>
      <t>c2</t>
    </r>
  </si>
  <si>
    <r>
      <rPr>
        <rFont val="Roboto, Arial"/>
        <color theme="1"/>
        <sz val="11.0"/>
      </rPr>
      <t>y</t>
    </r>
    <r>
      <rPr>
        <rFont val="Roboto, Arial"/>
        <color theme="1"/>
        <sz val="6.0"/>
      </rPr>
      <t>1</t>
    </r>
    <r>
      <rPr>
        <rFont val="Roboto, Arial"/>
        <color theme="1"/>
        <sz val="11.0"/>
      </rPr>
      <t>*</t>
    </r>
  </si>
  <si>
    <t>K50 = 0</t>
  </si>
  <si>
    <r>
      <rPr>
        <rFont val="Arial"/>
        <color theme="1"/>
      </rPr>
      <t>A</t>
    </r>
    <r>
      <rPr>
        <rFont val="Arial"/>
        <color theme="1"/>
        <sz val="7.0"/>
      </rPr>
      <t>2</t>
    </r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</si>
  <si>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</si>
  <si>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R</t>
    </r>
    <r>
      <rPr>
        <rFont val="Arial"/>
        <color theme="1"/>
        <sz val="7.0"/>
      </rPr>
      <t>h</t>
    </r>
  </si>
  <si>
    <r>
      <rPr>
        <rFont val="Arial"/>
        <color theme="1"/>
      </rPr>
      <t>E</t>
    </r>
    <r>
      <rPr>
        <rFont val="Arial"/>
        <color theme="1"/>
        <sz val="7.0"/>
      </rPr>
      <t>2</t>
    </r>
  </si>
  <si>
    <r>
      <rPr>
        <rFont val="Arial"/>
        <color theme="1"/>
      </rPr>
      <t>E</t>
    </r>
    <r>
      <rPr>
        <rFont val="Arial"/>
        <color theme="1"/>
        <sz val="7.0"/>
      </rPr>
      <t>1</t>
    </r>
    <r>
      <rPr>
        <rFont val="Arial"/>
        <color theme="1"/>
      </rPr>
      <t>*</t>
    </r>
  </si>
  <si>
    <t>(c)</t>
  </si>
  <si>
    <t>Gálibo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</si>
</sst>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"/>
    <numFmt numFmtId="166" formatCode="0.000000"/>
    <numFmt numFmtId="167" formatCode="0.00000"/>
    <numFmt numFmtId="168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sz val="12.0"/>
      <color rgb="FF222222"/>
      <name val="&quot;Times New Roman&quot;"/>
    </font>
    <font>
      <color rgb="FF000000"/>
      <name val="Roboto"/>
    </font>
    <font>
      <sz val="12.0"/>
      <color theme="1"/>
      <name val="&quot;Times New Roman&quot;"/>
    </font>
    <font>
      <color theme="1"/>
      <name val="Arial"/>
    </font>
    <font>
      <sz val="11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90" vertical="center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textRotation="135" vertical="center"/>
    </xf>
    <xf borderId="1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horizontal="right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164" xfId="0" applyBorder="1" applyFont="1" applyNumberFormat="1"/>
    <xf borderId="3" fillId="0" fontId="2" numFmtId="0" xfId="0" applyBorder="1" applyFont="1"/>
    <xf borderId="1" fillId="0" fontId="1" numFmtId="2" xfId="0" applyBorder="1" applyFont="1" applyNumberFormat="1"/>
    <xf borderId="1" fillId="0" fontId="1" numFmtId="1" xfId="0" applyAlignment="1" applyBorder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4" fillId="0" fontId="1" numFmtId="0" xfId="0" applyAlignment="1" applyBorder="1" applyFont="1">
      <alignment horizontal="right" readingOrder="0"/>
    </xf>
    <xf borderId="5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3" numFmtId="0" xfId="0" applyFill="1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readingOrder="0"/>
    </xf>
    <xf borderId="1" fillId="0" fontId="1" numFmtId="165" xfId="0" applyBorder="1" applyFont="1" applyNumberFormat="1"/>
    <xf borderId="0" fillId="0" fontId="1" numFmtId="0" xfId="0" applyAlignment="1" applyFont="1">
      <alignment horizontal="center"/>
    </xf>
    <xf borderId="0" fillId="0" fontId="1" numFmtId="165" xfId="0" applyFont="1" applyNumberFormat="1"/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0" fillId="0" fontId="1" numFmtId="0" xfId="0" applyAlignment="1" applyFont="1">
      <alignment horizontal="right" readingOrder="0" vertical="center"/>
    </xf>
    <xf borderId="1" fillId="0" fontId="1" numFmtId="166" xfId="0" applyBorder="1" applyFont="1" applyNumberFormat="1"/>
    <xf borderId="0" fillId="0" fontId="1" numFmtId="166" xfId="0" applyFont="1" applyNumberFormat="1"/>
    <xf borderId="1" fillId="0" fontId="1" numFmtId="0" xfId="0" applyAlignment="1" applyBorder="1" applyFont="1">
      <alignment horizontal="righ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2" xfId="0" applyAlignment="1" applyBorder="1" applyFont="1" applyNumberFormat="1">
      <alignment vertical="center"/>
    </xf>
    <xf borderId="1" fillId="0" fontId="1" numFmtId="0" xfId="0" applyAlignment="1" applyBorder="1" applyFont="1">
      <alignment readingOrder="0"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0" fontId="1" numFmtId="0" xfId="0" applyBorder="1" applyFont="1"/>
    <xf borderId="1" fillId="0" fontId="1" numFmtId="1" xfId="0" applyBorder="1" applyFont="1" applyNumberFormat="1"/>
    <xf borderId="1" fillId="0" fontId="1" numFmtId="167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168" xfId="0" applyAlignment="1" applyBorder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1" fillId="0" fontId="1" numFmtId="165" xfId="0" applyBorder="1" applyFont="1" applyNumberFormat="1"/>
    <xf borderId="5" fillId="0" fontId="1" numFmtId="0" xfId="0" applyAlignment="1" applyBorder="1" applyFont="1">
      <alignment horizontal="center"/>
    </xf>
    <xf borderId="4" fillId="0" fontId="1" numFmtId="165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readingOrder="0"/>
    </xf>
    <xf borderId="0" fillId="0" fontId="1" numFmtId="0" xfId="0" applyAlignment="1" applyFont="1">
      <alignment horizontal="left" readingOrder="0" textRotation="0" vertical="center"/>
    </xf>
    <xf borderId="0" fillId="0" fontId="1" numFmtId="3" xfId="0" applyAlignment="1" applyFont="1" applyNumberFormat="1">
      <alignment horizontal="center" readingOrder="0" textRotation="90" vertical="center"/>
    </xf>
    <xf borderId="0" fillId="0" fontId="1" numFmtId="0" xfId="0" applyAlignment="1" applyFont="1">
      <alignment horizontal="center" readingOrder="0" vertical="center"/>
    </xf>
    <xf borderId="0" fillId="0" fontId="5" numFmtId="0" xfId="0" applyFont="1"/>
    <xf borderId="0" fillId="0" fontId="4" numFmtId="0" xfId="0" applyAlignment="1" applyFont="1">
      <alignment horizontal="center" readingOrder="0"/>
    </xf>
    <xf borderId="0" fillId="0" fontId="1" numFmtId="165" xfId="0" applyFont="1" applyNumberFormat="1"/>
    <xf borderId="1" fillId="0" fontId="6" numFmtId="0" xfId="0" applyAlignment="1" applyBorder="1" applyFont="1">
      <alignment horizontal="right" vertical="bottom"/>
    </xf>
    <xf borderId="5" fillId="0" fontId="7" numFmtId="0" xfId="0" applyAlignment="1" applyBorder="1" applyFont="1">
      <alignment horizontal="center" vertical="bottom"/>
    </xf>
    <xf borderId="5" fillId="0" fontId="6" numFmtId="165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5" fillId="0" fontId="6" numFmtId="165" xfId="0" applyAlignment="1" applyBorder="1" applyFont="1" applyNumberFormat="1">
      <alignment horizontal="right" vertical="bottom"/>
    </xf>
    <xf borderId="3" fillId="0" fontId="6" numFmtId="0" xfId="0" applyAlignment="1" applyBorder="1" applyFont="1">
      <alignment horizontal="right" vertical="bottom"/>
    </xf>
    <xf borderId="7" fillId="0" fontId="6" numFmtId="0" xfId="0" applyAlignment="1" applyBorder="1" applyFont="1">
      <alignment horizontal="center" vertical="bottom"/>
    </xf>
    <xf borderId="7" fillId="0" fontId="6" numFmtId="165" xfId="0" applyAlignment="1" applyBorder="1" applyFont="1" applyNumberFormat="1">
      <alignment horizontal="right" vertical="bottom"/>
    </xf>
    <xf borderId="7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right" vertical="bottom"/>
    </xf>
    <xf borderId="7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vertical="bottom"/>
    </xf>
    <xf borderId="6" fillId="0" fontId="6" numFmtId="165" xfId="0" applyAlignment="1" applyBorder="1" applyFont="1" applyNumberFormat="1">
      <alignment vertical="bottom"/>
    </xf>
    <xf borderId="3" fillId="0" fontId="6" numFmtId="0" xfId="0" applyAlignment="1" applyBorder="1" applyFont="1">
      <alignment horizontal="right" readingOrder="0" vertical="bottom"/>
    </xf>
    <xf borderId="7" fillId="0" fontId="6" numFmtId="165" xfId="0" applyAlignment="1" applyBorder="1" applyFont="1" applyNumberFormat="1">
      <alignment horizontal="right" vertical="bottom"/>
    </xf>
    <xf borderId="8" fillId="0" fontId="6" numFmtId="0" xfId="0" applyAlignment="1" applyBorder="1" applyFont="1">
      <alignment horizontal="right" vertical="bottom"/>
    </xf>
    <xf borderId="6" fillId="0" fontId="6" numFmtId="165" xfId="0" applyAlignment="1" applyBorder="1" applyFont="1" applyNumberFormat="1">
      <alignment horizontal="center" vertical="bottom"/>
    </xf>
    <xf borderId="7" fillId="0" fontId="2" numFmtId="0" xfId="0" applyBorder="1" applyFont="1"/>
    <xf borderId="0" fillId="0" fontId="1" numFmtId="0" xfId="0" applyAlignment="1" applyFont="1">
      <alignment readingOrder="0" textRotation="9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jp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666750</xdr:colOff>
      <xdr:row>1</xdr:row>
      <xdr:rowOff>38100</xdr:rowOff>
    </xdr:from>
    <xdr:ext cx="5972175" cy="2162175"/>
    <xdr:grpSp>
      <xdr:nvGrpSpPr>
        <xdr:cNvPr id="2" name="Shape 2" title="Dibujo"/>
        <xdr:cNvGrpSpPr/>
      </xdr:nvGrpSpPr>
      <xdr:grpSpPr>
        <a:xfrm>
          <a:off x="757275" y="570400"/>
          <a:ext cx="5723700" cy="2055600"/>
          <a:chOff x="757275" y="570400"/>
          <a:chExt cx="5723700" cy="2055600"/>
        </a:xfrm>
      </xdr:grpSpPr>
      <xdr:sp>
        <xdr:nvSpPr>
          <xdr:cNvPr id="3" name="Shape 3"/>
          <xdr:cNvSpPr/>
        </xdr:nvSpPr>
        <xdr:spPr>
          <a:xfrm>
            <a:off x="757275" y="570400"/>
            <a:ext cx="5723700" cy="2055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1171575" y="1023950"/>
            <a:ext cx="209550" cy="209550"/>
          </a:xfrm>
          <a:custGeom>
            <a:rect b="b" l="l" r="r" t="t"/>
            <a:pathLst>
              <a:path extrusionOk="0" h="8382" w="8382">
                <a:moveTo>
                  <a:pt x="0" y="0"/>
                </a:moveTo>
                <a:lnTo>
                  <a:pt x="0" y="8382"/>
                </a:lnTo>
                <a:lnTo>
                  <a:pt x="8382" y="8382"/>
                </a:lnTo>
              </a:path>
            </a:pathLst>
          </a:custGeom>
          <a:noFill/>
          <a:ln cap="flat" cmpd="sng" w="19050">
            <a:solidFill>
              <a:srgbClr val="FF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5" name="Shape 5"/>
          <xdr:cNvSpPr txBox="1"/>
        </xdr:nvSpPr>
        <xdr:spPr>
          <a:xfrm>
            <a:off x="1135800" y="1133475"/>
            <a:ext cx="281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1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6" name="Shape 6"/>
          <xdr:cNvSpPr txBox="1"/>
        </xdr:nvSpPr>
        <xdr:spPr>
          <a:xfrm>
            <a:off x="819150" y="928625"/>
            <a:ext cx="352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z</a:t>
            </a:r>
            <a:r>
              <a:rPr lang="en-US" sz="700">
                <a:solidFill>
                  <a:srgbClr val="FF0000"/>
                </a:solidFill>
              </a:rPr>
              <a:t>3</a:t>
            </a:r>
            <a:endParaRPr sz="700">
              <a:solidFill>
                <a:srgbClr val="FF0000"/>
              </a:solidFill>
            </a:endParaRPr>
          </a:p>
        </xdr:txBody>
      </xdr:sp>
      <xdr:sp>
        <xdr:nvSpPr>
          <xdr:cNvPr id="7" name="Shape 7"/>
          <xdr:cNvSpPr/>
        </xdr:nvSpPr>
        <xdr:spPr>
          <a:xfrm>
            <a:off x="2700350" y="1605075"/>
            <a:ext cx="166698" cy="290402"/>
          </a:xfrm>
          <a:custGeom>
            <a:rect b="b" l="l" r="r" t="t"/>
            <a:pathLst>
              <a:path extrusionOk="0" h="10287" w="5905">
                <a:moveTo>
                  <a:pt x="0" y="0"/>
                </a:moveTo>
                <a:lnTo>
                  <a:pt x="0" y="10287"/>
                </a:lnTo>
                <a:lnTo>
                  <a:pt x="5905" y="10287"/>
                </a:lnTo>
              </a:path>
            </a:pathLst>
          </a:custGeom>
          <a:noFill/>
          <a:ln cap="flat" cmpd="sng" w="19050">
            <a:solidFill>
              <a:srgbClr val="FF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8" name="Shape 8"/>
          <xdr:cNvSpPr txBox="1"/>
        </xdr:nvSpPr>
        <xdr:spPr>
          <a:xfrm>
            <a:off x="2405050" y="1566775"/>
            <a:ext cx="352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z</a:t>
            </a:r>
            <a:r>
              <a:rPr lang="en-US" sz="700">
                <a:solidFill>
                  <a:srgbClr val="FF0000"/>
                </a:solidFill>
              </a:rPr>
              <a:t>1</a:t>
            </a:r>
            <a:endParaRPr sz="700">
              <a:solidFill>
                <a:srgbClr val="FF0000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4562475" y="1381125"/>
            <a:ext cx="119075" cy="414350"/>
          </a:xfrm>
          <a:custGeom>
            <a:rect b="b" l="l" r="r" t="t"/>
            <a:pathLst>
              <a:path extrusionOk="0" h="16574" w="4763">
                <a:moveTo>
                  <a:pt x="0" y="16574"/>
                </a:moveTo>
                <a:lnTo>
                  <a:pt x="4763" y="16574"/>
                </a:lnTo>
                <a:lnTo>
                  <a:pt x="4763" y="0"/>
                </a:lnTo>
              </a:path>
            </a:pathLst>
          </a:custGeom>
          <a:noFill/>
          <a:ln cap="flat" cmpd="sng" w="19050">
            <a:solidFill>
              <a:srgbClr val="FF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10" name="Shape 10"/>
          <xdr:cNvSpPr txBox="1"/>
        </xdr:nvSpPr>
        <xdr:spPr>
          <a:xfrm>
            <a:off x="4481463" y="1690663"/>
            <a:ext cx="281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1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11" name="Shape 11"/>
          <xdr:cNvSpPr txBox="1"/>
        </xdr:nvSpPr>
        <xdr:spPr>
          <a:xfrm>
            <a:off x="4681550" y="1388200"/>
            <a:ext cx="352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z</a:t>
            </a:r>
            <a:r>
              <a:rPr lang="en-US" sz="700">
                <a:solidFill>
                  <a:srgbClr val="FF0000"/>
                </a:solidFill>
              </a:rPr>
              <a:t>2</a:t>
            </a:r>
            <a:endParaRPr sz="700">
              <a:solidFill>
                <a:srgbClr val="FF0000"/>
              </a:solidFill>
            </a:endParaRPr>
          </a:p>
        </xdr:txBody>
      </xdr:sp>
      <xdr:sp>
        <xdr:nvSpPr>
          <xdr:cNvPr id="12" name="Shape 12"/>
          <xdr:cNvSpPr/>
        </xdr:nvSpPr>
        <xdr:spPr>
          <a:xfrm>
            <a:off x="5667375" y="881075"/>
            <a:ext cx="166700" cy="171450"/>
          </a:xfrm>
          <a:custGeom>
            <a:rect b="b" l="l" r="r" t="t"/>
            <a:pathLst>
              <a:path extrusionOk="0" h="6858" w="6668">
                <a:moveTo>
                  <a:pt x="0" y="6858"/>
                </a:moveTo>
                <a:lnTo>
                  <a:pt x="6668" y="6858"/>
                </a:lnTo>
                <a:lnTo>
                  <a:pt x="6668" y="0"/>
                </a:lnTo>
              </a:path>
            </a:pathLst>
          </a:custGeom>
          <a:noFill/>
          <a:ln cap="flat" cmpd="sng" w="19050">
            <a:solidFill>
              <a:srgbClr val="FF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13" name="Shape 13"/>
          <xdr:cNvSpPr txBox="1"/>
        </xdr:nvSpPr>
        <xdr:spPr>
          <a:xfrm>
            <a:off x="5610163" y="952363"/>
            <a:ext cx="281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1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14" name="Shape 14"/>
          <xdr:cNvSpPr txBox="1"/>
        </xdr:nvSpPr>
        <xdr:spPr>
          <a:xfrm>
            <a:off x="5781675" y="766700"/>
            <a:ext cx="352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z</a:t>
            </a:r>
            <a:r>
              <a:rPr lang="en-US" sz="700">
                <a:solidFill>
                  <a:srgbClr val="FF0000"/>
                </a:solidFill>
              </a:rPr>
              <a:t>4</a:t>
            </a:r>
            <a:endParaRPr sz="700">
              <a:solidFill>
                <a:srgbClr val="FF0000"/>
              </a:solidFill>
            </a:endParaRPr>
          </a:p>
        </xdr:txBody>
      </xdr:sp>
      <xdr:cxnSp>
        <xdr:nvCxnSpPr>
          <xdr:cNvPr id="15" name="Shape 15"/>
          <xdr:cNvCxnSpPr/>
        </xdr:nvCxnSpPr>
        <xdr:spPr>
          <a:xfrm>
            <a:off x="4467225" y="2124075"/>
            <a:ext cx="1109700" cy="0"/>
          </a:xfrm>
          <a:prstGeom prst="straightConnector1">
            <a:avLst/>
          </a:prstGeom>
          <a:noFill/>
          <a:ln cap="flat" cmpd="sng" w="9525">
            <a:solidFill>
              <a:srgbClr val="D9D9D9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6" name="Shape 16"/>
          <xdr:cNvCxnSpPr/>
        </xdr:nvCxnSpPr>
        <xdr:spPr>
          <a:xfrm>
            <a:off x="5443550" y="1166825"/>
            <a:ext cx="0" cy="957300"/>
          </a:xfrm>
          <a:prstGeom prst="straightConnector1">
            <a:avLst/>
          </a:prstGeom>
          <a:noFill/>
          <a:ln cap="flat" cmpd="sng" w="9525">
            <a:solidFill>
              <a:srgbClr val="FF9900"/>
            </a:solidFill>
            <a:prstDash val="solid"/>
            <a:round/>
            <a:headEnd len="med" w="med" type="triangle"/>
            <a:tailEnd len="med" w="med" type="triangle"/>
          </a:ln>
        </xdr:spPr>
      </xdr:cxnSp>
      <xdr:sp>
        <xdr:nvSpPr>
          <xdr:cNvPr id="17" name="Shape 17"/>
          <xdr:cNvSpPr txBox="1"/>
        </xdr:nvSpPr>
        <xdr:spPr>
          <a:xfrm>
            <a:off x="5443550" y="1445400"/>
            <a:ext cx="6477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9900"/>
                </a:solidFill>
              </a:rPr>
              <a:t>Desnivel Der</a:t>
            </a:r>
            <a:endParaRPr sz="800">
              <a:solidFill>
                <a:srgbClr val="FF9900"/>
              </a:solidFill>
            </a:endParaRPr>
          </a:p>
        </xdr:txBody>
      </xdr:sp>
      <xdr:cxnSp>
        <xdr:nvCxnSpPr>
          <xdr:cNvPr id="18" name="Shape 18"/>
          <xdr:cNvCxnSpPr/>
        </xdr:nvCxnSpPr>
        <xdr:spPr>
          <a:xfrm rot="10800000">
            <a:off x="1619325" y="2128850"/>
            <a:ext cx="1552500" cy="0"/>
          </a:xfrm>
          <a:prstGeom prst="straightConnector1">
            <a:avLst/>
          </a:prstGeom>
          <a:noFill/>
          <a:ln cap="flat" cmpd="sng" w="9525">
            <a:solidFill>
              <a:srgbClr val="D9D9D9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9" name="Shape 19"/>
          <xdr:cNvCxnSpPr/>
        </xdr:nvCxnSpPr>
        <xdr:spPr>
          <a:xfrm>
            <a:off x="1819275" y="1490675"/>
            <a:ext cx="0" cy="638100"/>
          </a:xfrm>
          <a:prstGeom prst="straightConnector1">
            <a:avLst/>
          </a:prstGeom>
          <a:noFill/>
          <a:ln cap="flat" cmpd="sng" w="9525">
            <a:solidFill>
              <a:srgbClr val="FF9900"/>
            </a:solidFill>
            <a:prstDash val="solid"/>
            <a:round/>
            <a:headEnd len="med" w="med" type="triangle"/>
            <a:tailEnd len="med" w="med" type="triangle"/>
          </a:ln>
        </xdr:spPr>
      </xdr:cxnSp>
      <xdr:sp>
        <xdr:nvSpPr>
          <xdr:cNvPr id="20" name="Shape 20"/>
          <xdr:cNvSpPr txBox="1"/>
        </xdr:nvSpPr>
        <xdr:spPr>
          <a:xfrm>
            <a:off x="1826413" y="1594175"/>
            <a:ext cx="6477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9900"/>
                </a:solidFill>
              </a:rPr>
              <a:t>Desnivel Izq</a:t>
            </a:r>
            <a:endParaRPr sz="800">
              <a:solidFill>
                <a:srgbClr val="FF9900"/>
              </a:solidFill>
            </a:endParaRPr>
          </a:p>
        </xdr:txBody>
      </xdr:sp>
      <xdr:sp>
        <xdr:nvSpPr>
          <xdr:cNvPr id="21" name="Shape 21"/>
          <xdr:cNvSpPr txBox="1"/>
        </xdr:nvSpPr>
        <xdr:spPr>
          <a:xfrm>
            <a:off x="2633613" y="1821613"/>
            <a:ext cx="281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1</a:t>
            </a:r>
            <a:endParaRPr sz="1400">
              <a:solidFill>
                <a:srgbClr val="FF0000"/>
              </a:solidFill>
            </a:endParaRPr>
          </a:p>
        </xdr:txBody>
      </xdr:sp>
      <xdr:cxnSp>
        <xdr:nvCxnSpPr>
          <xdr:cNvPr id="22" name="Shape 22"/>
          <xdr:cNvCxnSpPr/>
        </xdr:nvCxnSpPr>
        <xdr:spPr>
          <a:xfrm rot="10800000">
            <a:off x="1638300" y="1200275"/>
            <a:ext cx="0" cy="290400"/>
          </a:xfrm>
          <a:prstGeom prst="straightConnector1">
            <a:avLst/>
          </a:prstGeom>
          <a:noFill/>
          <a:ln cap="flat" cmpd="sng" w="9525">
            <a:solidFill>
              <a:srgbClr val="D9D9D9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/>
        </xdr:nvCxnSpPr>
        <xdr:spPr>
          <a:xfrm rot="10800000">
            <a:off x="2643200" y="1219175"/>
            <a:ext cx="0" cy="271500"/>
          </a:xfrm>
          <a:prstGeom prst="straightConnector1">
            <a:avLst/>
          </a:prstGeom>
          <a:noFill/>
          <a:ln cap="flat" cmpd="sng" w="9525">
            <a:solidFill>
              <a:srgbClr val="D9D9D9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4" name="Shape 24"/>
          <xdr:cNvCxnSpPr/>
        </xdr:nvCxnSpPr>
        <xdr:spPr>
          <a:xfrm>
            <a:off x="1643075" y="1290650"/>
            <a:ext cx="1005000" cy="0"/>
          </a:xfrm>
          <a:prstGeom prst="straightConnector1">
            <a:avLst/>
          </a:prstGeom>
          <a:noFill/>
          <a:ln cap="flat" cmpd="sng" w="9525">
            <a:solidFill>
              <a:srgbClr val="FF9900"/>
            </a:solidFill>
            <a:prstDash val="solid"/>
            <a:round/>
            <a:headEnd len="med" w="med" type="triangle"/>
            <a:tailEnd len="med" w="med" type="triangle"/>
          </a:ln>
        </xdr:spPr>
      </xdr:cxnSp>
      <xdr:sp>
        <xdr:nvSpPr>
          <xdr:cNvPr id="25" name="Shape 25"/>
          <xdr:cNvSpPr txBox="1"/>
        </xdr:nvSpPr>
        <xdr:spPr>
          <a:xfrm>
            <a:off x="1643075" y="947750"/>
            <a:ext cx="10050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b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9900"/>
                </a:solidFill>
              </a:rPr>
              <a:t>Hombro</a:t>
            </a:r>
            <a:r>
              <a:rPr lang="en-US" sz="800">
                <a:solidFill>
                  <a:srgbClr val="FF9900"/>
                </a:solidFill>
              </a:rPr>
              <a:t> Izq</a:t>
            </a:r>
            <a:endParaRPr sz="800">
              <a:solidFill>
                <a:srgbClr val="FF9900"/>
              </a:solidFill>
            </a:endParaRPr>
          </a:p>
        </xdr:txBody>
      </xdr:sp>
      <xdr:cxnSp>
        <xdr:nvCxnSpPr>
          <xdr:cNvPr id="26" name="Shape 26"/>
          <xdr:cNvCxnSpPr/>
        </xdr:nvCxnSpPr>
        <xdr:spPr>
          <a:xfrm rot="10800000">
            <a:off x="5553075" y="933500"/>
            <a:ext cx="0" cy="223800"/>
          </a:xfrm>
          <a:prstGeom prst="straightConnector1">
            <a:avLst/>
          </a:prstGeom>
          <a:noFill/>
          <a:ln cap="flat" cmpd="sng" w="9525">
            <a:solidFill>
              <a:srgbClr val="D9D9D9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7" name="Shape 27"/>
          <xdr:cNvCxnSpPr/>
        </xdr:nvCxnSpPr>
        <xdr:spPr>
          <a:xfrm rot="10800000">
            <a:off x="4738700" y="919125"/>
            <a:ext cx="0" cy="233400"/>
          </a:xfrm>
          <a:prstGeom prst="straightConnector1">
            <a:avLst/>
          </a:prstGeom>
          <a:noFill/>
          <a:ln cap="flat" cmpd="sng" w="9525">
            <a:solidFill>
              <a:srgbClr val="D9D9D9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8" name="Shape 28"/>
          <xdr:cNvCxnSpPr/>
        </xdr:nvCxnSpPr>
        <xdr:spPr>
          <a:xfrm>
            <a:off x="4743450" y="995375"/>
            <a:ext cx="814500" cy="0"/>
          </a:xfrm>
          <a:prstGeom prst="straightConnector1">
            <a:avLst/>
          </a:prstGeom>
          <a:noFill/>
          <a:ln cap="flat" cmpd="sng" w="9525">
            <a:solidFill>
              <a:srgbClr val="FF9900"/>
            </a:solidFill>
            <a:prstDash val="solid"/>
            <a:round/>
            <a:headEnd len="med" w="med" type="triangl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4648200" y="687575"/>
            <a:ext cx="10050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b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9900"/>
                </a:solidFill>
              </a:rPr>
              <a:t>Hombro Der</a:t>
            </a:r>
            <a:endParaRPr sz="800">
              <a:solidFill>
                <a:srgbClr val="FF9900"/>
              </a:solidFill>
            </a:endParaRPr>
          </a:p>
        </xdr:txBody>
      </xdr:sp>
      <xdr:cxnSp>
        <xdr:nvCxnSpPr>
          <xdr:cNvPr id="30" name="Shape 30"/>
          <xdr:cNvCxnSpPr/>
        </xdr:nvCxnSpPr>
        <xdr:spPr>
          <a:xfrm>
            <a:off x="3014675" y="2138375"/>
            <a:ext cx="0" cy="271500"/>
          </a:xfrm>
          <a:prstGeom prst="straightConnector1">
            <a:avLst/>
          </a:prstGeom>
          <a:noFill/>
          <a:ln cap="flat" cmpd="sng" w="9525">
            <a:solidFill>
              <a:srgbClr val="D9D9D9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1" name="Shape 31"/>
          <xdr:cNvCxnSpPr/>
        </xdr:nvCxnSpPr>
        <xdr:spPr>
          <a:xfrm>
            <a:off x="4472000" y="2124075"/>
            <a:ext cx="0" cy="290400"/>
          </a:xfrm>
          <a:prstGeom prst="straightConnector1">
            <a:avLst/>
          </a:prstGeom>
          <a:noFill/>
          <a:ln cap="flat" cmpd="sng" w="9525">
            <a:solidFill>
              <a:srgbClr val="D9D9D9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2" name="Shape 32"/>
          <xdr:cNvCxnSpPr/>
        </xdr:nvCxnSpPr>
        <xdr:spPr>
          <a:xfrm>
            <a:off x="3024200" y="2314575"/>
            <a:ext cx="1443000" cy="0"/>
          </a:xfrm>
          <a:prstGeom prst="straightConnector1">
            <a:avLst/>
          </a:prstGeom>
          <a:noFill/>
          <a:ln cap="flat" cmpd="sng" w="9525">
            <a:solidFill>
              <a:srgbClr val="FF9900"/>
            </a:solidFill>
            <a:prstDash val="solid"/>
            <a:round/>
            <a:headEnd len="med" w="med" type="triangle"/>
            <a:tailEnd len="med" w="med" type="triangle"/>
          </a:ln>
        </xdr:spPr>
      </xdr:cxnSp>
      <xdr:sp>
        <xdr:nvSpPr>
          <xdr:cNvPr id="33" name="Shape 33"/>
          <xdr:cNvSpPr txBox="1"/>
        </xdr:nvSpPr>
        <xdr:spPr>
          <a:xfrm>
            <a:off x="3240825" y="2263950"/>
            <a:ext cx="10050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b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9900"/>
                </a:solidFill>
              </a:rPr>
              <a:t>Ancho base</a:t>
            </a:r>
            <a:endParaRPr sz="800">
              <a:solidFill>
                <a:srgbClr val="FF9900"/>
              </a:solidFill>
            </a:endParaRPr>
          </a:p>
        </xdr:txBody>
      </xdr:sp>
      <xdr:sp>
        <xdr:nvSpPr>
          <xdr:cNvPr id="34" name="Shape 34"/>
          <xdr:cNvSpPr/>
        </xdr:nvSpPr>
        <xdr:spPr>
          <a:xfrm>
            <a:off x="920325" y="764700"/>
            <a:ext cx="5017350" cy="1359875"/>
          </a:xfrm>
          <a:custGeom>
            <a:rect b="b" l="l" r="r" t="t"/>
            <a:pathLst>
              <a:path extrusionOk="0" h="54395" w="200694">
                <a:moveTo>
                  <a:pt x="0" y="325"/>
                </a:moveTo>
                <a:lnTo>
                  <a:pt x="28521" y="28846"/>
                </a:lnTo>
                <a:lnTo>
                  <a:pt x="68842" y="28846"/>
                </a:lnTo>
                <a:lnTo>
                  <a:pt x="83593" y="54395"/>
                </a:lnTo>
                <a:lnTo>
                  <a:pt x="142012" y="54395"/>
                </a:lnTo>
                <a:lnTo>
                  <a:pt x="152458" y="15409"/>
                </a:lnTo>
                <a:lnTo>
                  <a:pt x="185284" y="15409"/>
                </a:lnTo>
                <a:lnTo>
                  <a:pt x="200694" y="0"/>
                </a:lnTo>
              </a:path>
            </a:pathLst>
          </a:custGeom>
          <a:noFill/>
          <a:ln cap="flat" cmpd="sng" w="38100">
            <a:solidFill>
              <a:srgbClr val="38761D"/>
            </a:solidFill>
            <a:prstDash val="solid"/>
            <a:round/>
            <a:headEnd len="med" w="med" type="none"/>
            <a:tailEnd len="med" w="med" type="none"/>
          </a:ln>
        </xdr:spPr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0</xdr:row>
      <xdr:rowOff>200025</xdr:rowOff>
    </xdr:from>
    <xdr:ext cx="3324225" cy="22002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561975</xdr:colOff>
      <xdr:row>0</xdr:row>
      <xdr:rowOff>190500</xdr:rowOff>
    </xdr:from>
    <xdr:ext cx="3324225" cy="22002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0</xdr:row>
      <xdr:rowOff>190500</xdr:rowOff>
    </xdr:from>
    <xdr:ext cx="3324225" cy="22002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13</xdr:row>
      <xdr:rowOff>57150</xdr:rowOff>
    </xdr:from>
    <xdr:ext cx="6086475" cy="2162175"/>
    <xdr:pic>
      <xdr:nvPicPr>
        <xdr:cNvPr id="0" name="image9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0</xdr:row>
      <xdr:rowOff>180975</xdr:rowOff>
    </xdr:from>
    <xdr:ext cx="3324225" cy="220027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0</xdr:row>
      <xdr:rowOff>190500</xdr:rowOff>
    </xdr:from>
    <xdr:ext cx="3324225" cy="22002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0</xdr:row>
      <xdr:rowOff>0</xdr:rowOff>
    </xdr:from>
    <xdr:ext cx="4724400" cy="1838325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1</xdr:row>
      <xdr:rowOff>28575</xdr:rowOff>
    </xdr:from>
    <xdr:ext cx="3343275" cy="2200275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0</xdr:row>
      <xdr:rowOff>0</xdr:rowOff>
    </xdr:from>
    <xdr:ext cx="6076950" cy="236220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0"/>
    <col customWidth="1" min="3" max="3" width="15.25"/>
    <col customWidth="1" min="4" max="4" width="3.0"/>
    <col customWidth="1" min="5" max="5" width="6.13"/>
    <col customWidth="1" min="6" max="6" width="7.75"/>
  </cols>
  <sheetData>
    <row r="2">
      <c r="B2" s="1" t="s">
        <v>0</v>
      </c>
      <c r="C2" s="2" t="s">
        <v>1</v>
      </c>
      <c r="D2" s="3" t="s">
        <v>2</v>
      </c>
      <c r="E2" s="4">
        <v>150.0</v>
      </c>
      <c r="F2" s="4" t="s">
        <v>3</v>
      </c>
      <c r="J2" s="5"/>
      <c r="K2" s="5"/>
    </row>
    <row r="3">
      <c r="C3" s="2" t="s">
        <v>4</v>
      </c>
      <c r="D3" s="3" t="s">
        <v>5</v>
      </c>
      <c r="E3" s="6">
        <v>0.03</v>
      </c>
      <c r="F3" s="4"/>
      <c r="J3" s="5"/>
      <c r="K3" s="5"/>
    </row>
    <row r="4">
      <c r="C4" s="7" t="s">
        <v>6</v>
      </c>
      <c r="D4" s="8" t="s">
        <v>7</v>
      </c>
      <c r="E4" s="9">
        <f>2*10^-3</f>
        <v>0.002</v>
      </c>
      <c r="F4" s="4" t="s">
        <v>8</v>
      </c>
    </row>
    <row r="5">
      <c r="C5" s="10"/>
      <c r="D5" s="10"/>
      <c r="E5" s="11">
        <f>E4*100</f>
        <v>0.2</v>
      </c>
      <c r="F5" s="4" t="s">
        <v>9</v>
      </c>
    </row>
    <row r="6">
      <c r="C6" s="2" t="s">
        <v>10</v>
      </c>
      <c r="D6" s="3" t="s">
        <v>11</v>
      </c>
      <c r="E6" s="4">
        <v>15.0</v>
      </c>
      <c r="F6" s="4" t="s">
        <v>12</v>
      </c>
    </row>
    <row r="7">
      <c r="C7" s="2" t="s">
        <v>13</v>
      </c>
      <c r="D7" s="3" t="s">
        <v>14</v>
      </c>
      <c r="E7" s="4">
        <v>2.0</v>
      </c>
      <c r="F7" s="4" t="str">
        <f t="shared" ref="F7:F8" si="1">E7&amp;"V:1H"</f>
        <v>2V:1H</v>
      </c>
    </row>
    <row r="8">
      <c r="C8" s="2" t="s">
        <v>15</v>
      </c>
      <c r="D8" s="3" t="s">
        <v>16</v>
      </c>
      <c r="E8" s="4">
        <v>1.5</v>
      </c>
      <c r="F8" s="4" t="str">
        <f t="shared" si="1"/>
        <v>1,5V:1H</v>
      </c>
    </row>
    <row r="9">
      <c r="C9" s="7" t="s">
        <v>17</v>
      </c>
      <c r="D9" s="3" t="s">
        <v>18</v>
      </c>
      <c r="E9" s="12">
        <v>4.0</v>
      </c>
      <c r="F9" s="4" t="s">
        <v>12</v>
      </c>
    </row>
    <row r="10">
      <c r="C10" s="10"/>
      <c r="D10" s="3" t="s">
        <v>19</v>
      </c>
      <c r="E10" s="12">
        <v>6.0</v>
      </c>
      <c r="F10" s="4" t="s">
        <v>12</v>
      </c>
    </row>
    <row r="11">
      <c r="C11" s="7" t="s">
        <v>20</v>
      </c>
      <c r="D11" s="3" t="s">
        <v>18</v>
      </c>
      <c r="E11" s="12">
        <v>2.0</v>
      </c>
      <c r="F11" s="4" t="s">
        <v>12</v>
      </c>
    </row>
    <row r="12">
      <c r="C12" s="10"/>
      <c r="D12" s="3" t="s">
        <v>19</v>
      </c>
      <c r="E12" s="12">
        <v>4.0</v>
      </c>
      <c r="F12" s="4" t="s">
        <v>12</v>
      </c>
    </row>
    <row r="13">
      <c r="C13" s="2" t="s">
        <v>21</v>
      </c>
      <c r="D13" s="3" t="s">
        <v>22</v>
      </c>
      <c r="E13" s="12">
        <v>1.0</v>
      </c>
      <c r="F13" s="4" t="str">
        <f t="shared" ref="F13:F14" si="2">E13&amp;"V:1H"</f>
        <v>1V:1H</v>
      </c>
    </row>
    <row r="14">
      <c r="C14" s="2" t="s">
        <v>23</v>
      </c>
      <c r="D14" s="3" t="s">
        <v>24</v>
      </c>
      <c r="E14" s="12">
        <v>1.0</v>
      </c>
      <c r="F14" s="4" t="str">
        <f t="shared" si="2"/>
        <v>1V:1H</v>
      </c>
    </row>
    <row r="15">
      <c r="C15" s="2" t="s">
        <v>25</v>
      </c>
      <c r="D15" s="3" t="s">
        <v>26</v>
      </c>
      <c r="E15" s="13">
        <v>9.81</v>
      </c>
      <c r="F15" s="4" t="s">
        <v>27</v>
      </c>
    </row>
    <row r="17">
      <c r="C17" s="14" t="s">
        <v>28</v>
      </c>
      <c r="D17" s="15"/>
      <c r="E17" s="11">
        <f>(E3*E2)/SQRT(E4)</f>
        <v>100.623059</v>
      </c>
      <c r="F17" s="3" t="s">
        <v>29</v>
      </c>
    </row>
    <row r="19">
      <c r="C19" s="2" t="s">
        <v>30</v>
      </c>
      <c r="D19" s="3" t="s">
        <v>31</v>
      </c>
      <c r="E19" s="6">
        <v>1.29</v>
      </c>
      <c r="F19" s="4" t="s">
        <v>12</v>
      </c>
      <c r="G19" s="16" t="s">
        <v>32</v>
      </c>
    </row>
  </sheetData>
  <mergeCells count="5">
    <mergeCell ref="B2:B15"/>
    <mergeCell ref="C4:C5"/>
    <mergeCell ref="D4:D5"/>
    <mergeCell ref="C9:C10"/>
    <mergeCell ref="C11:C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4.63"/>
    <col customWidth="1" min="3" max="3" width="17.63"/>
    <col customWidth="1" min="4" max="4" width="3.38"/>
    <col customWidth="1" min="5" max="5" width="8.0"/>
    <col customWidth="1" min="6" max="6" width="7.75"/>
    <col customWidth="1" min="7" max="7" width="13.13"/>
  </cols>
  <sheetData>
    <row r="2">
      <c r="A2" s="17"/>
      <c r="B2" s="1" t="s">
        <v>0</v>
      </c>
      <c r="C2" s="2" t="s">
        <v>1</v>
      </c>
      <c r="D2" s="3" t="s">
        <v>2</v>
      </c>
      <c r="E2" s="4">
        <v>30.0</v>
      </c>
      <c r="F2" s="4" t="s">
        <v>3</v>
      </c>
      <c r="H2" s="18"/>
    </row>
    <row r="3">
      <c r="A3" s="17"/>
      <c r="C3" s="2" t="s">
        <v>10</v>
      </c>
      <c r="D3" s="3" t="s">
        <v>11</v>
      </c>
      <c r="E3" s="4">
        <v>4.0</v>
      </c>
      <c r="F3" s="4" t="s">
        <v>12</v>
      </c>
    </row>
    <row r="4">
      <c r="A4" s="17"/>
      <c r="C4" s="2" t="s">
        <v>33</v>
      </c>
      <c r="D4" s="3" t="s">
        <v>34</v>
      </c>
      <c r="E4" s="4">
        <v>2.5</v>
      </c>
      <c r="F4" s="4" t="str">
        <f t="shared" ref="F4:F5" si="1">E4&amp;"H : 1V"</f>
        <v>2,5H : 1V</v>
      </c>
    </row>
    <row r="5">
      <c r="A5" s="17"/>
      <c r="C5" s="2" t="s">
        <v>35</v>
      </c>
      <c r="D5" s="3" t="s">
        <v>36</v>
      </c>
      <c r="E5" s="4">
        <v>3.5</v>
      </c>
      <c r="F5" s="4" t="str">
        <f t="shared" si="1"/>
        <v>3,5H : 1V</v>
      </c>
    </row>
    <row r="6">
      <c r="A6" s="17"/>
      <c r="C6" s="2" t="s">
        <v>4</v>
      </c>
      <c r="D6" s="3" t="s">
        <v>5</v>
      </c>
      <c r="E6" s="6">
        <v>0.013</v>
      </c>
      <c r="F6" s="4" t="s">
        <v>37</v>
      </c>
    </row>
    <row r="7">
      <c r="A7" s="17"/>
      <c r="C7" s="2" t="s">
        <v>25</v>
      </c>
      <c r="D7" s="3" t="s">
        <v>26</v>
      </c>
      <c r="E7" s="13">
        <v>9.81</v>
      </c>
      <c r="F7" s="4" t="s">
        <v>27</v>
      </c>
    </row>
    <row r="8">
      <c r="A8" s="19"/>
      <c r="B8" s="19"/>
      <c r="C8" s="19"/>
      <c r="D8" s="20"/>
      <c r="E8" s="21"/>
    </row>
    <row r="9">
      <c r="A9" s="17"/>
      <c r="B9" s="17"/>
      <c r="C9" s="2" t="s">
        <v>30</v>
      </c>
      <c r="D9" s="3" t="s">
        <v>31</v>
      </c>
      <c r="E9" s="22">
        <v>1.29981689453125</v>
      </c>
      <c r="F9" s="4" t="s">
        <v>12</v>
      </c>
      <c r="G9" s="16" t="s">
        <v>32</v>
      </c>
    </row>
    <row r="10">
      <c r="A10" s="19"/>
      <c r="B10" s="19"/>
      <c r="C10" s="19"/>
      <c r="D10" s="23"/>
      <c r="G10" s="20" t="s">
        <v>38</v>
      </c>
    </row>
    <row r="11">
      <c r="A11" s="17"/>
      <c r="B11" s="17"/>
      <c r="C11" s="2" t="s">
        <v>39</v>
      </c>
      <c r="D11" s="3" t="s">
        <v>40</v>
      </c>
      <c r="E11" s="22">
        <f>((E4*E9^2)/2)+(E3*E9)+((E5*E9^2)/2)</f>
        <v>10.26783946</v>
      </c>
      <c r="F11" s="4" t="s">
        <v>41</v>
      </c>
    </row>
    <row r="12">
      <c r="A12" s="17"/>
      <c r="B12" s="17"/>
      <c r="C12" s="2" t="s">
        <v>42</v>
      </c>
      <c r="D12" s="3" t="s">
        <v>43</v>
      </c>
      <c r="E12" s="22">
        <f>(E4*E9)+E3+(E5*E9)</f>
        <v>11.79890137</v>
      </c>
      <c r="F12" s="4" t="s">
        <v>12</v>
      </c>
    </row>
    <row r="13">
      <c r="A13" s="17"/>
      <c r="B13" s="17"/>
      <c r="C13" s="2" t="s">
        <v>44</v>
      </c>
      <c r="D13" s="3" t="s">
        <v>45</v>
      </c>
      <c r="E13" s="22">
        <f>(E9*SQRT(1+E4^2))+E3+(E9*SQRT(1+E5^2))</f>
        <v>12.23126901</v>
      </c>
      <c r="F13" s="4" t="s">
        <v>12</v>
      </c>
    </row>
    <row r="14">
      <c r="A14" s="19"/>
      <c r="B14" s="19"/>
      <c r="C14" s="19"/>
      <c r="D14" s="23"/>
    </row>
    <row r="15">
      <c r="A15" s="17"/>
      <c r="B15" s="17"/>
      <c r="C15" s="2" t="s">
        <v>46</v>
      </c>
      <c r="D15" s="3" t="s">
        <v>47</v>
      </c>
      <c r="E15" s="22">
        <f>E11/E13</f>
        <v>0.8394745832</v>
      </c>
      <c r="F15" s="4" t="s">
        <v>12</v>
      </c>
    </row>
    <row r="16">
      <c r="A16" s="17"/>
      <c r="B16" s="17"/>
      <c r="C16" s="2" t="s">
        <v>48</v>
      </c>
      <c r="D16" s="3" t="s">
        <v>49</v>
      </c>
      <c r="E16" s="22">
        <f>E11/E12</f>
        <v>0.8702369091</v>
      </c>
      <c r="F16" s="4" t="s">
        <v>12</v>
      </c>
    </row>
    <row r="17">
      <c r="A17" s="17"/>
      <c r="B17" s="17"/>
      <c r="C17" s="17"/>
      <c r="D17" s="20"/>
      <c r="E17" s="24"/>
      <c r="F17" s="16"/>
    </row>
    <row r="18">
      <c r="A18" s="17"/>
      <c r="B18" s="17"/>
      <c r="C18" s="2" t="s">
        <v>50</v>
      </c>
      <c r="D18" s="3" t="s">
        <v>51</v>
      </c>
      <c r="E18" s="22">
        <f>E2/E11</f>
        <v>2.921744163</v>
      </c>
      <c r="F18" s="4" t="s">
        <v>52</v>
      </c>
    </row>
    <row r="19">
      <c r="D19" s="23"/>
    </row>
    <row r="20">
      <c r="A20" s="17"/>
      <c r="B20" s="17"/>
      <c r="C20" s="2" t="s">
        <v>53</v>
      </c>
      <c r="D20" s="3" t="s">
        <v>54</v>
      </c>
      <c r="E20" s="22">
        <f>E18/SQRT(E7*E16)</f>
        <v>0.9999745152</v>
      </c>
      <c r="F20" s="4" t="s">
        <v>55</v>
      </c>
    </row>
    <row r="21">
      <c r="C21" s="14" t="s">
        <v>56</v>
      </c>
      <c r="D21" s="25"/>
      <c r="E21" s="26" t="str">
        <f>IF(ROUND(E20,3)&gt;1,"Supercrítico",IF(ROUND(E20,3)&lt;1,"Subcrítico","Crítico"))</f>
        <v>Crítico</v>
      </c>
      <c r="F21" s="27"/>
    </row>
    <row r="22">
      <c r="D22" s="23"/>
    </row>
    <row r="23">
      <c r="C23" s="2" t="s">
        <v>57</v>
      </c>
      <c r="D23" s="3" t="s">
        <v>58</v>
      </c>
      <c r="E23" s="22">
        <f>E9+(E2^2/(E11^2*2*E7))</f>
        <v>1.734913172</v>
      </c>
      <c r="F23" s="4" t="s">
        <v>12</v>
      </c>
    </row>
    <row r="24">
      <c r="D24" s="23"/>
    </row>
    <row r="25">
      <c r="A25" s="28"/>
      <c r="B25" s="28"/>
      <c r="C25" s="7" t="s">
        <v>6</v>
      </c>
      <c r="D25" s="8" t="s">
        <v>59</v>
      </c>
      <c r="E25" s="29">
        <f>((E2*E6)/(E11*(E15^(2/3))))^2</f>
        <v>0.001821773328</v>
      </c>
      <c r="F25" s="4" t="s">
        <v>8</v>
      </c>
      <c r="H25" s="30"/>
    </row>
    <row r="26">
      <c r="A26" s="28"/>
      <c r="B26" s="28"/>
      <c r="C26" s="10"/>
      <c r="D26" s="10"/>
      <c r="E26" s="11">
        <f>E25*100</f>
        <v>0.1821773328</v>
      </c>
      <c r="F26" s="4" t="s">
        <v>9</v>
      </c>
    </row>
  </sheetData>
  <mergeCells count="5">
    <mergeCell ref="B2:B7"/>
    <mergeCell ref="H2:K12"/>
    <mergeCell ref="E21:F21"/>
    <mergeCell ref="C25:C26"/>
    <mergeCell ref="D25:D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.0"/>
    <col customWidth="1" min="3" max="3" width="15.88"/>
    <col customWidth="1" min="4" max="4" width="4.0"/>
    <col customWidth="1" min="5" max="6" width="7.75"/>
  </cols>
  <sheetData>
    <row r="2">
      <c r="B2" s="1" t="s">
        <v>0</v>
      </c>
      <c r="C2" s="2" t="s">
        <v>1</v>
      </c>
      <c r="D2" s="3" t="s">
        <v>2</v>
      </c>
      <c r="E2" s="4">
        <v>20.0</v>
      </c>
      <c r="F2" s="4" t="s">
        <v>3</v>
      </c>
    </row>
    <row r="3">
      <c r="C3" s="2" t="s">
        <v>10</v>
      </c>
      <c r="D3" s="3" t="s">
        <v>11</v>
      </c>
      <c r="E3" s="4">
        <v>4.0</v>
      </c>
      <c r="F3" s="4" t="s">
        <v>12</v>
      </c>
    </row>
    <row r="4">
      <c r="C4" s="2" t="s">
        <v>30</v>
      </c>
      <c r="D4" s="3" t="s">
        <v>31</v>
      </c>
      <c r="E4" s="12">
        <v>2.0</v>
      </c>
      <c r="F4" s="4" t="s">
        <v>12</v>
      </c>
    </row>
    <row r="5">
      <c r="C5" s="2" t="s">
        <v>4</v>
      </c>
      <c r="D5" s="3" t="s">
        <v>5</v>
      </c>
      <c r="E5" s="6">
        <v>0.013</v>
      </c>
      <c r="F5" s="4" t="s">
        <v>55</v>
      </c>
    </row>
    <row r="6">
      <c r="C6" s="2" t="s">
        <v>25</v>
      </c>
      <c r="D6" s="3" t="s">
        <v>26</v>
      </c>
      <c r="E6" s="13">
        <v>9.81</v>
      </c>
      <c r="F6" s="4" t="s">
        <v>27</v>
      </c>
    </row>
    <row r="8">
      <c r="C8" s="31" t="s">
        <v>60</v>
      </c>
      <c r="D8" s="32" t="s">
        <v>61</v>
      </c>
      <c r="E8" s="33">
        <f>E4+((E2^2)/(2*E6*(E3*E4)^2))</f>
        <v>2.318552497</v>
      </c>
      <c r="F8" s="34" t="s">
        <v>12</v>
      </c>
    </row>
    <row r="9">
      <c r="C9" s="31" t="s">
        <v>62</v>
      </c>
      <c r="D9" s="32" t="s">
        <v>63</v>
      </c>
      <c r="E9" s="35">
        <f>(E2/((E3*E4)*SQRT(E6*E4)))</f>
        <v>0.5644045512</v>
      </c>
      <c r="F9" s="34" t="s">
        <v>55</v>
      </c>
    </row>
    <row r="10">
      <c r="C10" s="7" t="s">
        <v>64</v>
      </c>
      <c r="D10" s="8" t="s">
        <v>65</v>
      </c>
      <c r="E10" s="36">
        <f>((E2*E5)/((E3*E4)*((E3*E4)/(E3+E4*2))^(2/3)))^2</f>
        <v>0.00105625</v>
      </c>
      <c r="F10" s="34" t="s">
        <v>8</v>
      </c>
    </row>
    <row r="11">
      <c r="C11" s="10"/>
      <c r="D11" s="10"/>
      <c r="E11" s="35">
        <f>E10*100</f>
        <v>0.105625</v>
      </c>
      <c r="F11" s="34" t="s">
        <v>9</v>
      </c>
    </row>
    <row r="12">
      <c r="C12" s="31" t="s">
        <v>66</v>
      </c>
      <c r="D12" s="32" t="s">
        <v>67</v>
      </c>
      <c r="E12" s="35">
        <f>(3/2)*(((E2^2)/((E3^2)*E6)))^(1/3)</f>
        <v>2.048872466</v>
      </c>
      <c r="F12" s="34" t="s">
        <v>12</v>
      </c>
    </row>
    <row r="13">
      <c r="C13" s="31" t="s">
        <v>68</v>
      </c>
      <c r="D13" s="32" t="s">
        <v>69</v>
      </c>
      <c r="E13" s="11">
        <f>E8-E12</f>
        <v>0.2696800315</v>
      </c>
      <c r="F13" s="4" t="s">
        <v>12</v>
      </c>
    </row>
    <row r="14">
      <c r="C14" s="2" t="s">
        <v>70</v>
      </c>
      <c r="D14" s="32" t="s">
        <v>71</v>
      </c>
      <c r="E14" s="9">
        <f>(2/3)*E12</f>
        <v>1.365914977</v>
      </c>
      <c r="F14" s="4" t="s">
        <v>12</v>
      </c>
    </row>
    <row r="15">
      <c r="C15" s="2" t="s">
        <v>72</v>
      </c>
      <c r="D15" s="3" t="s">
        <v>73</v>
      </c>
      <c r="E15" s="37">
        <f>0.1*E4</f>
        <v>0.2</v>
      </c>
      <c r="F15" s="4" t="s">
        <v>12</v>
      </c>
      <c r="H15" s="18"/>
    </row>
    <row r="16">
      <c r="C16" s="2" t="s">
        <v>74</v>
      </c>
      <c r="D16" s="3" t="s">
        <v>75</v>
      </c>
      <c r="E16" s="22">
        <f>0.1*E14</f>
        <v>0.1365914977</v>
      </c>
      <c r="F16" s="4" t="s">
        <v>12</v>
      </c>
    </row>
    <row r="17">
      <c r="C17" s="2" t="s">
        <v>76</v>
      </c>
      <c r="D17" s="3" t="s">
        <v>77</v>
      </c>
      <c r="E17" s="38">
        <f>E15+E4</f>
        <v>2.2</v>
      </c>
      <c r="F17" s="4" t="s">
        <v>12</v>
      </c>
    </row>
    <row r="18">
      <c r="C18" s="2" t="s">
        <v>78</v>
      </c>
      <c r="D18" s="3" t="s">
        <v>79</v>
      </c>
      <c r="E18" s="22">
        <f>E16+E14+E13</f>
        <v>1.772186507</v>
      </c>
      <c r="F18" s="4" t="s">
        <v>12</v>
      </c>
    </row>
  </sheetData>
  <mergeCells count="4">
    <mergeCell ref="B2:B6"/>
    <mergeCell ref="H2:N12"/>
    <mergeCell ref="C10:C11"/>
    <mergeCell ref="D10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.0"/>
    <col customWidth="1" min="3" max="3" width="17.63"/>
    <col customWidth="1" min="4" max="4" width="3.0"/>
    <col customWidth="1" min="5" max="5" width="7.0"/>
    <col customWidth="1" min="6" max="6" width="8.88"/>
  </cols>
  <sheetData>
    <row r="2">
      <c r="B2" s="1" t="s">
        <v>0</v>
      </c>
      <c r="C2" s="2" t="s">
        <v>1</v>
      </c>
      <c r="D2" s="3" t="s">
        <v>2</v>
      </c>
      <c r="E2" s="4">
        <v>6.0</v>
      </c>
      <c r="F2" s="4" t="s">
        <v>3</v>
      </c>
    </row>
    <row r="3">
      <c r="C3" s="7" t="s">
        <v>80</v>
      </c>
      <c r="D3" s="3" t="s">
        <v>81</v>
      </c>
      <c r="E3" s="4">
        <v>70.0</v>
      </c>
      <c r="F3" s="4" t="s">
        <v>82</v>
      </c>
    </row>
    <row r="4">
      <c r="C4" s="10"/>
      <c r="D4" s="3" t="s">
        <v>12</v>
      </c>
      <c r="E4" s="39">
        <f>1/TAN(RADIANS(E3))</f>
        <v>0.3639702343</v>
      </c>
      <c r="F4" s="4" t="str">
        <f>ROUND(E4 ,2)&amp;"H : 1V"</f>
        <v>0,36H : 1V</v>
      </c>
    </row>
    <row r="5">
      <c r="C5" s="7" t="s">
        <v>6</v>
      </c>
      <c r="D5" s="8" t="s">
        <v>83</v>
      </c>
      <c r="E5" s="6">
        <v>0.3</v>
      </c>
      <c r="F5" s="4" t="s">
        <v>84</v>
      </c>
    </row>
    <row r="6">
      <c r="C6" s="10"/>
      <c r="D6" s="10"/>
      <c r="E6" s="6">
        <f>E5/100</f>
        <v>0.003</v>
      </c>
      <c r="F6" s="4" t="s">
        <v>8</v>
      </c>
    </row>
    <row r="7">
      <c r="C7" s="2" t="s">
        <v>4</v>
      </c>
      <c r="D7" s="3" t="s">
        <v>5</v>
      </c>
      <c r="E7" s="6">
        <v>0.025</v>
      </c>
      <c r="F7" s="4"/>
    </row>
    <row r="8">
      <c r="C8" s="2" t="s">
        <v>25</v>
      </c>
      <c r="D8" s="3" t="s">
        <v>26</v>
      </c>
      <c r="E8" s="13">
        <v>9.81</v>
      </c>
      <c r="F8" s="4" t="s">
        <v>27</v>
      </c>
    </row>
    <row r="9">
      <c r="D9" s="23"/>
    </row>
    <row r="10">
      <c r="C10" s="2" t="s">
        <v>30</v>
      </c>
      <c r="D10" s="3" t="s">
        <v>31</v>
      </c>
      <c r="E10" s="40">
        <f>((4*E2^3*E7^3*(E4^2+1))/(E4^5*E6^(3/2)))^(1/8)</f>
        <v>3.314506416</v>
      </c>
      <c r="F10" s="4" t="s">
        <v>12</v>
      </c>
    </row>
    <row r="11">
      <c r="C11" s="19"/>
      <c r="D11" s="23"/>
    </row>
    <row r="12">
      <c r="C12" s="2" t="s">
        <v>39</v>
      </c>
      <c r="D12" s="3" t="s">
        <v>40</v>
      </c>
      <c r="E12" s="22">
        <f>(E4*E10^2)</f>
        <v>3.998559808</v>
      </c>
      <c r="F12" s="4" t="s">
        <v>41</v>
      </c>
    </row>
    <row r="13">
      <c r="C13" s="2" t="s">
        <v>42</v>
      </c>
      <c r="D13" s="3" t="s">
        <v>43</v>
      </c>
      <c r="E13" s="22">
        <f>(E4*E10)*2</f>
        <v>2.412763354</v>
      </c>
      <c r="F13" s="4" t="s">
        <v>12</v>
      </c>
    </row>
    <row r="14">
      <c r="C14" s="2" t="s">
        <v>44</v>
      </c>
      <c r="D14" s="3" t="s">
        <v>45</v>
      </c>
      <c r="E14" s="22">
        <f>(E10*SQRT(1+E4^2))*2</f>
        <v>7.05444811</v>
      </c>
      <c r="F14" s="4" t="s">
        <v>12</v>
      </c>
    </row>
    <row r="15">
      <c r="C15" s="19"/>
      <c r="D15" s="23"/>
    </row>
    <row r="16">
      <c r="C16" s="2" t="s">
        <v>46</v>
      </c>
      <c r="D16" s="3" t="s">
        <v>85</v>
      </c>
      <c r="E16" s="22">
        <f>E12/E14</f>
        <v>0.5668139798</v>
      </c>
      <c r="F16" s="4" t="s">
        <v>12</v>
      </c>
    </row>
    <row r="17">
      <c r="C17" s="2" t="s">
        <v>48</v>
      </c>
      <c r="D17" s="3" t="s">
        <v>49</v>
      </c>
      <c r="E17" s="22">
        <f>E12/E13</f>
        <v>1.657253208</v>
      </c>
      <c r="F17" s="4" t="s">
        <v>12</v>
      </c>
    </row>
    <row r="18">
      <c r="C18" s="17"/>
      <c r="D18" s="20"/>
      <c r="E18" s="24"/>
      <c r="F18" s="16"/>
    </row>
    <row r="19">
      <c r="C19" s="2" t="s">
        <v>50</v>
      </c>
      <c r="D19" s="3" t="s">
        <v>51</v>
      </c>
      <c r="E19" s="22">
        <f>E2/E12</f>
        <v>1.500540266</v>
      </c>
      <c r="F19" s="4" t="s">
        <v>52</v>
      </c>
    </row>
    <row r="20">
      <c r="D20" s="23"/>
    </row>
    <row r="21">
      <c r="C21" s="2" t="s">
        <v>57</v>
      </c>
      <c r="D21" s="3" t="s">
        <v>58</v>
      </c>
      <c r="E21" s="22">
        <f>E10+(E2^2/(E12^2*2*E8))</f>
        <v>3.42926794</v>
      </c>
      <c r="F21" s="4" t="s">
        <v>12</v>
      </c>
    </row>
    <row r="22">
      <c r="D22" s="23"/>
    </row>
    <row r="23">
      <c r="C23" s="2" t="s">
        <v>53</v>
      </c>
      <c r="D23" s="3" t="s">
        <v>54</v>
      </c>
      <c r="E23" s="22">
        <f>E19/SQRT(E8*E17)</f>
        <v>0.3721505937</v>
      </c>
      <c r="F23" s="4" t="s">
        <v>55</v>
      </c>
    </row>
    <row r="24">
      <c r="C24" s="14" t="s">
        <v>56</v>
      </c>
      <c r="D24" s="25"/>
      <c r="E24" s="26" t="str">
        <f>IF(ROUND(E23,3)&gt;1,"Supercrítico",IF(ROUND(E23,3)&lt;1,"Subcrítico","Crítico"))</f>
        <v>Subcrítico</v>
      </c>
      <c r="F24" s="27"/>
    </row>
  </sheetData>
  <mergeCells count="6">
    <mergeCell ref="B2:B8"/>
    <mergeCell ref="H2:K12"/>
    <mergeCell ref="C3:C4"/>
    <mergeCell ref="C5:C6"/>
    <mergeCell ref="D5:D6"/>
    <mergeCell ref="E24:F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.0"/>
    <col customWidth="1" min="3" max="3" width="17.63"/>
    <col customWidth="1" min="4" max="4" width="2.75"/>
    <col customWidth="1" min="5" max="5" width="8.5"/>
    <col customWidth="1" min="6" max="6" width="7.75"/>
  </cols>
  <sheetData>
    <row r="2">
      <c r="B2" s="1" t="s">
        <v>0</v>
      </c>
      <c r="C2" s="7" t="s">
        <v>1</v>
      </c>
      <c r="D2" s="8" t="s">
        <v>2</v>
      </c>
      <c r="E2" s="4">
        <v>100.0</v>
      </c>
      <c r="F2" s="4" t="s">
        <v>86</v>
      </c>
    </row>
    <row r="3">
      <c r="C3" s="10"/>
      <c r="D3" s="10"/>
      <c r="E3" s="4">
        <f>E2/1000</f>
        <v>0.1</v>
      </c>
      <c r="F3" s="4" t="s">
        <v>3</v>
      </c>
    </row>
    <row r="4">
      <c r="C4" s="7" t="s">
        <v>10</v>
      </c>
      <c r="D4" s="8" t="s">
        <v>11</v>
      </c>
      <c r="E4" s="4">
        <v>30.0</v>
      </c>
      <c r="F4" s="4" t="s">
        <v>87</v>
      </c>
    </row>
    <row r="5">
      <c r="C5" s="10"/>
      <c r="D5" s="10"/>
      <c r="E5" s="4">
        <f>E4/100</f>
        <v>0.3</v>
      </c>
      <c r="F5" s="4" t="s">
        <v>12</v>
      </c>
    </row>
    <row r="6">
      <c r="C6" s="31" t="s">
        <v>80</v>
      </c>
      <c r="D6" s="3" t="s">
        <v>12</v>
      </c>
      <c r="E6" s="12">
        <v>2.0</v>
      </c>
      <c r="F6" s="4" t="str">
        <f>E6&amp;"H : 1V"</f>
        <v>2H : 1V</v>
      </c>
    </row>
    <row r="7">
      <c r="C7" s="2" t="s">
        <v>4</v>
      </c>
      <c r="D7" s="3" t="s">
        <v>5</v>
      </c>
      <c r="E7" s="6">
        <v>0.013</v>
      </c>
      <c r="F7" s="4" t="s">
        <v>37</v>
      </c>
    </row>
    <row r="8">
      <c r="C8" s="2" t="s">
        <v>53</v>
      </c>
      <c r="D8" s="3" t="s">
        <v>54</v>
      </c>
      <c r="E8" s="41">
        <v>6.0</v>
      </c>
      <c r="F8" s="4" t="s">
        <v>55</v>
      </c>
      <c r="G8" s="16" t="s">
        <v>88</v>
      </c>
    </row>
    <row r="9">
      <c r="C9" s="14" t="s">
        <v>56</v>
      </c>
      <c r="D9" s="25"/>
      <c r="E9" s="26" t="str">
        <f>IF(ROUND(E8,3)&gt;1,"Supercrítico",IF(ROUND(E8,3)&lt;1,"Subcrítico","Crítico"))</f>
        <v>Supercrítico</v>
      </c>
      <c r="F9" s="27"/>
    </row>
    <row r="10">
      <c r="C10" s="2" t="s">
        <v>25</v>
      </c>
      <c r="D10" s="3" t="s">
        <v>26</v>
      </c>
      <c r="E10" s="13">
        <v>9.81</v>
      </c>
      <c r="F10" s="4" t="s">
        <v>27</v>
      </c>
    </row>
    <row r="11">
      <c r="D11" s="23"/>
    </row>
    <row r="12">
      <c r="C12" s="2" t="s">
        <v>30</v>
      </c>
      <c r="D12" s="3" t="s">
        <v>31</v>
      </c>
      <c r="E12" s="40">
        <v>0.0592040342829956</v>
      </c>
      <c r="F12" s="4" t="s">
        <v>12</v>
      </c>
      <c r="G12" s="16" t="s">
        <v>32</v>
      </c>
    </row>
    <row r="13">
      <c r="C13" s="19"/>
      <c r="D13" s="23"/>
      <c r="G13" s="20"/>
    </row>
    <row r="14">
      <c r="C14" s="2" t="s">
        <v>39</v>
      </c>
      <c r="D14" s="3" t="s">
        <v>40</v>
      </c>
      <c r="E14" s="22">
        <f>(E6*E12^2)+(E5*E12)</f>
        <v>0.02477144564</v>
      </c>
      <c r="F14" s="4" t="s">
        <v>41</v>
      </c>
    </row>
    <row r="15">
      <c r="C15" s="2" t="s">
        <v>42</v>
      </c>
      <c r="D15" s="3" t="s">
        <v>43</v>
      </c>
      <c r="E15" s="22">
        <f>(E6*E12)*2+E5</f>
        <v>0.5368161371</v>
      </c>
      <c r="F15" s="4" t="s">
        <v>12</v>
      </c>
    </row>
    <row r="16">
      <c r="C16" s="2" t="s">
        <v>44</v>
      </c>
      <c r="D16" s="3" t="s">
        <v>45</v>
      </c>
      <c r="E16" s="22">
        <f>(E12*SQRT(1+E6^2))*2+E5</f>
        <v>0.5647684904</v>
      </c>
      <c r="F16" s="4" t="s">
        <v>12</v>
      </c>
    </row>
    <row r="17">
      <c r="C17" s="19"/>
      <c r="D17" s="23"/>
    </row>
    <row r="18">
      <c r="C18" s="2" t="s">
        <v>46</v>
      </c>
      <c r="D18" s="3" t="s">
        <v>89</v>
      </c>
      <c r="E18" s="22">
        <f>E14/E16</f>
        <v>0.04386123882</v>
      </c>
      <c r="F18" s="4" t="s">
        <v>12</v>
      </c>
    </row>
    <row r="19">
      <c r="C19" s="2" t="s">
        <v>48</v>
      </c>
      <c r="D19" s="3" t="s">
        <v>49</v>
      </c>
      <c r="E19" s="22">
        <f>E14/E15</f>
        <v>0.04614512106</v>
      </c>
      <c r="F19" s="4" t="s">
        <v>12</v>
      </c>
    </row>
    <row r="20">
      <c r="C20" s="17"/>
      <c r="D20" s="20"/>
      <c r="E20" s="24"/>
      <c r="F20" s="16"/>
    </row>
    <row r="21">
      <c r="C21" s="2" t="s">
        <v>50</v>
      </c>
      <c r="D21" s="3" t="s">
        <v>51</v>
      </c>
      <c r="E21" s="22">
        <f>E3/E14</f>
        <v>4.0369061</v>
      </c>
      <c r="F21" s="4" t="s">
        <v>52</v>
      </c>
    </row>
    <row r="22">
      <c r="D22" s="23"/>
    </row>
    <row r="23">
      <c r="C23" s="2" t="s">
        <v>57</v>
      </c>
      <c r="D23" s="3" t="s">
        <v>58</v>
      </c>
      <c r="E23" s="22">
        <f>E12+(E3^2/(E14^2*2*E10))</f>
        <v>0.8898162087</v>
      </c>
      <c r="F23" s="4" t="s">
        <v>12</v>
      </c>
    </row>
    <row r="24">
      <c r="D24" s="23"/>
    </row>
    <row r="25">
      <c r="C25" s="2" t="s">
        <v>53</v>
      </c>
      <c r="D25" s="3" t="s">
        <v>54</v>
      </c>
      <c r="E25" s="22">
        <f>E21/SQRT(E10*E19)</f>
        <v>5.999999983</v>
      </c>
      <c r="F25" s="4" t="s">
        <v>55</v>
      </c>
      <c r="G25" s="16" t="s">
        <v>88</v>
      </c>
    </row>
    <row r="26">
      <c r="C26" s="14" t="s">
        <v>56</v>
      </c>
      <c r="D26" s="25"/>
      <c r="E26" s="26" t="str">
        <f>IF(ROUND(E25,3)&gt;1,"Supercrítico",IF(ROUND(E25,3)&lt;1,"Subcrítico","Crítico"))</f>
        <v>Supercrítico</v>
      </c>
      <c r="F26" s="27"/>
    </row>
    <row r="27">
      <c r="D27" s="23"/>
    </row>
    <row r="28">
      <c r="C28" s="7" t="s">
        <v>6</v>
      </c>
      <c r="D28" s="8" t="s">
        <v>90</v>
      </c>
      <c r="E28" s="29">
        <f>((E3*E7)/(E14*(E18^(2/3))))^2</f>
        <v>0.1780503404</v>
      </c>
      <c r="F28" s="4" t="s">
        <v>8</v>
      </c>
    </row>
    <row r="29">
      <c r="C29" s="10"/>
      <c r="D29" s="10"/>
      <c r="E29" s="11">
        <f>E28*100</f>
        <v>17.80503404</v>
      </c>
      <c r="F29" s="4" t="s">
        <v>9</v>
      </c>
    </row>
  </sheetData>
  <mergeCells count="10">
    <mergeCell ref="E26:F26"/>
    <mergeCell ref="C28:C29"/>
    <mergeCell ref="D28:D29"/>
    <mergeCell ref="B2:B10"/>
    <mergeCell ref="C2:C3"/>
    <mergeCell ref="D2:D3"/>
    <mergeCell ref="H2:K12"/>
    <mergeCell ref="C4:C5"/>
    <mergeCell ref="D4:D5"/>
    <mergeCell ref="E9:F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.0"/>
    <col customWidth="1" min="3" max="3" width="17.63"/>
    <col customWidth="1" min="4" max="4" width="3.75"/>
    <col customWidth="1" min="5" max="5" width="9.88"/>
    <col customWidth="1" min="6" max="6" width="8.88"/>
    <col customWidth="1" min="8" max="8" width="3.0"/>
    <col customWidth="1" min="9" max="9" width="17.63"/>
    <col customWidth="1" min="10" max="10" width="3.38"/>
    <col customWidth="1" min="11" max="11" width="9.88"/>
    <col customWidth="1" min="12" max="12" width="7.75"/>
    <col customWidth="1" min="13" max="13" width="13.0"/>
  </cols>
  <sheetData>
    <row r="2">
      <c r="B2" s="1" t="s">
        <v>0</v>
      </c>
      <c r="C2" s="2" t="s">
        <v>1</v>
      </c>
      <c r="D2" s="3" t="s">
        <v>2</v>
      </c>
      <c r="E2" s="4">
        <v>100.0</v>
      </c>
      <c r="F2" s="4" t="s">
        <v>3</v>
      </c>
      <c r="H2" s="1"/>
      <c r="I2" s="1"/>
      <c r="J2" s="1"/>
      <c r="K2" s="1"/>
      <c r="L2" s="1"/>
    </row>
    <row r="3">
      <c r="C3" s="2" t="s">
        <v>10</v>
      </c>
      <c r="D3" s="3" t="s">
        <v>11</v>
      </c>
      <c r="E3" s="4">
        <v>10.0</v>
      </c>
      <c r="F3" s="4" t="s">
        <v>12</v>
      </c>
      <c r="H3" s="1"/>
      <c r="I3" s="1"/>
      <c r="J3" s="1"/>
      <c r="K3" s="1"/>
      <c r="L3" s="1"/>
    </row>
    <row r="4">
      <c r="C4" s="2" t="s">
        <v>80</v>
      </c>
      <c r="D4" s="3" t="s">
        <v>12</v>
      </c>
      <c r="E4" s="4">
        <v>2.0</v>
      </c>
      <c r="F4" s="4" t="str">
        <f>E4&amp;"H:1V"</f>
        <v>2H:1V</v>
      </c>
      <c r="H4" s="1"/>
      <c r="I4" s="1"/>
      <c r="J4" s="1"/>
      <c r="K4" s="1"/>
      <c r="L4" s="1"/>
    </row>
    <row r="5">
      <c r="C5" s="7" t="s">
        <v>6</v>
      </c>
      <c r="D5" s="8" t="s">
        <v>91</v>
      </c>
      <c r="E5" s="6">
        <v>0.002</v>
      </c>
      <c r="F5" s="4" t="s">
        <v>8</v>
      </c>
      <c r="H5" s="1"/>
      <c r="I5" s="1"/>
      <c r="J5" s="1"/>
      <c r="K5" s="1"/>
      <c r="L5" s="1"/>
    </row>
    <row r="6">
      <c r="C6" s="10"/>
      <c r="D6" s="10"/>
      <c r="E6" s="6">
        <f>E5*100</f>
        <v>0.2</v>
      </c>
      <c r="F6" s="4" t="s">
        <v>9</v>
      </c>
      <c r="H6" s="1"/>
      <c r="I6" s="1"/>
      <c r="J6" s="1"/>
      <c r="K6" s="1"/>
      <c r="L6" s="1"/>
    </row>
    <row r="7">
      <c r="C7" s="2" t="s">
        <v>4</v>
      </c>
      <c r="D7" s="3" t="s">
        <v>5</v>
      </c>
      <c r="E7" s="6">
        <v>0.013</v>
      </c>
      <c r="F7" s="4" t="s">
        <v>37</v>
      </c>
      <c r="H7" s="1"/>
      <c r="I7" s="1"/>
      <c r="J7" s="1"/>
      <c r="K7" s="1"/>
      <c r="L7" s="1"/>
    </row>
    <row r="8">
      <c r="B8" s="1"/>
      <c r="C8" s="2" t="s">
        <v>25</v>
      </c>
      <c r="D8" s="3" t="s">
        <v>26</v>
      </c>
      <c r="E8" s="13">
        <v>9.81</v>
      </c>
      <c r="F8" s="4" t="s">
        <v>27</v>
      </c>
      <c r="H8" s="1"/>
      <c r="I8" s="1"/>
      <c r="J8" s="1"/>
      <c r="K8" s="1"/>
      <c r="L8" s="1"/>
    </row>
    <row r="9">
      <c r="D9" s="23"/>
    </row>
    <row r="10">
      <c r="B10" s="1" t="s">
        <v>92</v>
      </c>
      <c r="C10" s="2" t="s">
        <v>30</v>
      </c>
      <c r="D10" s="42" t="s">
        <v>93</v>
      </c>
      <c r="E10" s="43">
        <v>1.7690923706054686</v>
      </c>
      <c r="F10" s="4" t="s">
        <v>12</v>
      </c>
      <c r="G10" s="16" t="s">
        <v>32</v>
      </c>
      <c r="I10" s="2" t="s">
        <v>30</v>
      </c>
      <c r="J10" s="42" t="s">
        <v>94</v>
      </c>
      <c r="K10" s="43">
        <v>1.8973882690429686</v>
      </c>
      <c r="L10" s="4" t="s">
        <v>12</v>
      </c>
      <c r="M10" s="16" t="s">
        <v>32</v>
      </c>
    </row>
    <row r="11">
      <c r="C11" s="19"/>
      <c r="D11" s="23"/>
      <c r="G11" s="20" t="s">
        <v>95</v>
      </c>
      <c r="I11" s="19"/>
      <c r="J11" s="23"/>
      <c r="M11" s="20" t="s">
        <v>96</v>
      </c>
    </row>
    <row r="12">
      <c r="C12" s="2" t="s">
        <v>39</v>
      </c>
      <c r="D12" s="3" t="s">
        <v>40</v>
      </c>
      <c r="E12" s="22">
        <f>(E3*E10+E4*E10^2)</f>
        <v>23.95029934</v>
      </c>
      <c r="F12" s="4" t="s">
        <v>41</v>
      </c>
      <c r="I12" s="2" t="s">
        <v>39</v>
      </c>
      <c r="J12" s="3" t="s">
        <v>40</v>
      </c>
      <c r="K12" s="22">
        <f>(E3*K10+E4*K10^2)</f>
        <v>26.17404718</v>
      </c>
      <c r="L12" s="4" t="s">
        <v>41</v>
      </c>
    </row>
    <row r="13">
      <c r="C13" s="2" t="s">
        <v>42</v>
      </c>
      <c r="D13" s="3" t="s">
        <v>43</v>
      </c>
      <c r="E13" s="22">
        <f>E3+2*E4*E10</f>
        <v>17.07636948</v>
      </c>
      <c r="F13" s="4" t="s">
        <v>12</v>
      </c>
      <c r="I13" s="2" t="s">
        <v>42</v>
      </c>
      <c r="J13" s="3" t="s">
        <v>43</v>
      </c>
      <c r="K13" s="22">
        <f>E3+2*E4*K10</f>
        <v>17.58955308</v>
      </c>
      <c r="L13" s="4" t="s">
        <v>12</v>
      </c>
    </row>
    <row r="14">
      <c r="C14" s="2" t="s">
        <v>44</v>
      </c>
      <c r="D14" s="3" t="s">
        <v>45</v>
      </c>
      <c r="E14" s="22">
        <f>E3+2*E10*SQRT(1+E4^2)</f>
        <v>17.9116216</v>
      </c>
      <c r="F14" s="4" t="s">
        <v>12</v>
      </c>
      <c r="I14" s="2" t="s">
        <v>44</v>
      </c>
      <c r="J14" s="3" t="s">
        <v>45</v>
      </c>
      <c r="K14" s="22">
        <f>E3+2*K10*SQRT(1+E4^2)</f>
        <v>18.4853783</v>
      </c>
      <c r="L14" s="4" t="s">
        <v>12</v>
      </c>
    </row>
    <row r="15">
      <c r="C15" s="19"/>
      <c r="D15" s="23"/>
      <c r="I15" s="19"/>
      <c r="J15" s="23"/>
    </row>
    <row r="16">
      <c r="C16" s="2" t="s">
        <v>46</v>
      </c>
      <c r="D16" s="3" t="s">
        <v>97</v>
      </c>
      <c r="E16" s="22">
        <f>E12/E14</f>
        <v>1.337137411</v>
      </c>
      <c r="F16" s="4" t="s">
        <v>12</v>
      </c>
      <c r="I16" s="2" t="s">
        <v>46</v>
      </c>
      <c r="J16" s="3" t="s">
        <v>98</v>
      </c>
      <c r="K16" s="22">
        <f>K12/K14</f>
        <v>1.41593246</v>
      </c>
      <c r="L16" s="4" t="s">
        <v>12</v>
      </c>
    </row>
    <row r="17">
      <c r="C17" s="2" t="s">
        <v>48</v>
      </c>
      <c r="D17" s="3" t="s">
        <v>49</v>
      </c>
      <c r="E17" s="22">
        <f>E12/E13</f>
        <v>1.402540473</v>
      </c>
      <c r="F17" s="4" t="s">
        <v>12</v>
      </c>
      <c r="I17" s="2" t="s">
        <v>48</v>
      </c>
      <c r="J17" s="3" t="s">
        <v>49</v>
      </c>
      <c r="K17" s="22">
        <f>K12/K13</f>
        <v>1.488045038</v>
      </c>
      <c r="L17" s="4" t="s">
        <v>12</v>
      </c>
    </row>
    <row r="18">
      <c r="C18" s="17"/>
      <c r="D18" s="20"/>
      <c r="E18" s="24"/>
      <c r="F18" s="16"/>
      <c r="I18" s="17"/>
      <c r="J18" s="20"/>
      <c r="K18" s="24"/>
      <c r="L18" s="16"/>
    </row>
    <row r="19">
      <c r="C19" s="2" t="s">
        <v>50</v>
      </c>
      <c r="D19" s="3" t="s">
        <v>51</v>
      </c>
      <c r="E19" s="22">
        <f>E2/E12</f>
        <v>4.17531316</v>
      </c>
      <c r="F19" s="4" t="s">
        <v>52</v>
      </c>
      <c r="I19" s="2" t="s">
        <v>50</v>
      </c>
      <c r="J19" s="3" t="s">
        <v>51</v>
      </c>
      <c r="K19" s="22">
        <f>E2/K12</f>
        <v>3.820578427</v>
      </c>
      <c r="L19" s="4" t="s">
        <v>52</v>
      </c>
    </row>
    <row r="20">
      <c r="D20" s="23"/>
      <c r="J20" s="23"/>
    </row>
    <row r="21">
      <c r="C21" s="2" t="s">
        <v>57</v>
      </c>
      <c r="D21" s="3" t="s">
        <v>99</v>
      </c>
      <c r="E21" s="43">
        <f>E10+(E2^2/(E12^2*2*E8))</f>
        <v>2.657636712</v>
      </c>
      <c r="F21" s="4" t="s">
        <v>12</v>
      </c>
      <c r="I21" s="2" t="s">
        <v>57</v>
      </c>
      <c r="J21" s="3" t="s">
        <v>100</v>
      </c>
      <c r="K21" s="43">
        <f>K10+(E2^2/(K12^2*2*E8))</f>
        <v>2.641364799</v>
      </c>
      <c r="L21" s="4" t="s">
        <v>12</v>
      </c>
    </row>
    <row r="22">
      <c r="D22" s="23"/>
      <c r="J22" s="23"/>
    </row>
    <row r="23">
      <c r="C23" s="2" t="s">
        <v>53</v>
      </c>
      <c r="D23" s="3" t="s">
        <v>54</v>
      </c>
      <c r="E23" s="22">
        <f>E19/SQRT(E8*E17)</f>
        <v>1.125633084</v>
      </c>
      <c r="F23" s="4" t="s">
        <v>55</v>
      </c>
      <c r="I23" s="2" t="s">
        <v>53</v>
      </c>
      <c r="J23" s="3" t="s">
        <v>54</v>
      </c>
      <c r="K23" s="22">
        <f>K19/SQRT(E8*K17)</f>
        <v>0.9999690938</v>
      </c>
      <c r="L23" s="4" t="s">
        <v>55</v>
      </c>
    </row>
    <row r="24">
      <c r="C24" s="14" t="s">
        <v>56</v>
      </c>
      <c r="D24" s="25"/>
      <c r="E24" s="26" t="str">
        <f>IF(ROUND(E23,3)&gt;1,"Supercrítico",IF(ROUND(E23,3)&lt;1,"Subcrítico","Crítico"))</f>
        <v>Supercrítico</v>
      </c>
      <c r="F24" s="27"/>
      <c r="I24" s="14" t="s">
        <v>56</v>
      </c>
      <c r="J24" s="25"/>
      <c r="K24" s="26" t="str">
        <f>IF(ROUND(K23,3)&gt;1,"Supercrítico",IF(ROUND(K23,3)&lt;1,"Subcrítico","Crítico"))</f>
        <v>Crítico</v>
      </c>
      <c r="L24" s="27"/>
    </row>
    <row r="25">
      <c r="D25" s="23"/>
      <c r="J25" s="23"/>
    </row>
    <row r="26">
      <c r="C26" s="14" t="s">
        <v>28</v>
      </c>
      <c r="D26" s="44"/>
      <c r="E26" s="22">
        <f>(E2*E7)/SQRT(E5)</f>
        <v>29.06888371</v>
      </c>
      <c r="F26" s="3" t="s">
        <v>101</v>
      </c>
      <c r="I26" s="17"/>
      <c r="J26" s="20"/>
      <c r="K26" s="17"/>
      <c r="L26" s="17"/>
    </row>
    <row r="27">
      <c r="C27" s="14" t="s">
        <v>28</v>
      </c>
      <c r="D27" s="44"/>
      <c r="E27" s="3" t="s">
        <v>102</v>
      </c>
      <c r="F27" s="40">
        <f>E12*E16^(2/3)</f>
        <v>29.06888044</v>
      </c>
      <c r="I27" s="17"/>
      <c r="J27" s="20"/>
      <c r="K27" s="17"/>
      <c r="L27" s="17"/>
    </row>
    <row r="28">
      <c r="C28" s="14" t="s">
        <v>103</v>
      </c>
      <c r="D28" s="25"/>
      <c r="E28" s="45">
        <f>E26-F27</f>
        <v>0.000003264604413</v>
      </c>
      <c r="F28" s="27"/>
      <c r="I28" s="17"/>
      <c r="J28" s="20"/>
      <c r="K28" s="17"/>
      <c r="L28" s="17"/>
    </row>
    <row r="29">
      <c r="C29" s="17"/>
      <c r="D29" s="20"/>
      <c r="E29" s="24"/>
      <c r="F29" s="16"/>
      <c r="J29" s="23"/>
    </row>
    <row r="30">
      <c r="D30" s="23"/>
      <c r="J30" s="23"/>
    </row>
    <row r="31">
      <c r="B31" s="1" t="s">
        <v>104</v>
      </c>
      <c r="C31" s="2" t="s">
        <v>30</v>
      </c>
      <c r="D31" s="42" t="s">
        <v>105</v>
      </c>
      <c r="E31" s="43">
        <f>(((E2)/(E3))^2/(E8))^(1/3)</f>
        <v>2.168254872</v>
      </c>
      <c r="F31" s="4" t="s">
        <v>12</v>
      </c>
      <c r="I31" s="2" t="s">
        <v>30</v>
      </c>
      <c r="J31" s="42" t="s">
        <v>106</v>
      </c>
      <c r="K31" s="43">
        <v>1.279847412109375</v>
      </c>
      <c r="L31" s="4" t="s">
        <v>12</v>
      </c>
      <c r="M31" s="16" t="s">
        <v>32</v>
      </c>
    </row>
    <row r="32">
      <c r="D32" s="23"/>
      <c r="J32" s="23"/>
      <c r="M32" s="20" t="s">
        <v>107</v>
      </c>
    </row>
    <row r="33">
      <c r="C33" s="2" t="s">
        <v>39</v>
      </c>
      <c r="D33" s="3" t="s">
        <v>40</v>
      </c>
      <c r="E33" s="22">
        <f>E3*E31</f>
        <v>21.68254872</v>
      </c>
      <c r="F33" s="4" t="s">
        <v>41</v>
      </c>
      <c r="I33" s="2" t="s">
        <v>39</v>
      </c>
      <c r="J33" s="3" t="s">
        <v>40</v>
      </c>
      <c r="K33" s="22">
        <f>(E3*K31+E4*K31^2)</f>
        <v>16.07449292</v>
      </c>
      <c r="L33" s="4" t="s">
        <v>41</v>
      </c>
    </row>
    <row r="34">
      <c r="C34" s="2" t="s">
        <v>42</v>
      </c>
      <c r="D34" s="3" t="s">
        <v>43</v>
      </c>
      <c r="E34" s="38">
        <f>E3</f>
        <v>10</v>
      </c>
      <c r="F34" s="4" t="s">
        <v>12</v>
      </c>
      <c r="I34" s="2" t="s">
        <v>42</v>
      </c>
      <c r="J34" s="3" t="s">
        <v>43</v>
      </c>
      <c r="K34" s="22">
        <f>E3+2*E4*K31</f>
        <v>15.11938965</v>
      </c>
      <c r="L34" s="4" t="s">
        <v>12</v>
      </c>
    </row>
    <row r="35">
      <c r="C35" s="2" t="s">
        <v>44</v>
      </c>
      <c r="D35" s="3" t="s">
        <v>45</v>
      </c>
      <c r="E35" s="22">
        <f>E3+2*E31</f>
        <v>14.33650974</v>
      </c>
      <c r="F35" s="4" t="s">
        <v>12</v>
      </c>
      <c r="I35" s="2" t="s">
        <v>44</v>
      </c>
      <c r="J35" s="3" t="s">
        <v>45</v>
      </c>
      <c r="K35" s="22">
        <f>E3+2*K31*SQRT(1+E4^2)</f>
        <v>15.72365163</v>
      </c>
      <c r="L35" s="4" t="s">
        <v>12</v>
      </c>
    </row>
    <row r="36">
      <c r="C36" s="19"/>
      <c r="D36" s="23"/>
      <c r="I36" s="19"/>
      <c r="J36" s="23"/>
    </row>
    <row r="37">
      <c r="C37" s="2" t="s">
        <v>46</v>
      </c>
      <c r="D37" s="3" t="s">
        <v>108</v>
      </c>
      <c r="E37" s="22">
        <f>E33/E35</f>
        <v>1.512400794</v>
      </c>
      <c r="F37" s="4" t="s">
        <v>12</v>
      </c>
      <c r="I37" s="2" t="s">
        <v>46</v>
      </c>
      <c r="J37" s="3" t="s">
        <v>109</v>
      </c>
      <c r="K37" s="22">
        <f>K33/K35</f>
        <v>1.022312965</v>
      </c>
      <c r="L37" s="4" t="s">
        <v>12</v>
      </c>
    </row>
    <row r="38">
      <c r="C38" s="2" t="s">
        <v>48</v>
      </c>
      <c r="D38" s="3" t="s">
        <v>49</v>
      </c>
      <c r="E38" s="22">
        <f>E33/E34</f>
        <v>2.168254872</v>
      </c>
      <c r="F38" s="4" t="s">
        <v>12</v>
      </c>
      <c r="I38" s="2" t="s">
        <v>48</v>
      </c>
      <c r="J38" s="3" t="s">
        <v>49</v>
      </c>
      <c r="K38" s="22">
        <f>K33/K34</f>
        <v>1.063170756</v>
      </c>
      <c r="L38" s="4" t="s">
        <v>12</v>
      </c>
    </row>
    <row r="39">
      <c r="C39" s="17"/>
      <c r="D39" s="20"/>
      <c r="E39" s="24"/>
      <c r="F39" s="16"/>
      <c r="I39" s="17"/>
      <c r="J39" s="20"/>
      <c r="K39" s="24"/>
      <c r="L39" s="16"/>
    </row>
    <row r="40">
      <c r="C40" s="2" t="s">
        <v>50</v>
      </c>
      <c r="D40" s="3" t="s">
        <v>51</v>
      </c>
      <c r="E40" s="22">
        <f>E2/E33</f>
        <v>4.612003935</v>
      </c>
      <c r="F40" s="4" t="s">
        <v>52</v>
      </c>
      <c r="I40" s="2" t="s">
        <v>50</v>
      </c>
      <c r="J40" s="3" t="s">
        <v>51</v>
      </c>
      <c r="K40" s="22">
        <f>E2/K33</f>
        <v>6.221036055</v>
      </c>
      <c r="L40" s="4" t="s">
        <v>52</v>
      </c>
    </row>
    <row r="41">
      <c r="D41" s="23"/>
      <c r="J41" s="23"/>
    </row>
    <row r="42">
      <c r="C42" s="2" t="s">
        <v>110</v>
      </c>
      <c r="D42" s="3" t="s">
        <v>111</v>
      </c>
      <c r="E42" s="22">
        <f>1.5*E31</f>
        <v>3.252382308</v>
      </c>
      <c r="F42" s="4" t="s">
        <v>12</v>
      </c>
      <c r="I42" s="2" t="s">
        <v>57</v>
      </c>
      <c r="J42" s="3" t="s">
        <v>112</v>
      </c>
      <c r="K42" s="43">
        <f>K31+(E2^2/(K33^2*2*E8))</f>
        <v>3.252390205</v>
      </c>
      <c r="L42" s="4" t="s">
        <v>12</v>
      </c>
    </row>
    <row r="43">
      <c r="C43" s="2" t="s">
        <v>57</v>
      </c>
      <c r="D43" s="3" t="s">
        <v>113</v>
      </c>
      <c r="E43" s="43">
        <f>E31+(E2^2/(E33^2*2*E8))</f>
        <v>3.252382308</v>
      </c>
      <c r="F43" s="4" t="s">
        <v>12</v>
      </c>
      <c r="I43" s="14" t="s">
        <v>103</v>
      </c>
      <c r="J43" s="25"/>
      <c r="K43" s="45">
        <f>K42-E42</f>
        <v>0.000007897065248</v>
      </c>
      <c r="L43" s="27"/>
    </row>
    <row r="44">
      <c r="D44" s="23"/>
      <c r="J44" s="23"/>
    </row>
    <row r="45">
      <c r="D45" s="23"/>
      <c r="I45" s="2" t="s">
        <v>53</v>
      </c>
      <c r="J45" s="3" t="s">
        <v>54</v>
      </c>
      <c r="K45" s="22">
        <f>K40/SQRT(E8*K38)</f>
        <v>1.926312326</v>
      </c>
      <c r="L45" s="4" t="s">
        <v>55</v>
      </c>
    </row>
    <row r="46">
      <c r="D46" s="23"/>
      <c r="I46" s="14" t="s">
        <v>56</v>
      </c>
      <c r="J46" s="25"/>
      <c r="K46" s="26" t="str">
        <f>IF(ROUND(K45,3)&gt;1,"Supercrítico",IF(ROUND(K45,3)&lt;1,"Subcrítico","Crítico"))</f>
        <v>Supercrítico</v>
      </c>
      <c r="L46" s="27"/>
    </row>
    <row r="47">
      <c r="B47" s="1"/>
      <c r="D47" s="23"/>
    </row>
    <row r="48">
      <c r="B48" s="1"/>
      <c r="D48" s="23"/>
    </row>
    <row r="49">
      <c r="B49" s="1" t="s">
        <v>114</v>
      </c>
      <c r="C49" s="2" t="s">
        <v>110</v>
      </c>
      <c r="D49" s="3" t="s">
        <v>115</v>
      </c>
      <c r="E49" s="22">
        <f>E21</f>
        <v>2.657636712</v>
      </c>
      <c r="F49" s="4" t="s">
        <v>12</v>
      </c>
      <c r="G49" s="1"/>
      <c r="H49" s="1"/>
      <c r="I49" s="1"/>
      <c r="J49" s="1"/>
      <c r="K49" s="1"/>
      <c r="L49" s="1"/>
    </row>
    <row r="50">
      <c r="C50" s="2" t="s">
        <v>110</v>
      </c>
      <c r="D50" s="3" t="s">
        <v>116</v>
      </c>
      <c r="E50" s="22"/>
      <c r="F50" s="46">
        <f>E56+(E2^2/(E58^2*2*E8))</f>
        <v>2.657631818</v>
      </c>
      <c r="G50" s="1"/>
      <c r="H50" s="1"/>
      <c r="I50" s="1"/>
      <c r="J50" s="1"/>
      <c r="K50" s="1"/>
      <c r="L50" s="1"/>
    </row>
    <row r="51">
      <c r="C51" s="14" t="s">
        <v>103</v>
      </c>
      <c r="D51" s="25"/>
      <c r="E51" s="45">
        <f>E49-F50</f>
        <v>0.000004894179859</v>
      </c>
      <c r="F51" s="27"/>
      <c r="G51" s="1"/>
      <c r="H51" s="1"/>
      <c r="I51" s="1"/>
      <c r="J51" s="1"/>
      <c r="K51" s="1"/>
      <c r="L51" s="1"/>
    </row>
    <row r="52">
      <c r="D52" s="23"/>
      <c r="G52" s="1"/>
      <c r="H52" s="1"/>
      <c r="I52" s="1"/>
      <c r="J52" s="1"/>
      <c r="K52" s="1"/>
      <c r="L52" s="1"/>
    </row>
    <row r="53">
      <c r="C53" s="2" t="s">
        <v>117</v>
      </c>
      <c r="D53" s="42" t="s">
        <v>118</v>
      </c>
      <c r="E53" s="46">
        <v>4.975</v>
      </c>
      <c r="F53" s="4" t="s">
        <v>12</v>
      </c>
      <c r="G53" s="16" t="s">
        <v>32</v>
      </c>
      <c r="H53" s="1"/>
      <c r="I53" s="1"/>
      <c r="J53" s="1"/>
      <c r="K53" s="1"/>
      <c r="L53" s="1"/>
    </row>
    <row r="54">
      <c r="C54" s="2" t="s">
        <v>119</v>
      </c>
      <c r="D54" s="42"/>
      <c r="E54" s="46">
        <f>(E53/E4)-(4-E56)</f>
        <v>0.354332464</v>
      </c>
      <c r="F54" s="4" t="s">
        <v>12</v>
      </c>
      <c r="G54" s="47" t="s">
        <v>120</v>
      </c>
      <c r="H54" s="1"/>
      <c r="I54" s="1"/>
      <c r="J54" s="1"/>
      <c r="K54" s="1"/>
      <c r="L54" s="1"/>
    </row>
    <row r="55">
      <c r="C55" s="17"/>
      <c r="D55" s="20"/>
      <c r="E55" s="24"/>
      <c r="F55" s="16"/>
      <c r="G55" s="1"/>
      <c r="H55" s="1"/>
      <c r="I55" s="1"/>
      <c r="J55" s="1"/>
      <c r="K55" s="1"/>
      <c r="L55" s="1"/>
    </row>
    <row r="56">
      <c r="C56" s="2" t="s">
        <v>30</v>
      </c>
      <c r="D56" s="42" t="s">
        <v>121</v>
      </c>
      <c r="E56" s="46">
        <v>1.86683246398858</v>
      </c>
      <c r="F56" s="4" t="s">
        <v>12</v>
      </c>
      <c r="G56" s="1"/>
      <c r="H56" s="1"/>
      <c r="I56" s="1"/>
      <c r="J56" s="1"/>
      <c r="K56" s="1"/>
      <c r="L56" s="1"/>
    </row>
    <row r="57"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C58" s="2" t="s">
        <v>39</v>
      </c>
      <c r="D58" s="3" t="s">
        <v>122</v>
      </c>
      <c r="E58" s="22">
        <f>E3*E56+(E4*E56^2)-(E54^2*E4)</f>
        <v>25.38734855</v>
      </c>
      <c r="F58" s="4" t="s">
        <v>41</v>
      </c>
      <c r="G58" s="1"/>
      <c r="H58" s="1"/>
      <c r="I58" s="1"/>
      <c r="J58" s="1"/>
      <c r="K58" s="1"/>
      <c r="L58" s="1"/>
    </row>
    <row r="59">
      <c r="C59" s="2" t="s">
        <v>42</v>
      </c>
      <c r="D59" s="3" t="s">
        <v>43</v>
      </c>
      <c r="E59" s="22">
        <f>E3+2*E4*E56-2*E54*E4</f>
        <v>16.05</v>
      </c>
      <c r="F59" s="4" t="s">
        <v>12</v>
      </c>
      <c r="G59" s="1"/>
      <c r="H59" s="1"/>
      <c r="I59" s="1"/>
      <c r="J59" s="1"/>
      <c r="K59" s="1"/>
      <c r="L59" s="1"/>
    </row>
    <row r="60">
      <c r="C60" s="2" t="s">
        <v>44</v>
      </c>
      <c r="D60" s="3" t="s">
        <v>45</v>
      </c>
      <c r="E60" s="22">
        <f>E3+2*E56*SQRT(1+E4^2)-2*SQRT((E54*E4)^2+E54^2)+2*E54</f>
        <v>17.47277056</v>
      </c>
      <c r="F60" s="4" t="s">
        <v>12</v>
      </c>
      <c r="G60" s="1"/>
      <c r="H60" s="1"/>
      <c r="I60" s="48"/>
      <c r="J60" s="1"/>
      <c r="K60" s="1"/>
      <c r="L60" s="1"/>
    </row>
    <row r="61">
      <c r="D61" s="23"/>
      <c r="E61" s="24"/>
      <c r="G61" s="1"/>
      <c r="H61" s="1"/>
      <c r="I61" s="1"/>
      <c r="J61" s="1"/>
      <c r="K61" s="1"/>
      <c r="L61" s="1"/>
    </row>
    <row r="62">
      <c r="C62" s="2" t="s">
        <v>46</v>
      </c>
      <c r="D62" s="3" t="s">
        <v>123</v>
      </c>
      <c r="E62" s="22">
        <f>E58/E60</f>
        <v>1.4529664</v>
      </c>
      <c r="F62" s="4" t="s">
        <v>12</v>
      </c>
      <c r="G62" s="1"/>
      <c r="H62" s="1"/>
      <c r="I62" s="1"/>
      <c r="J62" s="1"/>
      <c r="K62" s="1"/>
      <c r="L62" s="1"/>
    </row>
    <row r="63">
      <c r="C63" s="2" t="s">
        <v>48</v>
      </c>
      <c r="D63" s="3" t="s">
        <v>49</v>
      </c>
      <c r="E63" s="22">
        <f>E58/E59</f>
        <v>1.581766265</v>
      </c>
      <c r="F63" s="4" t="s">
        <v>12</v>
      </c>
      <c r="G63" s="1"/>
      <c r="H63" s="1"/>
      <c r="I63" s="1"/>
      <c r="J63" s="1"/>
      <c r="K63" s="1"/>
      <c r="L63" s="1"/>
    </row>
    <row r="64">
      <c r="C64" s="17"/>
      <c r="D64" s="20"/>
      <c r="E64" s="24"/>
      <c r="F64" s="16"/>
      <c r="G64" s="1"/>
      <c r="H64" s="1"/>
      <c r="I64" s="1"/>
      <c r="J64" s="1"/>
      <c r="K64" s="1"/>
      <c r="L64" s="1"/>
    </row>
    <row r="65">
      <c r="C65" s="2" t="s">
        <v>50</v>
      </c>
      <c r="D65" s="3" t="s">
        <v>51</v>
      </c>
      <c r="E65" s="22">
        <f>E2/E58</f>
        <v>3.93896983</v>
      </c>
      <c r="F65" s="4" t="s">
        <v>52</v>
      </c>
      <c r="G65" s="1"/>
      <c r="H65" s="1"/>
      <c r="I65" s="1"/>
      <c r="J65" s="1"/>
      <c r="K65" s="1"/>
      <c r="L65" s="1"/>
    </row>
    <row r="66">
      <c r="C66" s="17"/>
      <c r="D66" s="20"/>
      <c r="E66" s="17"/>
      <c r="F66" s="17"/>
      <c r="G66" s="1"/>
      <c r="H66" s="1"/>
      <c r="I66" s="1"/>
      <c r="J66" s="1"/>
      <c r="K66" s="1"/>
      <c r="L66" s="1"/>
    </row>
    <row r="67">
      <c r="C67" s="2" t="s">
        <v>57</v>
      </c>
      <c r="D67" s="3" t="s">
        <v>124</v>
      </c>
      <c r="E67" s="43">
        <f>E56+(E2^2/(E58^2*2*E8))</f>
        <v>2.657631818</v>
      </c>
      <c r="F67" s="4" t="s">
        <v>12</v>
      </c>
      <c r="G67" s="1"/>
      <c r="H67" s="1"/>
      <c r="I67" s="1"/>
      <c r="J67" s="1"/>
      <c r="K67" s="1"/>
      <c r="L67" s="1"/>
    </row>
    <row r="68"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C69" s="2" t="s">
        <v>53</v>
      </c>
      <c r="D69" s="3" t="s">
        <v>54</v>
      </c>
      <c r="E69" s="9">
        <f>E65/SQRT(E8*E63)</f>
        <v>0.9999470335</v>
      </c>
      <c r="F69" s="4" t="s">
        <v>55</v>
      </c>
      <c r="G69" s="1"/>
      <c r="H69" s="1"/>
      <c r="I69" s="1"/>
      <c r="J69" s="1"/>
      <c r="K69" s="1"/>
      <c r="L69" s="1"/>
    </row>
    <row r="70">
      <c r="C70" s="14" t="s">
        <v>56</v>
      </c>
      <c r="D70" s="25"/>
      <c r="E70" s="26" t="str">
        <f>IF(ROUND(E69,3)&gt;1,"Supercrítico",IF(ROUND(E69,3)&lt;1,"Subcrítico","Crítico"))</f>
        <v>Crítico</v>
      </c>
      <c r="F70" s="27"/>
      <c r="G70" s="1"/>
      <c r="H70" s="1"/>
      <c r="I70" s="1"/>
      <c r="J70" s="1"/>
      <c r="K70" s="1"/>
      <c r="L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B73" s="1" t="s">
        <v>125</v>
      </c>
      <c r="C73" s="2" t="s">
        <v>126</v>
      </c>
      <c r="D73" s="3" t="s">
        <v>127</v>
      </c>
      <c r="E73" s="22">
        <f>4-E56</f>
        <v>2.133167536</v>
      </c>
      <c r="F73" s="4" t="s">
        <v>12</v>
      </c>
      <c r="G73" s="1"/>
      <c r="H73" s="1"/>
      <c r="I73" s="1"/>
      <c r="J73" s="1"/>
      <c r="K73" s="1"/>
      <c r="L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D75" s="23"/>
    </row>
    <row r="76">
      <c r="D76" s="23"/>
    </row>
    <row r="77">
      <c r="D77" s="23"/>
    </row>
    <row r="78">
      <c r="D78" s="23"/>
    </row>
    <row r="79">
      <c r="D79" s="23"/>
    </row>
    <row r="80">
      <c r="D80" s="23"/>
    </row>
    <row r="81">
      <c r="D81" s="23"/>
    </row>
    <row r="82">
      <c r="D82" s="23"/>
    </row>
    <row r="83">
      <c r="D83" s="23"/>
    </row>
  </sheetData>
  <mergeCells count="13">
    <mergeCell ref="K24:L24"/>
    <mergeCell ref="K43:L43"/>
    <mergeCell ref="K46:L46"/>
    <mergeCell ref="E28:F28"/>
    <mergeCell ref="E51:F51"/>
    <mergeCell ref="B2:B7"/>
    <mergeCell ref="C5:C6"/>
    <mergeCell ref="D5:D6"/>
    <mergeCell ref="B10:B28"/>
    <mergeCell ref="E24:F24"/>
    <mergeCell ref="B31:B46"/>
    <mergeCell ref="B49:B70"/>
    <mergeCell ref="E70:F7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.0"/>
    <col customWidth="1" min="3" max="3" width="17.63"/>
    <col customWidth="1" min="4" max="4" width="3.0"/>
    <col customWidth="1" min="5" max="6" width="8.0"/>
    <col customWidth="1" min="7" max="7" width="13.0"/>
  </cols>
  <sheetData>
    <row r="2" ht="18.0" customHeight="1">
      <c r="B2" s="1" t="s">
        <v>0</v>
      </c>
      <c r="C2" s="2" t="s">
        <v>1</v>
      </c>
      <c r="D2" s="3" t="s">
        <v>2</v>
      </c>
      <c r="E2" s="4">
        <v>0.5</v>
      </c>
      <c r="F2" s="4" t="s">
        <v>3</v>
      </c>
    </row>
    <row r="3" ht="18.0" customHeight="1">
      <c r="C3" s="2" t="s">
        <v>33</v>
      </c>
      <c r="D3" s="3" t="s">
        <v>128</v>
      </c>
      <c r="E3" s="4">
        <v>1.0</v>
      </c>
      <c r="F3" s="4" t="str">
        <f t="shared" ref="F3:F4" si="1">E3&amp;"H : 1V"</f>
        <v>1H : 1V</v>
      </c>
    </row>
    <row r="4" ht="18.0" customHeight="1">
      <c r="C4" s="2" t="s">
        <v>35</v>
      </c>
      <c r="D4" s="3" t="s">
        <v>129</v>
      </c>
      <c r="E4" s="4">
        <v>3.0</v>
      </c>
      <c r="F4" s="4" t="str">
        <f t="shared" si="1"/>
        <v>3H : 1V</v>
      </c>
    </row>
    <row r="5" ht="18.0" customHeight="1">
      <c r="C5" s="2" t="s">
        <v>25</v>
      </c>
      <c r="D5" s="3" t="s">
        <v>26</v>
      </c>
      <c r="E5" s="13">
        <v>9.81</v>
      </c>
      <c r="F5" s="4" t="s">
        <v>27</v>
      </c>
    </row>
    <row r="6">
      <c r="B6" s="19"/>
      <c r="C6" s="19"/>
      <c r="D6" s="20"/>
      <c r="E6" s="21"/>
    </row>
    <row r="7">
      <c r="B7" s="17"/>
      <c r="C7" s="2" t="s">
        <v>30</v>
      </c>
      <c r="D7" s="3" t="s">
        <v>31</v>
      </c>
      <c r="E7" s="46">
        <v>0.417876745778356</v>
      </c>
      <c r="F7" s="4" t="s">
        <v>12</v>
      </c>
      <c r="G7" s="16" t="s">
        <v>32</v>
      </c>
    </row>
    <row r="8">
      <c r="B8" s="19"/>
      <c r="C8" s="19"/>
      <c r="D8" s="23"/>
      <c r="G8" s="20" t="s">
        <v>96</v>
      </c>
    </row>
    <row r="9">
      <c r="B9" s="17"/>
      <c r="C9" s="2" t="s">
        <v>39</v>
      </c>
      <c r="D9" s="3" t="s">
        <v>40</v>
      </c>
      <c r="E9" s="22">
        <f>((E3*E7^2)/2)+((E4*E7^2)/2)</f>
        <v>0.3492419493</v>
      </c>
      <c r="F9" s="4" t="s">
        <v>41</v>
      </c>
    </row>
    <row r="10">
      <c r="B10" s="17"/>
      <c r="C10" s="2" t="s">
        <v>42</v>
      </c>
      <c r="D10" s="3" t="s">
        <v>43</v>
      </c>
      <c r="E10" s="22">
        <f>(E3*E7)+(E4*E7)</f>
        <v>1.671506983</v>
      </c>
      <c r="F10" s="4" t="s">
        <v>12</v>
      </c>
    </row>
    <row r="11">
      <c r="B11" s="17"/>
      <c r="C11" s="2" t="s">
        <v>44</v>
      </c>
      <c r="D11" s="3" t="s">
        <v>45</v>
      </c>
      <c r="E11" s="22">
        <f>(E7*SQRT(1+E3^2))+(E7*SQRT(1+E4^2))</f>
        <v>1.912409259</v>
      </c>
      <c r="F11" s="4" t="s">
        <v>12</v>
      </c>
    </row>
    <row r="12">
      <c r="B12" s="19"/>
      <c r="C12" s="19"/>
      <c r="D12" s="23"/>
    </row>
    <row r="13">
      <c r="B13" s="17"/>
      <c r="C13" s="2" t="s">
        <v>46</v>
      </c>
      <c r="D13" s="3" t="s">
        <v>130</v>
      </c>
      <c r="E13" s="22">
        <f>E9/E11</f>
        <v>0.1826188341</v>
      </c>
      <c r="F13" s="4" t="s">
        <v>12</v>
      </c>
    </row>
    <row r="14">
      <c r="B14" s="17"/>
      <c r="C14" s="2" t="s">
        <v>48</v>
      </c>
      <c r="D14" s="3" t="s">
        <v>49</v>
      </c>
      <c r="E14" s="22">
        <f>E9/E10</f>
        <v>0.2089383729</v>
      </c>
      <c r="F14" s="4" t="s">
        <v>12</v>
      </c>
    </row>
    <row r="15">
      <c r="B15" s="17"/>
      <c r="C15" s="17"/>
      <c r="D15" s="20"/>
      <c r="E15" s="24"/>
      <c r="F15" s="16"/>
    </row>
    <row r="16">
      <c r="B16" s="17"/>
      <c r="C16" s="2" t="s">
        <v>50</v>
      </c>
      <c r="D16" s="3" t="s">
        <v>51</v>
      </c>
      <c r="E16" s="22">
        <f>E2/E9</f>
        <v>1.431672229</v>
      </c>
      <c r="F16" s="4" t="s">
        <v>52</v>
      </c>
    </row>
    <row r="17">
      <c r="D17" s="23"/>
    </row>
    <row r="18">
      <c r="B18" s="17"/>
      <c r="C18" s="2" t="s">
        <v>53</v>
      </c>
      <c r="D18" s="3" t="s">
        <v>54</v>
      </c>
      <c r="E18" s="22">
        <f>E16/SQRT(E5*E14)</f>
        <v>0.9999999836</v>
      </c>
      <c r="F18" s="4" t="s">
        <v>55</v>
      </c>
    </row>
    <row r="19">
      <c r="C19" s="14" t="s">
        <v>56</v>
      </c>
      <c r="D19" s="25"/>
      <c r="E19" s="26" t="str">
        <f>IF(ROUND(E18,3)&gt;1,"Supercrítico",IF(ROUND(E18,3)&lt;1,"Subcrítico","Crítico"))</f>
        <v>Crítico</v>
      </c>
      <c r="F19" s="27"/>
    </row>
    <row r="20">
      <c r="D20" s="23"/>
    </row>
    <row r="21">
      <c r="C21" s="2" t="s">
        <v>57</v>
      </c>
      <c r="D21" s="3" t="s">
        <v>58</v>
      </c>
      <c r="E21" s="43">
        <f>E7+(E2^2/(E9^2*2*E5))</f>
        <v>0.5223459288</v>
      </c>
      <c r="F21" s="4" t="s">
        <v>12</v>
      </c>
    </row>
    <row r="22">
      <c r="D22" s="23"/>
    </row>
    <row r="23">
      <c r="B23" s="28"/>
      <c r="C23" s="28"/>
      <c r="D23" s="49"/>
      <c r="E23" s="28"/>
      <c r="F23" s="28"/>
    </row>
    <row r="24">
      <c r="B24" s="28"/>
      <c r="C24" s="28"/>
      <c r="D24" s="49"/>
      <c r="E24" s="28"/>
      <c r="F24" s="28"/>
    </row>
    <row r="25">
      <c r="D25" s="23"/>
    </row>
    <row r="26">
      <c r="D26" s="23"/>
    </row>
    <row r="27">
      <c r="D27" s="23"/>
    </row>
    <row r="28">
      <c r="D28" s="23"/>
    </row>
    <row r="29">
      <c r="D29" s="23"/>
    </row>
  </sheetData>
  <mergeCells count="3">
    <mergeCell ref="B2:B5"/>
    <mergeCell ref="H2:K12"/>
    <mergeCell ref="E19:F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.0"/>
    <col customWidth="1" min="3" max="3" width="17.63"/>
    <col customWidth="1" min="4" max="4" width="3.13"/>
    <col customWidth="1" min="5" max="5" width="9.88"/>
    <col customWidth="1" min="6" max="6" width="7.75"/>
    <col customWidth="1" min="7" max="7" width="13.0"/>
    <col customWidth="1" min="9" max="9" width="17.63"/>
    <col customWidth="1" min="10" max="10" width="3.0"/>
    <col customWidth="1" min="11" max="11" width="7.0"/>
    <col customWidth="1" min="12" max="12" width="3.63"/>
    <col customWidth="1" min="13" max="13" width="13.0"/>
  </cols>
  <sheetData>
    <row r="2">
      <c r="B2" s="1" t="s">
        <v>0</v>
      </c>
      <c r="C2" s="2" t="s">
        <v>1</v>
      </c>
      <c r="D2" s="3" t="s">
        <v>2</v>
      </c>
      <c r="E2" s="4">
        <v>24.0</v>
      </c>
      <c r="F2" s="4" t="s">
        <v>3</v>
      </c>
      <c r="H2" s="1"/>
      <c r="I2" s="50"/>
      <c r="J2" s="1"/>
      <c r="K2" s="1"/>
      <c r="L2" s="1"/>
    </row>
    <row r="3">
      <c r="C3" s="2" t="s">
        <v>10</v>
      </c>
      <c r="D3" s="3" t="s">
        <v>11</v>
      </c>
      <c r="E3" s="4">
        <v>6.5</v>
      </c>
      <c r="F3" s="4" t="s">
        <v>12</v>
      </c>
      <c r="H3" s="1"/>
      <c r="I3" s="1"/>
      <c r="J3" s="1"/>
      <c r="K3" s="1"/>
      <c r="L3" s="1"/>
    </row>
    <row r="4">
      <c r="C4" s="2" t="s">
        <v>80</v>
      </c>
      <c r="D4" s="3" t="s">
        <v>12</v>
      </c>
      <c r="E4" s="4">
        <v>1.0</v>
      </c>
      <c r="F4" s="4" t="str">
        <f>E4&amp;"H:1V"</f>
        <v>1H:1V</v>
      </c>
      <c r="H4" s="1"/>
      <c r="I4" s="1"/>
      <c r="J4" s="1"/>
      <c r="K4" s="1"/>
      <c r="L4" s="1"/>
    </row>
    <row r="5">
      <c r="C5" s="7" t="s">
        <v>6</v>
      </c>
      <c r="D5" s="8" t="s">
        <v>131</v>
      </c>
      <c r="E5" s="40">
        <v>0.0015</v>
      </c>
      <c r="F5" s="4" t="s">
        <v>8</v>
      </c>
      <c r="H5" s="1"/>
      <c r="I5" s="1"/>
      <c r="J5" s="1"/>
      <c r="K5" s="1"/>
      <c r="L5" s="1"/>
    </row>
    <row r="6">
      <c r="C6" s="10"/>
      <c r="D6" s="10"/>
      <c r="E6" s="6">
        <f>E5*100</f>
        <v>0.15</v>
      </c>
      <c r="F6" s="4" t="s">
        <v>9</v>
      </c>
      <c r="H6" s="1"/>
      <c r="I6" s="1"/>
      <c r="J6" s="1"/>
      <c r="K6" s="1"/>
      <c r="L6" s="1"/>
    </row>
    <row r="7">
      <c r="C7" s="2" t="s">
        <v>4</v>
      </c>
      <c r="D7" s="3" t="s">
        <v>5</v>
      </c>
      <c r="E7" s="6">
        <v>0.013</v>
      </c>
      <c r="F7" s="4" t="s">
        <v>37</v>
      </c>
      <c r="H7" s="1"/>
      <c r="I7" s="1"/>
      <c r="J7" s="1"/>
      <c r="K7" s="1"/>
      <c r="L7" s="1"/>
    </row>
    <row r="8">
      <c r="C8" s="7" t="s">
        <v>68</v>
      </c>
      <c r="D8" s="8" t="s">
        <v>69</v>
      </c>
      <c r="E8" s="6">
        <v>10.0</v>
      </c>
      <c r="F8" s="4" t="s">
        <v>87</v>
      </c>
      <c r="H8" s="1"/>
      <c r="I8" s="1"/>
      <c r="J8" s="1"/>
      <c r="K8" s="1"/>
      <c r="L8" s="1"/>
    </row>
    <row r="9">
      <c r="C9" s="10"/>
      <c r="D9" s="10"/>
      <c r="E9" s="6">
        <f>E8/100</f>
        <v>0.1</v>
      </c>
      <c r="F9" s="4" t="s">
        <v>12</v>
      </c>
      <c r="H9" s="1"/>
      <c r="I9" s="1"/>
      <c r="J9" s="1"/>
      <c r="K9" s="1"/>
      <c r="L9" s="1"/>
    </row>
    <row r="10">
      <c r="C10" s="2" t="s">
        <v>10</v>
      </c>
      <c r="D10" s="3" t="s">
        <v>132</v>
      </c>
      <c r="E10" s="4">
        <v>6.0</v>
      </c>
      <c r="F10" s="4" t="s">
        <v>12</v>
      </c>
      <c r="H10" s="1"/>
      <c r="I10" s="1"/>
      <c r="J10" s="1"/>
      <c r="K10" s="1"/>
      <c r="L10" s="1"/>
    </row>
    <row r="11">
      <c r="C11" s="2" t="s">
        <v>25</v>
      </c>
      <c r="D11" s="3" t="s">
        <v>26</v>
      </c>
      <c r="E11" s="13">
        <v>9.81</v>
      </c>
      <c r="F11" s="4" t="s">
        <v>27</v>
      </c>
      <c r="H11" s="1"/>
      <c r="I11" s="1"/>
      <c r="J11" s="1"/>
      <c r="K11" s="1"/>
      <c r="L11" s="1"/>
    </row>
    <row r="12">
      <c r="D12" s="23"/>
    </row>
    <row r="13">
      <c r="B13" s="1" t="s">
        <v>92</v>
      </c>
      <c r="C13" s="2" t="s">
        <v>30</v>
      </c>
      <c r="D13" s="42" t="s">
        <v>133</v>
      </c>
      <c r="E13" s="46">
        <v>1.1369374788214</v>
      </c>
      <c r="F13" s="4" t="s">
        <v>12</v>
      </c>
      <c r="G13" s="16" t="s">
        <v>32</v>
      </c>
      <c r="I13" s="2" t="s">
        <v>30</v>
      </c>
      <c r="J13" s="42" t="s">
        <v>134</v>
      </c>
      <c r="K13" s="46">
        <v>1.05446128476565</v>
      </c>
      <c r="L13" s="4" t="s">
        <v>12</v>
      </c>
      <c r="M13" s="16" t="s">
        <v>32</v>
      </c>
    </row>
    <row r="14">
      <c r="C14" s="19"/>
      <c r="D14" s="23"/>
      <c r="G14" s="20" t="s">
        <v>95</v>
      </c>
      <c r="I14" s="19"/>
      <c r="J14" s="23"/>
      <c r="M14" s="20" t="s">
        <v>96</v>
      </c>
    </row>
    <row r="15">
      <c r="C15" s="2" t="s">
        <v>39</v>
      </c>
      <c r="D15" s="3" t="s">
        <v>40</v>
      </c>
      <c r="E15" s="22">
        <f>(E3*E13+E4*E13^2)</f>
        <v>8.682720443</v>
      </c>
      <c r="F15" s="4" t="s">
        <v>41</v>
      </c>
      <c r="I15" s="2" t="s">
        <v>39</v>
      </c>
      <c r="J15" s="3" t="s">
        <v>40</v>
      </c>
      <c r="K15" s="22">
        <f>(E3*K13+E4*K13^2)</f>
        <v>7.965886952</v>
      </c>
      <c r="L15" s="4" t="s">
        <v>41</v>
      </c>
    </row>
    <row r="16">
      <c r="C16" s="2" t="s">
        <v>42</v>
      </c>
      <c r="D16" s="3" t="s">
        <v>43</v>
      </c>
      <c r="E16" s="22">
        <f>E3+2*E4*E13</f>
        <v>8.773874958</v>
      </c>
      <c r="F16" s="4" t="s">
        <v>12</v>
      </c>
      <c r="I16" s="2" t="s">
        <v>42</v>
      </c>
      <c r="J16" s="3" t="s">
        <v>43</v>
      </c>
      <c r="K16" s="22">
        <f>E3+2*E4*K13</f>
        <v>8.60892257</v>
      </c>
      <c r="L16" s="4" t="s">
        <v>12</v>
      </c>
    </row>
    <row r="17">
      <c r="C17" s="2" t="s">
        <v>44</v>
      </c>
      <c r="D17" s="3" t="s">
        <v>45</v>
      </c>
      <c r="E17" s="22">
        <f>E3+2*E13*SQRT(1+E4^2)</f>
        <v>9.715744804</v>
      </c>
      <c r="F17" s="4" t="s">
        <v>12</v>
      </c>
      <c r="I17" s="2" t="s">
        <v>44</v>
      </c>
      <c r="J17" s="3" t="s">
        <v>45</v>
      </c>
      <c r="K17" s="22">
        <f>E3+2*K13*SQRT(1+E4^2)</f>
        <v>9.4824669</v>
      </c>
      <c r="L17" s="4" t="s">
        <v>12</v>
      </c>
    </row>
    <row r="18">
      <c r="C18" s="19"/>
      <c r="D18" s="23"/>
      <c r="I18" s="19"/>
      <c r="J18" s="23"/>
    </row>
    <row r="19">
      <c r="C19" s="2" t="s">
        <v>46</v>
      </c>
      <c r="D19" s="3" t="s">
        <v>135</v>
      </c>
      <c r="E19" s="22">
        <f>E15/E17</f>
        <v>0.893675227</v>
      </c>
      <c r="F19" s="4" t="s">
        <v>12</v>
      </c>
      <c r="I19" s="2" t="s">
        <v>46</v>
      </c>
      <c r="J19" s="3" t="s">
        <v>136</v>
      </c>
      <c r="K19" s="22">
        <f>K15/K17</f>
        <v>0.8400648308</v>
      </c>
      <c r="L19" s="4" t="s">
        <v>12</v>
      </c>
    </row>
    <row r="20">
      <c r="C20" s="2" t="s">
        <v>48</v>
      </c>
      <c r="D20" s="3" t="s">
        <v>49</v>
      </c>
      <c r="E20" s="22">
        <f>E15/E16</f>
        <v>0.9896106891</v>
      </c>
      <c r="F20" s="4" t="s">
        <v>12</v>
      </c>
      <c r="I20" s="2" t="s">
        <v>48</v>
      </c>
      <c r="J20" s="3" t="s">
        <v>49</v>
      </c>
      <c r="K20" s="22">
        <f>K15/K16</f>
        <v>0.9253059123</v>
      </c>
      <c r="L20" s="4" t="s">
        <v>12</v>
      </c>
    </row>
    <row r="21">
      <c r="C21" s="17"/>
      <c r="D21" s="20"/>
      <c r="E21" s="24"/>
      <c r="F21" s="16"/>
      <c r="I21" s="17"/>
      <c r="J21" s="20"/>
      <c r="K21" s="24"/>
      <c r="L21" s="16"/>
    </row>
    <row r="22">
      <c r="C22" s="2" t="s">
        <v>50</v>
      </c>
      <c r="D22" s="3" t="s">
        <v>51</v>
      </c>
      <c r="E22" s="22">
        <f>E2/E15</f>
        <v>2.764110645</v>
      </c>
      <c r="F22" s="4" t="s">
        <v>52</v>
      </c>
      <c r="I22" s="2" t="s">
        <v>50</v>
      </c>
      <c r="J22" s="3" t="s">
        <v>51</v>
      </c>
      <c r="K22" s="22">
        <f>E2/K15</f>
        <v>3.012847175</v>
      </c>
      <c r="L22" s="4" t="s">
        <v>52</v>
      </c>
    </row>
    <row r="23">
      <c r="D23" s="23"/>
      <c r="J23" s="23"/>
    </row>
    <row r="24">
      <c r="C24" s="2" t="s">
        <v>57</v>
      </c>
      <c r="D24" s="3" t="s">
        <v>137</v>
      </c>
      <c r="E24" s="43">
        <f>E13+(E2^2/(E15^2*2*E11))</f>
        <v>1.526351732</v>
      </c>
      <c r="F24" s="4" t="s">
        <v>12</v>
      </c>
      <c r="I24" s="2" t="s">
        <v>57</v>
      </c>
      <c r="J24" s="3" t="s">
        <v>138</v>
      </c>
      <c r="K24" s="43">
        <f>K13+(E2^2/(K15^2*2*E11))</f>
        <v>1.517114093</v>
      </c>
      <c r="L24" s="4" t="s">
        <v>12</v>
      </c>
    </row>
    <row r="25">
      <c r="D25" s="23"/>
      <c r="J25" s="23"/>
    </row>
    <row r="26">
      <c r="C26" s="2" t="s">
        <v>53</v>
      </c>
      <c r="D26" s="3" t="s">
        <v>54</v>
      </c>
      <c r="E26" s="22">
        <f>E22/SQRT(E11*E20)</f>
        <v>0.8871329924</v>
      </c>
      <c r="F26" s="4" t="s">
        <v>55</v>
      </c>
      <c r="I26" s="2" t="s">
        <v>53</v>
      </c>
      <c r="J26" s="3" t="s">
        <v>54</v>
      </c>
      <c r="K26" s="22">
        <f>K22/SQRT(E11*K20)</f>
        <v>0.9999998403</v>
      </c>
      <c r="L26" s="4" t="s">
        <v>55</v>
      </c>
    </row>
    <row r="27">
      <c r="C27" s="14" t="s">
        <v>56</v>
      </c>
      <c r="D27" s="25"/>
      <c r="E27" s="26" t="str">
        <f>IF(ROUND(E26,3)&gt;1,"Supercrítico",IF(ROUND(E26,3)&lt;1,"Subcrítico","Crítico"))</f>
        <v>Subcrítico</v>
      </c>
      <c r="F27" s="27"/>
      <c r="I27" s="14" t="s">
        <v>56</v>
      </c>
      <c r="J27" s="25"/>
      <c r="K27" s="26" t="str">
        <f>IF(ROUND(K26,3)&gt;1,"Supercrítico",IF(ROUND(K26,3)&lt;1,"Subcrítico","Crítico"))</f>
        <v>Crítico</v>
      </c>
      <c r="L27" s="27"/>
    </row>
    <row r="28">
      <c r="D28" s="23"/>
      <c r="J28" s="23"/>
    </row>
    <row r="29">
      <c r="C29" s="14" t="s">
        <v>28</v>
      </c>
      <c r="D29" s="44"/>
      <c r="E29" s="22">
        <f>(E2*E7)/SQRT(E5)</f>
        <v>8.05580536</v>
      </c>
      <c r="F29" s="3" t="s">
        <v>139</v>
      </c>
      <c r="I29" s="17"/>
      <c r="J29" s="20"/>
      <c r="K29" s="17"/>
      <c r="L29" s="17"/>
    </row>
    <row r="30">
      <c r="C30" s="14" t="s">
        <v>28</v>
      </c>
      <c r="D30" s="44"/>
      <c r="E30" s="3" t="s">
        <v>140</v>
      </c>
      <c r="F30" s="40">
        <f>E15*E19^(2/3)</f>
        <v>8.05580536</v>
      </c>
      <c r="I30" s="17"/>
      <c r="J30" s="20"/>
      <c r="K30" s="17"/>
      <c r="L30" s="17"/>
    </row>
    <row r="31">
      <c r="C31" s="14" t="s">
        <v>103</v>
      </c>
      <c r="D31" s="25"/>
      <c r="E31" s="45">
        <f>E29-F30</f>
        <v>0</v>
      </c>
      <c r="F31" s="27"/>
      <c r="I31" s="17"/>
      <c r="J31" s="20"/>
      <c r="K31" s="17"/>
      <c r="L31" s="17"/>
    </row>
    <row r="32">
      <c r="D32" s="23"/>
      <c r="J32" s="23"/>
    </row>
    <row r="33">
      <c r="D33" s="23"/>
      <c r="J33" s="23"/>
    </row>
    <row r="34">
      <c r="B34" s="1" t="s">
        <v>104</v>
      </c>
      <c r="C34" s="2" t="s">
        <v>110</v>
      </c>
      <c r="D34" s="3" t="s">
        <v>141</v>
      </c>
      <c r="E34" s="43">
        <f>E24-E9</f>
        <v>1.426351732</v>
      </c>
      <c r="F34" s="4" t="s">
        <v>12</v>
      </c>
      <c r="J34" s="23"/>
    </row>
    <row r="35">
      <c r="C35" s="2" t="s">
        <v>110</v>
      </c>
      <c r="D35" s="3" t="s">
        <v>142</v>
      </c>
      <c r="E35" s="22"/>
      <c r="F35" s="40">
        <f>E38*1.5</f>
        <v>1.765664766</v>
      </c>
      <c r="J35" s="23"/>
    </row>
    <row r="36">
      <c r="C36" s="14" t="s">
        <v>103</v>
      </c>
      <c r="D36" s="25"/>
      <c r="E36" s="45">
        <f>E34-F35</f>
        <v>-0.339313034</v>
      </c>
      <c r="F36" s="27"/>
      <c r="J36" s="23"/>
    </row>
    <row r="37">
      <c r="C37" s="17"/>
      <c r="D37" s="51"/>
      <c r="E37" s="52"/>
      <c r="F37" s="16"/>
      <c r="J37" s="23"/>
    </row>
    <row r="38">
      <c r="C38" s="2" t="s">
        <v>30</v>
      </c>
      <c r="D38" s="42" t="s">
        <v>143</v>
      </c>
      <c r="E38" s="43">
        <f>(((E2)/(E10))^2/(E11))^(1/3)</f>
        <v>1.177109844</v>
      </c>
      <c r="F38" s="4" t="s">
        <v>12</v>
      </c>
      <c r="I38" s="53" t="s">
        <v>30</v>
      </c>
      <c r="J38" s="54" t="s">
        <v>144</v>
      </c>
      <c r="K38" s="55">
        <v>1.587646484375</v>
      </c>
      <c r="L38" s="56" t="s">
        <v>12</v>
      </c>
      <c r="M38" s="16" t="s">
        <v>32</v>
      </c>
    </row>
    <row r="39">
      <c r="D39" s="23"/>
      <c r="I39" s="57"/>
      <c r="J39" s="58"/>
      <c r="K39" s="57"/>
      <c r="L39" s="57"/>
      <c r="M39" s="20" t="s">
        <v>145</v>
      </c>
    </row>
    <row r="40">
      <c r="C40" s="53" t="s">
        <v>39</v>
      </c>
      <c r="D40" s="59" t="s">
        <v>146</v>
      </c>
      <c r="E40" s="60">
        <f>E38*E10</f>
        <v>7.062659066</v>
      </c>
      <c r="F40" s="56" t="s">
        <v>41</v>
      </c>
      <c r="I40" s="61" t="s">
        <v>39</v>
      </c>
      <c r="J40" s="62" t="s">
        <v>40</v>
      </c>
      <c r="K40" s="63">
        <f>(E3*K38+E4*K38^2)</f>
        <v>12.84032351</v>
      </c>
      <c r="L40" s="64" t="s">
        <v>41</v>
      </c>
    </row>
    <row r="41">
      <c r="C41" s="65" t="s">
        <v>42</v>
      </c>
      <c r="D41" s="66" t="s">
        <v>43</v>
      </c>
      <c r="E41" s="63">
        <f>E10</f>
        <v>6</v>
      </c>
      <c r="F41" s="67" t="s">
        <v>12</v>
      </c>
      <c r="I41" s="61" t="s">
        <v>42</v>
      </c>
      <c r="J41" s="62" t="s">
        <v>43</v>
      </c>
      <c r="K41" s="63">
        <f>E3+2*E4*K38</f>
        <v>9.675292969</v>
      </c>
      <c r="L41" s="64" t="s">
        <v>12</v>
      </c>
    </row>
    <row r="42">
      <c r="C42" s="65" t="s">
        <v>44</v>
      </c>
      <c r="D42" s="66" t="s">
        <v>45</v>
      </c>
      <c r="E42" s="63">
        <f>E10+2*E38</f>
        <v>8.354219689</v>
      </c>
      <c r="F42" s="67" t="s">
        <v>12</v>
      </c>
      <c r="I42" s="61" t="s">
        <v>44</v>
      </c>
      <c r="J42" s="62" t="s">
        <v>45</v>
      </c>
      <c r="K42" s="63">
        <f>E3+2*K38*SQRT(1+E4^2)</f>
        <v>10.99054238</v>
      </c>
      <c r="L42" s="64" t="s">
        <v>12</v>
      </c>
    </row>
    <row r="43">
      <c r="D43" s="23"/>
      <c r="E43" s="24"/>
      <c r="I43" s="57"/>
      <c r="J43" s="58"/>
      <c r="K43" s="57"/>
      <c r="L43" s="57"/>
    </row>
    <row r="44">
      <c r="C44" s="2" t="s">
        <v>46</v>
      </c>
      <c r="D44" s="3" t="s">
        <v>147</v>
      </c>
      <c r="E44" s="22">
        <f>E40/E42</f>
        <v>0.8454002084</v>
      </c>
      <c r="F44" s="4" t="s">
        <v>12</v>
      </c>
      <c r="I44" s="61" t="s">
        <v>46</v>
      </c>
      <c r="J44" s="62" t="s">
        <v>148</v>
      </c>
      <c r="K44" s="63">
        <f>K40/K42</f>
        <v>1.168306628</v>
      </c>
      <c r="L44" s="64" t="s">
        <v>12</v>
      </c>
    </row>
    <row r="45">
      <c r="C45" s="2" t="s">
        <v>48</v>
      </c>
      <c r="D45" s="3" t="s">
        <v>49</v>
      </c>
      <c r="E45" s="22">
        <f>E40/E41</f>
        <v>1.177109844</v>
      </c>
      <c r="F45" s="4" t="s">
        <v>12</v>
      </c>
      <c r="I45" s="61" t="s">
        <v>48</v>
      </c>
      <c r="J45" s="62" t="s">
        <v>49</v>
      </c>
      <c r="K45" s="63">
        <f>K40/K41</f>
        <v>1.327125034</v>
      </c>
      <c r="L45" s="64" t="s">
        <v>12</v>
      </c>
    </row>
    <row r="46">
      <c r="C46" s="17"/>
      <c r="D46" s="20"/>
      <c r="E46" s="24"/>
      <c r="F46" s="16"/>
      <c r="I46" s="57"/>
      <c r="J46" s="58"/>
      <c r="K46" s="68"/>
      <c r="L46" s="57"/>
    </row>
    <row r="47">
      <c r="C47" s="2" t="s">
        <v>50</v>
      </c>
      <c r="D47" s="3" t="s">
        <v>51</v>
      </c>
      <c r="E47" s="22">
        <f>E2/E40</f>
        <v>3.398153553</v>
      </c>
      <c r="F47" s="4" t="s">
        <v>52</v>
      </c>
      <c r="I47" s="61" t="s">
        <v>50</v>
      </c>
      <c r="J47" s="62" t="s">
        <v>51</v>
      </c>
      <c r="K47" s="63">
        <f>E2/K40</f>
        <v>1.869111786</v>
      </c>
      <c r="L47" s="64" t="s">
        <v>52</v>
      </c>
    </row>
    <row r="48">
      <c r="D48" s="23"/>
      <c r="I48" s="57"/>
      <c r="J48" s="58"/>
      <c r="K48" s="57"/>
      <c r="L48" s="57"/>
    </row>
    <row r="49">
      <c r="C49" s="2" t="s">
        <v>57</v>
      </c>
      <c r="D49" s="3" t="s">
        <v>149</v>
      </c>
      <c r="E49" s="43">
        <f>E38+(E2^2/(E40^2*2*E11))</f>
        <v>1.765664766</v>
      </c>
      <c r="F49" s="4" t="s">
        <v>12</v>
      </c>
      <c r="I49" s="69" t="s">
        <v>57</v>
      </c>
      <c r="J49" s="62" t="s">
        <v>150</v>
      </c>
      <c r="K49" s="70">
        <f>K38+(E2^2/(K40^2*2*E11))</f>
        <v>1.765708608</v>
      </c>
      <c r="L49" s="64" t="s">
        <v>12</v>
      </c>
    </row>
    <row r="50">
      <c r="D50" s="23"/>
      <c r="I50" s="71" t="s">
        <v>103</v>
      </c>
      <c r="J50" s="62"/>
      <c r="K50" s="72">
        <f>E49-K49</f>
        <v>-0.0000438416881</v>
      </c>
      <c r="L50" s="73"/>
    </row>
    <row r="51">
      <c r="C51" s="2" t="s">
        <v>53</v>
      </c>
      <c r="D51" s="3" t="s">
        <v>54</v>
      </c>
      <c r="E51" s="22">
        <f>E47/SQRT(E11*E45)</f>
        <v>1</v>
      </c>
      <c r="F51" s="4" t="s">
        <v>55</v>
      </c>
      <c r="I51" s="57"/>
      <c r="J51" s="58"/>
      <c r="K51" s="57"/>
      <c r="L51" s="57"/>
    </row>
    <row r="52">
      <c r="C52" s="14" t="s">
        <v>56</v>
      </c>
      <c r="D52" s="25"/>
      <c r="E52" s="26" t="str">
        <f>IF(ROUND(E51,3)&gt;1,"Supercrítico",IF(ROUND(E51,3)&lt;1,"Subcrítico","Crítico"))</f>
        <v>Crítico</v>
      </c>
      <c r="F52" s="27"/>
      <c r="I52" s="61" t="s">
        <v>53</v>
      </c>
      <c r="J52" s="62" t="s">
        <v>54</v>
      </c>
      <c r="K52" s="63">
        <f>K47/SQRT(E11*K45)</f>
        <v>0.5180180009</v>
      </c>
      <c r="L52" s="64" t="s">
        <v>55</v>
      </c>
    </row>
    <row r="53">
      <c r="D53" s="23"/>
      <c r="I53" s="71" t="s">
        <v>56</v>
      </c>
      <c r="J53" s="62"/>
      <c r="K53" s="58" t="str">
        <f>IF(ROUND(K52,3)&gt;1,"Supercrítico",IF(ROUND(K52,3)&lt;1,"Subcrítico","Crítico"))</f>
        <v>Subcrítico</v>
      </c>
      <c r="L53" s="73"/>
    </row>
    <row r="54">
      <c r="D54" s="23"/>
    </row>
    <row r="55">
      <c r="D55" s="23"/>
    </row>
    <row r="56">
      <c r="B56" s="74" t="s">
        <v>151</v>
      </c>
      <c r="C56" s="2" t="s">
        <v>152</v>
      </c>
      <c r="D56" s="3"/>
      <c r="E56" s="22">
        <f>4-E38</f>
        <v>2.822890156</v>
      </c>
      <c r="F56" s="4" t="s">
        <v>12</v>
      </c>
    </row>
    <row r="57">
      <c r="D57" s="23"/>
    </row>
    <row r="58">
      <c r="D58" s="23"/>
    </row>
    <row r="59">
      <c r="D59" s="23"/>
    </row>
    <row r="60">
      <c r="D60" s="23"/>
    </row>
    <row r="61">
      <c r="D61" s="23"/>
    </row>
    <row r="62">
      <c r="D62" s="23"/>
    </row>
    <row r="63">
      <c r="D63" s="23"/>
    </row>
    <row r="64">
      <c r="D64" s="23"/>
    </row>
    <row r="65">
      <c r="D65" s="23"/>
    </row>
    <row r="66">
      <c r="D66" s="23"/>
    </row>
    <row r="67">
      <c r="D67" s="23"/>
    </row>
    <row r="68">
      <c r="D68" s="23"/>
    </row>
    <row r="69">
      <c r="D69" s="23"/>
    </row>
    <row r="70">
      <c r="D70" s="23"/>
    </row>
    <row r="71">
      <c r="D71" s="23"/>
    </row>
    <row r="72">
      <c r="D72" s="23"/>
    </row>
    <row r="73">
      <c r="D73" s="23"/>
    </row>
    <row r="74">
      <c r="D74" s="23"/>
    </row>
    <row r="75">
      <c r="D75" s="23"/>
    </row>
  </sheetData>
  <mergeCells count="14">
    <mergeCell ref="E27:F27"/>
    <mergeCell ref="E31:F31"/>
    <mergeCell ref="B34:B53"/>
    <mergeCell ref="E36:F36"/>
    <mergeCell ref="K50:L50"/>
    <mergeCell ref="E52:F52"/>
    <mergeCell ref="K53:L53"/>
    <mergeCell ref="B2:B11"/>
    <mergeCell ref="C5:C6"/>
    <mergeCell ref="D5:D6"/>
    <mergeCell ref="C8:C9"/>
    <mergeCell ref="D8:D9"/>
    <mergeCell ref="B13:B31"/>
    <mergeCell ref="K27:L27"/>
  </mergeCells>
  <drawing r:id="rId1"/>
</worksheet>
</file>