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Income Statement" sheetId="2" r:id="rId5"/>
    <sheet state="visible" name="Balance Sheet" sheetId="3" r:id="rId6"/>
    <sheet state="visible" name="Cash Flow" sheetId="4" r:id="rId7"/>
    <sheet state="visible" name="Checks" sheetId="5" r:id="rId8"/>
    <sheet state="visible" name="KPIs" sheetId="6" r:id="rId9"/>
  </sheets>
  <definedNames/>
  <calcPr/>
</workbook>
</file>

<file path=xl/sharedStrings.xml><?xml version="1.0" encoding="utf-8"?>
<sst xmlns="http://schemas.openxmlformats.org/spreadsheetml/2006/main" count="100" uniqueCount="77">
  <si>
    <t>Active Scenario</t>
  </si>
  <si>
    <t>Bear</t>
  </si>
  <si>
    <t>Active Assumptions</t>
  </si>
  <si>
    <t>Assumption</t>
  </si>
  <si>
    <t>Base</t>
  </si>
  <si>
    <t>Bull</t>
  </si>
  <si>
    <t>Scenario Index</t>
  </si>
  <si>
    <t>Revenue Growth %</t>
  </si>
  <si>
    <t>COGS % of Revenue</t>
  </si>
  <si>
    <t>Opex % of Revenue</t>
  </si>
  <si>
    <t>D&amp;A % of Revenue</t>
  </si>
  <si>
    <t>Interest % of Revenue</t>
  </si>
  <si>
    <t>Tax Rate</t>
  </si>
  <si>
    <t>Capex % of Revenue</t>
  </si>
  <si>
    <t>Dividend Payout %</t>
  </si>
  <si>
    <t>DSO (days)</t>
  </si>
  <si>
    <t>DIO (days)</t>
  </si>
  <si>
    <t>DPO (days)</t>
  </si>
  <si>
    <t>Starting Debt (2019)</t>
  </si>
  <si>
    <t>Beginning Cash (2017)</t>
  </si>
  <si>
    <t>Starting Net PP&amp;E (2017)</t>
  </si>
  <si>
    <t>Line Items</t>
  </si>
  <si>
    <t>Revenue</t>
  </si>
  <si>
    <t>COGS</t>
  </si>
  <si>
    <t>Gross Profit</t>
  </si>
  <si>
    <t>Opex</t>
  </si>
  <si>
    <t>EBITDA</t>
  </si>
  <si>
    <t>D&amp;A</t>
  </si>
  <si>
    <t>EBIT</t>
  </si>
  <si>
    <t>Interest</t>
  </si>
  <si>
    <t>EBT</t>
  </si>
  <si>
    <t>Taxes</t>
  </si>
  <si>
    <t>Net Income</t>
  </si>
  <si>
    <t>Line Item</t>
  </si>
  <si>
    <t>Cash</t>
  </si>
  <si>
    <t>Accounts Receivable</t>
  </si>
  <si>
    <t>Inventory</t>
  </si>
  <si>
    <t>Net PP&amp;E</t>
  </si>
  <si>
    <t>Total Assets</t>
  </si>
  <si>
    <t>Debt</t>
  </si>
  <si>
    <t>Accounts Payable</t>
  </si>
  <si>
    <t>Equity</t>
  </si>
  <si>
    <t>Total Liabilities &amp; Equity</t>
  </si>
  <si>
    <t>Other Assets</t>
  </si>
  <si>
    <t>Add: Depreciation (D&amp;A)</t>
  </si>
  <si>
    <t>Less: Change in AR</t>
  </si>
  <si>
    <t>Less: Change in Inventory</t>
  </si>
  <si>
    <t>Add: Change in AP</t>
  </si>
  <si>
    <t>Net Cash from Operations (CFO)</t>
  </si>
  <si>
    <t>Capex (cash outflow)</t>
  </si>
  <si>
    <t>Net Cash from Investing (CFI)</t>
  </si>
  <si>
    <t>Dividends</t>
  </si>
  <si>
    <t>Net Cash from Financing (CFF)</t>
  </si>
  <si>
    <t>Net Change in Cash</t>
  </si>
  <si>
    <t>Beginning Cash</t>
  </si>
  <si>
    <t>Ending Cash</t>
  </si>
  <si>
    <t>Balance (Assets - Liabilities &amp; Equity)</t>
  </si>
  <si>
    <t>Cash Roll (CF Ending Cash - BS Cash)</t>
  </si>
  <si>
    <t>Equity Roll (Prior + NI - Div - Current)</t>
  </si>
  <si>
    <t>Metric</t>
  </si>
  <si>
    <t>Gross Margin %</t>
  </si>
  <si>
    <t>EBITDA Margin %</t>
  </si>
  <si>
    <t>EBIT Margin %</t>
  </si>
  <si>
    <t>Net Margin %</t>
  </si>
  <si>
    <t>CFO (Cash from Ops)</t>
  </si>
  <si>
    <t>Capex</t>
  </si>
  <si>
    <t>Free Cash Flow (FCF)</t>
  </si>
  <si>
    <t>FCF Margin %</t>
  </si>
  <si>
    <t>Cash Conversion Cycle (days)</t>
  </si>
  <si>
    <t>Net Debt</t>
  </si>
  <si>
    <t>Net Debt / EBITDA (x)</t>
  </si>
  <si>
    <t>Interest Coverage (x)</t>
  </si>
  <si>
    <t>ROE %</t>
  </si>
  <si>
    <t>ROA %</t>
  </si>
  <si>
    <t>AR / Revenue %</t>
  </si>
  <si>
    <t>Inventory / COGS %</t>
  </si>
  <si>
    <t>AP / COGS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</si>
</sst>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8" max="8" width="19.5"/>
  </cols>
  <sheetData>
    <row r="2">
      <c r="F2" s="1" t="s">
        <v>0</v>
      </c>
      <c r="G2" s="1" t="s">
        <v>1</v>
      </c>
      <c r="I2" s="1" t="s">
        <v>2</v>
      </c>
    </row>
    <row r="3">
      <c r="A3" s="2" t="s">
        <v>3</v>
      </c>
      <c r="B3" s="3" t="s">
        <v>4</v>
      </c>
      <c r="C3" s="3" t="s">
        <v>5</v>
      </c>
      <c r="D3" s="3" t="s">
        <v>1</v>
      </c>
      <c r="F3" s="1" t="s">
        <v>6</v>
      </c>
      <c r="G3" s="4">
        <f>MATCH(G2,B3:D3,0)</f>
        <v>3</v>
      </c>
    </row>
    <row r="4">
      <c r="A4" s="1" t="s">
        <v>7</v>
      </c>
      <c r="B4" s="5">
        <v>0.07</v>
      </c>
      <c r="C4" s="5">
        <v>0.09</v>
      </c>
      <c r="D4" s="5">
        <v>0.04</v>
      </c>
      <c r="H4" s="1" t="s">
        <v>7</v>
      </c>
      <c r="I4" s="4">
        <f t="array" ref="I4">INDEX(B4:D4, G3)</f>
        <v>0.04</v>
      </c>
    </row>
    <row r="5">
      <c r="A5" s="1" t="s">
        <v>8</v>
      </c>
      <c r="B5" s="5">
        <v>0.62</v>
      </c>
      <c r="C5" s="5">
        <v>0.6</v>
      </c>
      <c r="D5" s="5">
        <v>0.65</v>
      </c>
      <c r="H5" s="1" t="s">
        <v>8</v>
      </c>
      <c r="I5" s="4">
        <f t="shared" ref="I5:I17" si="1">INDEX(B5:D5, $G$3)</f>
        <v>0.65</v>
      </c>
    </row>
    <row r="6">
      <c r="A6" s="1" t="s">
        <v>9</v>
      </c>
      <c r="B6" s="5">
        <v>0.12</v>
      </c>
      <c r="C6" s="5">
        <v>0.11</v>
      </c>
      <c r="D6" s="5">
        <v>0.13</v>
      </c>
      <c r="H6" s="1" t="s">
        <v>9</v>
      </c>
      <c r="I6" s="4">
        <f t="shared" si="1"/>
        <v>0.13</v>
      </c>
    </row>
    <row r="7">
      <c r="A7" s="1" t="s">
        <v>10</v>
      </c>
      <c r="B7" s="5">
        <v>0.045</v>
      </c>
      <c r="C7" s="5">
        <v>0.04</v>
      </c>
      <c r="D7" s="5">
        <v>0.05</v>
      </c>
      <c r="H7" s="1" t="s">
        <v>10</v>
      </c>
      <c r="I7" s="4">
        <f t="shared" si="1"/>
        <v>0.05</v>
      </c>
    </row>
    <row r="8">
      <c r="A8" s="1" t="s">
        <v>11</v>
      </c>
      <c r="B8" s="5">
        <v>0.01</v>
      </c>
      <c r="C8" s="5">
        <v>0.009</v>
      </c>
      <c r="D8" s="5">
        <v>0.012</v>
      </c>
      <c r="H8" s="1" t="s">
        <v>11</v>
      </c>
      <c r="I8" s="4">
        <f t="shared" si="1"/>
        <v>0.012</v>
      </c>
    </row>
    <row r="9">
      <c r="A9" s="1" t="s">
        <v>12</v>
      </c>
      <c r="B9" s="5">
        <v>0.21</v>
      </c>
      <c r="C9" s="5">
        <v>0.2</v>
      </c>
      <c r="D9" s="5">
        <v>0.23</v>
      </c>
      <c r="H9" s="1" t="s">
        <v>12</v>
      </c>
      <c r="I9" s="4">
        <f t="shared" si="1"/>
        <v>0.23</v>
      </c>
    </row>
    <row r="10">
      <c r="A10" s="1" t="s">
        <v>13</v>
      </c>
      <c r="B10" s="5">
        <v>0.05</v>
      </c>
      <c r="C10" s="5">
        <v>0.045</v>
      </c>
      <c r="D10" s="5">
        <v>0.055</v>
      </c>
      <c r="H10" s="1" t="s">
        <v>13</v>
      </c>
      <c r="I10" s="4">
        <f t="shared" si="1"/>
        <v>0.055</v>
      </c>
    </row>
    <row r="11">
      <c r="A11" s="1" t="s">
        <v>14</v>
      </c>
      <c r="B11" s="5">
        <v>0.25</v>
      </c>
      <c r="C11" s="5">
        <v>0.25</v>
      </c>
      <c r="D11" s="5">
        <v>0.25</v>
      </c>
      <c r="H11" s="1" t="s">
        <v>14</v>
      </c>
      <c r="I11" s="4">
        <f t="shared" si="1"/>
        <v>0.25</v>
      </c>
    </row>
    <row r="12">
      <c r="A12" s="1" t="s">
        <v>15</v>
      </c>
      <c r="B12" s="5">
        <v>60.0</v>
      </c>
      <c r="C12" s="5">
        <v>60.0</v>
      </c>
      <c r="D12" s="5">
        <v>60.0</v>
      </c>
      <c r="H12" s="1" t="s">
        <v>15</v>
      </c>
      <c r="I12" s="4">
        <f t="shared" si="1"/>
        <v>60</v>
      </c>
    </row>
    <row r="13">
      <c r="A13" s="1" t="s">
        <v>16</v>
      </c>
      <c r="B13" s="5">
        <v>9.0</v>
      </c>
      <c r="C13" s="5">
        <v>9.0</v>
      </c>
      <c r="D13" s="5">
        <v>9.0</v>
      </c>
      <c r="H13" s="1" t="s">
        <v>16</v>
      </c>
      <c r="I13" s="4">
        <f t="shared" si="1"/>
        <v>9</v>
      </c>
    </row>
    <row r="14">
      <c r="A14" s="1" t="s">
        <v>17</v>
      </c>
      <c r="B14" s="5">
        <v>110.0</v>
      </c>
      <c r="C14" s="5">
        <v>110.0</v>
      </c>
      <c r="D14" s="5">
        <v>110.0</v>
      </c>
      <c r="H14" s="1" t="s">
        <v>17</v>
      </c>
      <c r="I14" s="4">
        <f t="shared" si="1"/>
        <v>110</v>
      </c>
    </row>
    <row r="15">
      <c r="A15" s="1" t="s">
        <v>18</v>
      </c>
      <c r="B15" s="5">
        <v>102.6</v>
      </c>
      <c r="C15" s="5">
        <v>102.6</v>
      </c>
      <c r="D15" s="5">
        <v>102.6</v>
      </c>
      <c r="H15" s="1" t="s">
        <v>18</v>
      </c>
      <c r="I15" s="4">
        <f t="shared" si="1"/>
        <v>102.6</v>
      </c>
    </row>
    <row r="16">
      <c r="A16" s="1" t="s">
        <v>19</v>
      </c>
      <c r="B16" s="5">
        <v>20.5</v>
      </c>
      <c r="C16" s="5">
        <v>20.5</v>
      </c>
      <c r="D16" s="5">
        <v>20.5</v>
      </c>
      <c r="H16" s="1" t="s">
        <v>19</v>
      </c>
      <c r="I16" s="4">
        <f t="shared" si="1"/>
        <v>20.5</v>
      </c>
    </row>
    <row r="17">
      <c r="A17" s="1" t="s">
        <v>20</v>
      </c>
      <c r="B17" s="5">
        <v>27.0</v>
      </c>
      <c r="C17" s="5">
        <v>27.0</v>
      </c>
      <c r="D17" s="5">
        <v>27.0</v>
      </c>
      <c r="H17" s="1" t="s">
        <v>20</v>
      </c>
      <c r="I17" s="4">
        <f t="shared" si="1"/>
        <v>27</v>
      </c>
    </row>
  </sheetData>
  <dataValidations>
    <dataValidation type="list" allowBlank="1" showErrorMessage="1" sqref="G2">
      <formula1>"Base,Bull,Bear"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</v>
      </c>
      <c r="B1" s="6">
        <v>2017.0</v>
      </c>
      <c r="C1" s="6">
        <v>2018.0</v>
      </c>
      <c r="D1" s="6">
        <v>2019.0</v>
      </c>
      <c r="E1" s="6">
        <v>2020.0</v>
      </c>
      <c r="F1" s="6">
        <v>2021.0</v>
      </c>
      <c r="G1" s="6">
        <v>2022.0</v>
      </c>
      <c r="H1" s="6">
        <v>2023.0</v>
      </c>
      <c r="I1" s="6">
        <v>2024.0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22</v>
      </c>
      <c r="B2" s="1">
        <v>229.2</v>
      </c>
      <c r="C2" s="1">
        <v>265.6</v>
      </c>
      <c r="D2" s="1">
        <v>260.2</v>
      </c>
      <c r="E2" s="4">
        <f>D2*(1+Scenarios!$I$4)</f>
        <v>270.608</v>
      </c>
      <c r="F2" s="4">
        <f>E2*(1+Scenarios!$I$4)</f>
        <v>281.43232</v>
      </c>
      <c r="G2" s="4">
        <f>F2*(1+Scenarios!$I$4)</f>
        <v>292.6896128</v>
      </c>
      <c r="H2" s="4">
        <f>G2*(1+Scenarios!$I$4)</f>
        <v>304.3971973</v>
      </c>
      <c r="I2" s="4">
        <f>H2*(1+Scenarios!$I$4)</f>
        <v>316.5730852</v>
      </c>
    </row>
    <row r="3">
      <c r="A3" s="6" t="s">
        <v>23</v>
      </c>
      <c r="B3" s="1">
        <v>141.0</v>
      </c>
      <c r="C3" s="1">
        <v>163.8</v>
      </c>
      <c r="D3" s="1">
        <v>161.8</v>
      </c>
      <c r="E3" s="4">
        <f>E2 * Scenarios!$I$5</f>
        <v>175.8952</v>
      </c>
      <c r="F3" s="4">
        <f>F2 * Scenarios!$I$5</f>
        <v>182.931008</v>
      </c>
      <c r="G3" s="4">
        <f>G2 * Scenarios!$I$5</f>
        <v>190.2482483</v>
      </c>
      <c r="H3" s="4">
        <f>H2 * Scenarios!$I$5</f>
        <v>197.8581783</v>
      </c>
      <c r="I3" s="4">
        <f>I2 * Scenarios!$I$5</f>
        <v>205.7725054</v>
      </c>
    </row>
    <row r="4">
      <c r="A4" s="6" t="s">
        <v>24</v>
      </c>
      <c r="B4" s="4">
        <f t="shared" ref="B4:I4" si="1">B2-B3</f>
        <v>88.2</v>
      </c>
      <c r="C4" s="4">
        <f t="shared" si="1"/>
        <v>101.8</v>
      </c>
      <c r="D4" s="4">
        <f t="shared" si="1"/>
        <v>98.4</v>
      </c>
      <c r="E4" s="4">
        <f t="shared" si="1"/>
        <v>94.7128</v>
      </c>
      <c r="F4" s="4">
        <f t="shared" si="1"/>
        <v>98.501312</v>
      </c>
      <c r="G4" s="4">
        <f t="shared" si="1"/>
        <v>102.4413645</v>
      </c>
      <c r="H4" s="4">
        <f t="shared" si="1"/>
        <v>106.5390191</v>
      </c>
      <c r="I4" s="4">
        <f t="shared" si="1"/>
        <v>110.8005798</v>
      </c>
    </row>
    <row r="5">
      <c r="A5" s="6" t="s">
        <v>25</v>
      </c>
      <c r="B5" s="1">
        <v>26.8</v>
      </c>
      <c r="C5" s="1">
        <v>28.9</v>
      </c>
      <c r="D5" s="1">
        <v>32.5</v>
      </c>
      <c r="E5" s="4">
        <f>E2*Scenarios!$I$6</f>
        <v>35.17904</v>
      </c>
      <c r="F5" s="4">
        <f>F2*Scenarios!$I$6</f>
        <v>36.5862016</v>
      </c>
      <c r="G5" s="4">
        <f>G2*Scenarios!$I$6</f>
        <v>38.04964966</v>
      </c>
      <c r="H5" s="4">
        <f>H2*Scenarios!$I$6</f>
        <v>39.57163565</v>
      </c>
      <c r="I5" s="4">
        <f>I2*Scenarios!$I$6</f>
        <v>41.15450108</v>
      </c>
    </row>
    <row r="6">
      <c r="A6" s="6" t="s">
        <v>26</v>
      </c>
      <c r="B6" s="4">
        <f t="shared" ref="B6:I6" si="2">B4-B5</f>
        <v>61.4</v>
      </c>
      <c r="C6" s="4">
        <f t="shared" si="2"/>
        <v>72.9</v>
      </c>
      <c r="D6" s="4">
        <f t="shared" si="2"/>
        <v>65.9</v>
      </c>
      <c r="E6" s="4">
        <f t="shared" si="2"/>
        <v>59.53376</v>
      </c>
      <c r="F6" s="4">
        <f t="shared" si="2"/>
        <v>61.9151104</v>
      </c>
      <c r="G6" s="4">
        <f t="shared" si="2"/>
        <v>64.39171482</v>
      </c>
      <c r="H6" s="4">
        <f t="shared" si="2"/>
        <v>66.96738341</v>
      </c>
      <c r="I6" s="4">
        <f t="shared" si="2"/>
        <v>69.64607874</v>
      </c>
    </row>
    <row r="7">
      <c r="A7" s="6" t="s">
        <v>27</v>
      </c>
      <c r="B7" s="1">
        <v>10.2</v>
      </c>
      <c r="C7" s="1">
        <v>10.9</v>
      </c>
      <c r="D7" s="1">
        <v>12.5</v>
      </c>
      <c r="E7" s="4">
        <f>E2*Scenarios!$I$7</f>
        <v>13.5304</v>
      </c>
      <c r="F7" s="4">
        <f>F2*Scenarios!$I$7</f>
        <v>14.071616</v>
      </c>
      <c r="G7" s="4">
        <f>G2*Scenarios!$I$7</f>
        <v>14.63448064</v>
      </c>
      <c r="H7" s="4">
        <f>H2*Scenarios!$I$7</f>
        <v>15.21985987</v>
      </c>
      <c r="I7" s="4">
        <f>I2*Scenarios!$I$7</f>
        <v>15.82865426</v>
      </c>
    </row>
    <row r="8">
      <c r="A8" s="6" t="s">
        <v>28</v>
      </c>
      <c r="B8" s="4">
        <f t="shared" ref="B8:I8" si="3">B6-B7</f>
        <v>51.2</v>
      </c>
      <c r="C8" s="4">
        <f t="shared" si="3"/>
        <v>62</v>
      </c>
      <c r="D8" s="4">
        <f t="shared" si="3"/>
        <v>53.4</v>
      </c>
      <c r="E8" s="4">
        <f t="shared" si="3"/>
        <v>46.00336</v>
      </c>
      <c r="F8" s="4">
        <f t="shared" si="3"/>
        <v>47.8434944</v>
      </c>
      <c r="G8" s="4">
        <f t="shared" si="3"/>
        <v>49.75723418</v>
      </c>
      <c r="H8" s="4">
        <f t="shared" si="3"/>
        <v>51.74752354</v>
      </c>
      <c r="I8" s="4">
        <f t="shared" si="3"/>
        <v>53.81742448</v>
      </c>
    </row>
    <row r="9">
      <c r="A9" s="6" t="s">
        <v>29</v>
      </c>
      <c r="E9" s="4">
        <f>E2*Scenarios!$I$8</f>
        <v>3.247296</v>
      </c>
      <c r="F9" s="4">
        <f>F2*Scenarios!$I$8</f>
        <v>3.37718784</v>
      </c>
      <c r="G9" s="4">
        <f>G2*Scenarios!$I$8</f>
        <v>3.512275354</v>
      </c>
      <c r="H9" s="4">
        <f>H2*Scenarios!$I$8</f>
        <v>3.652766368</v>
      </c>
      <c r="I9" s="4">
        <f>I2*Scenarios!$I$8</f>
        <v>3.798877022</v>
      </c>
    </row>
    <row r="10">
      <c r="A10" s="6" t="s">
        <v>30</v>
      </c>
      <c r="E10" s="4">
        <f t="shared" ref="E10:I10" si="4">E8-E9</f>
        <v>42.756064</v>
      </c>
      <c r="F10" s="4">
        <f t="shared" si="4"/>
        <v>44.46630656</v>
      </c>
      <c r="G10" s="4">
        <f t="shared" si="4"/>
        <v>46.24495882</v>
      </c>
      <c r="H10" s="4">
        <f t="shared" si="4"/>
        <v>48.09475718</v>
      </c>
      <c r="I10" s="4">
        <f t="shared" si="4"/>
        <v>50.01854746</v>
      </c>
    </row>
    <row r="11">
      <c r="A11" s="6" t="s">
        <v>31</v>
      </c>
      <c r="E11" s="4">
        <f>E10*Scenarios!$I$9</f>
        <v>9.83389472</v>
      </c>
      <c r="F11" s="4">
        <f>F10*Scenarios!$I$9</f>
        <v>10.22725051</v>
      </c>
      <c r="G11" s="4">
        <f>G10*Scenarios!$I$9</f>
        <v>10.63634053</v>
      </c>
      <c r="H11" s="4">
        <f>H10*Scenarios!$I$9</f>
        <v>11.06179415</v>
      </c>
      <c r="I11" s="4">
        <f>I10*Scenarios!$I$9</f>
        <v>11.50426592</v>
      </c>
    </row>
    <row r="12">
      <c r="A12" s="6" t="s">
        <v>32</v>
      </c>
      <c r="B12" s="1">
        <v>48.4</v>
      </c>
      <c r="C12" s="1">
        <v>59.5</v>
      </c>
      <c r="D12" s="1">
        <v>55.3</v>
      </c>
      <c r="E12" s="4">
        <f t="shared" ref="E12:I12" si="5">E10-E11</f>
        <v>32.92216928</v>
      </c>
      <c r="F12" s="4">
        <f t="shared" si="5"/>
        <v>34.23905605</v>
      </c>
      <c r="G12" s="4">
        <f t="shared" si="5"/>
        <v>35.60861829</v>
      </c>
      <c r="H12" s="4">
        <f t="shared" si="5"/>
        <v>37.03296302</v>
      </c>
      <c r="I12" s="4">
        <f t="shared" si="5"/>
        <v>38.51428155</v>
      </c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>
        <v>2017.0</v>
      </c>
      <c r="C1" s="6">
        <v>2018.0</v>
      </c>
      <c r="D1" s="6">
        <v>2019.0</v>
      </c>
      <c r="E1" s="6">
        <v>2020.0</v>
      </c>
      <c r="F1" s="6">
        <v>2021.0</v>
      </c>
      <c r="G1" s="6">
        <v>2022.0</v>
      </c>
      <c r="H1" s="6">
        <v>2023.0</v>
      </c>
      <c r="I1" s="6">
        <v>2024.0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34</v>
      </c>
      <c r="B2" s="4">
        <f>'Cash Flow'!B14</f>
        <v>54.394</v>
      </c>
      <c r="C2" s="4">
        <f>'Cash Flow'!C14</f>
        <v>95.63647945</v>
      </c>
      <c r="D2" s="4">
        <f>'Cash Flow'!D14</f>
        <v>135.634726</v>
      </c>
      <c r="E2" s="4">
        <f>'Cash Flow'!E14</f>
        <v>161.1627245</v>
      </c>
      <c r="F2" s="4">
        <f>'Cash Flow'!F14</f>
        <v>185.6024095</v>
      </c>
      <c r="G2" s="4">
        <f>'Cash Flow'!G14</f>
        <v>211.0196819</v>
      </c>
      <c r="H2" s="4">
        <f>'Cash Flow'!H14</f>
        <v>237.4536451</v>
      </c>
      <c r="I2" s="4">
        <f>'Cash Flow'!I14</f>
        <v>264.9449669</v>
      </c>
    </row>
    <row r="3">
      <c r="A3" s="6" t="s">
        <v>35</v>
      </c>
      <c r="B3" s="4">
        <f>'Income Statement'!B2 * Scenarios!$I$12 / 365</f>
        <v>37.67671233</v>
      </c>
      <c r="C3" s="4">
        <f>'Income Statement'!C2 * Scenarios!$I$12 / 365</f>
        <v>43.66027397</v>
      </c>
      <c r="D3" s="4">
        <f>'Income Statement'!D2 * Scenarios!$I$12 / 365</f>
        <v>42.77260274</v>
      </c>
      <c r="E3" s="4">
        <f>'Income Statement'!E2 * Scenarios!$I$12 / 365</f>
        <v>44.48350685</v>
      </c>
      <c r="F3" s="4">
        <f>'Income Statement'!F2 * Scenarios!$I$12 / 365</f>
        <v>46.26284712</v>
      </c>
      <c r="G3" s="4">
        <f>'Income Statement'!G2 * Scenarios!$I$12 / 365</f>
        <v>48.11336101</v>
      </c>
      <c r="H3" s="4">
        <f>'Income Statement'!H2 * Scenarios!$I$12 / 365</f>
        <v>50.03789545</v>
      </c>
      <c r="I3" s="4">
        <f>'Income Statement'!I2 * Scenarios!$I$12 / 365</f>
        <v>52.03941127</v>
      </c>
    </row>
    <row r="4">
      <c r="A4" s="6" t="s">
        <v>36</v>
      </c>
      <c r="B4" s="4">
        <f>'Income Statement'!B3 * Scenarios!$I$13 / 365</f>
        <v>3.476712329</v>
      </c>
      <c r="C4" s="4">
        <f>'Income Statement'!C3 * Scenarios!$I$13 / 365</f>
        <v>4.03890411</v>
      </c>
      <c r="D4" s="4">
        <f>'Income Statement'!D3 * Scenarios!$I$13 / 365</f>
        <v>3.989589041</v>
      </c>
      <c r="E4" s="4">
        <f>'Income Statement'!E3 * Scenarios!$I$13 / 365</f>
        <v>4.337141918</v>
      </c>
      <c r="F4" s="4">
        <f>'Income Statement'!F3 * Scenarios!$I$13 / 365</f>
        <v>4.510627595</v>
      </c>
      <c r="G4" s="4">
        <f>'Income Statement'!G3 * Scenarios!$I$13 / 365</f>
        <v>4.691052698</v>
      </c>
      <c r="H4" s="4">
        <f>'Income Statement'!H3 * Scenarios!$I$13 / 365</f>
        <v>4.878694806</v>
      </c>
      <c r="I4" s="4">
        <f>'Income Statement'!I3 * Scenarios!$I$13 / 365</f>
        <v>5.073842598</v>
      </c>
    </row>
    <row r="5">
      <c r="A5" s="6" t="s">
        <v>37</v>
      </c>
      <c r="B5" s="4">
        <f>Scenarios!$I$17</f>
        <v>27</v>
      </c>
      <c r="C5" s="4">
        <f> B5 + 'Income Statement'!C7 - ('Income Statement'!C2 * Scenarios!$I$10)
</f>
        <v>23.292</v>
      </c>
      <c r="D5" s="4">
        <f> C5 + 'Income Statement'!D7 - ('Income Statement'!D2 * Scenarios!$I$10)
</f>
        <v>21.481</v>
      </c>
      <c r="E5" s="4">
        <f> D5 + 'Income Statement'!E7 - ('Income Statement'!E2 * Scenarios!$I$10)
</f>
        <v>20.12796</v>
      </c>
      <c r="F5" s="4">
        <f> E5 + 'Income Statement'!F7 - ('Income Statement'!F2 * Scenarios!$I$10)
</f>
        <v>18.7207984</v>
      </c>
      <c r="G5" s="4">
        <f> F5 + 'Income Statement'!G7 - ('Income Statement'!G2 * Scenarios!$I$10)
</f>
        <v>17.25735034</v>
      </c>
      <c r="H5" s="4">
        <f> G5 + 'Income Statement'!H7 - ('Income Statement'!H2 * Scenarios!$I$10)
</f>
        <v>15.73536435</v>
      </c>
      <c r="I5" s="4">
        <f> H5 + 'Income Statement'!I7 - ('Income Statement'!I2 * Scenarios!$I$10)
</f>
        <v>14.15249892</v>
      </c>
    </row>
    <row r="6">
      <c r="A6" s="6" t="s">
        <v>38</v>
      </c>
      <c r="B6" s="4">
        <f t="shared" ref="B6:I6" si="1">B2+B3+B4+B5 + B11
</f>
        <v>170.4931507</v>
      </c>
      <c r="C6" s="4">
        <f t="shared" si="1"/>
        <v>221.9893836</v>
      </c>
      <c r="D6" s="4">
        <f t="shared" si="1"/>
        <v>365.4616438</v>
      </c>
      <c r="E6" s="4">
        <f t="shared" si="1"/>
        <v>394.4011393</v>
      </c>
      <c r="F6" s="4">
        <f t="shared" si="1"/>
        <v>422.2008118</v>
      </c>
      <c r="G6" s="4">
        <f t="shared" si="1"/>
        <v>451.1124713</v>
      </c>
      <c r="H6" s="4">
        <f t="shared" si="1"/>
        <v>481.1805971</v>
      </c>
      <c r="I6" s="4">
        <f t="shared" si="1"/>
        <v>512.4514479</v>
      </c>
    </row>
    <row r="7">
      <c r="A7" s="6" t="s">
        <v>39</v>
      </c>
      <c r="D7" s="4">
        <f>Scenarios!I15</f>
        <v>102.6</v>
      </c>
      <c r="E7" s="4">
        <f t="shared" ref="E7:I7" si="2">$D$7</f>
        <v>102.6</v>
      </c>
      <c r="F7" s="4">
        <f t="shared" si="2"/>
        <v>102.6</v>
      </c>
      <c r="G7" s="4">
        <f t="shared" si="2"/>
        <v>102.6</v>
      </c>
      <c r="H7" s="4">
        <f t="shared" si="2"/>
        <v>102.6</v>
      </c>
      <c r="I7" s="4">
        <f t="shared" si="2"/>
        <v>102.6</v>
      </c>
    </row>
    <row r="8">
      <c r="A8" s="6" t="s">
        <v>40</v>
      </c>
      <c r="B8" s="4">
        <f>'Income Statement'!B3 * Scenarios!$I$14 / 365</f>
        <v>42.49315068</v>
      </c>
      <c r="C8" s="4">
        <f>'Income Statement'!C3 * Scenarios!$I$14 / 365</f>
        <v>49.36438356</v>
      </c>
      <c r="D8" s="4">
        <f>'Income Statement'!D3 * Scenarios!$I$14 / 365</f>
        <v>48.76164384</v>
      </c>
      <c r="E8" s="4">
        <f>'Income Statement'!E3 * Scenarios!$I$14 / 365</f>
        <v>53.00951233</v>
      </c>
      <c r="F8" s="4">
        <f>'Income Statement'!F3 * Scenarios!$I$14 / 365</f>
        <v>55.12989282</v>
      </c>
      <c r="G8" s="4">
        <f>'Income Statement'!G3 * Scenarios!$I$14 / 365</f>
        <v>57.33508853</v>
      </c>
      <c r="H8" s="4">
        <f>'Income Statement'!H3 * Scenarios!$I$14 / 365</f>
        <v>59.62849208</v>
      </c>
      <c r="I8" s="4">
        <f>'Income Statement'!I3 * Scenarios!$I$14 / 365</f>
        <v>62.01363176</v>
      </c>
    </row>
    <row r="9">
      <c r="A9" s="6" t="s">
        <v>41</v>
      </c>
      <c r="B9" s="1">
        <v>128.0</v>
      </c>
      <c r="C9" s="4">
        <f>B9 + 'Income Statement'!C12 - 'Cash Flow'!C10</f>
        <v>172.625</v>
      </c>
      <c r="D9" s="4">
        <f>C9 + 'Income Statement'!D12 - 'Cash Flow'!D10</f>
        <v>214.1</v>
      </c>
      <c r="E9" s="4">
        <f>D9 + 'Income Statement'!E12 - 'Cash Flow'!E10</f>
        <v>238.791627</v>
      </c>
      <c r="F9" s="4">
        <f>E9 + 'Income Statement'!F12 - 'Cash Flow'!F10</f>
        <v>264.470919</v>
      </c>
      <c r="G9" s="4">
        <f>F9 + 'Income Statement'!G12 - 'Cash Flow'!G10</f>
        <v>291.1773827</v>
      </c>
      <c r="H9" s="4">
        <f>G9 + 'Income Statement'!H12 - 'Cash Flow'!H10</f>
        <v>318.952105</v>
      </c>
      <c r="I9" s="4">
        <f>H9 + 'Income Statement'!I12 - 'Cash Flow'!I10</f>
        <v>347.8378161</v>
      </c>
    </row>
    <row r="10">
      <c r="A10" s="6" t="s">
        <v>42</v>
      </c>
      <c r="B10" s="4">
        <f t="shared" ref="B10:I10" si="3">SUM(B7:B9)</f>
        <v>170.4931507</v>
      </c>
      <c r="C10" s="4">
        <f t="shared" si="3"/>
        <v>221.9893836</v>
      </c>
      <c r="D10" s="4">
        <f t="shared" si="3"/>
        <v>365.4616438</v>
      </c>
      <c r="E10" s="4">
        <f t="shared" si="3"/>
        <v>394.4011393</v>
      </c>
      <c r="F10" s="4">
        <f t="shared" si="3"/>
        <v>422.2008118</v>
      </c>
      <c r="G10" s="4">
        <f t="shared" si="3"/>
        <v>451.1124713</v>
      </c>
      <c r="H10" s="4">
        <f t="shared" si="3"/>
        <v>481.1805971</v>
      </c>
      <c r="I10" s="4">
        <f t="shared" si="3"/>
        <v>512.4514479</v>
      </c>
    </row>
    <row r="11">
      <c r="A11" s="6" t="s">
        <v>43</v>
      </c>
      <c r="B11" s="4">
        <f t="shared" ref="B11:I11" si="4"> (B7 + B8 + B9) - (B2 + B3 + B4 + B5)</f>
        <v>47.94572603</v>
      </c>
      <c r="C11" s="4">
        <f t="shared" si="4"/>
        <v>55.36172603</v>
      </c>
      <c r="D11" s="4">
        <f t="shared" si="4"/>
        <v>161.583726</v>
      </c>
      <c r="E11" s="4">
        <f t="shared" si="4"/>
        <v>164.289806</v>
      </c>
      <c r="F11" s="4">
        <f t="shared" si="4"/>
        <v>167.1041292</v>
      </c>
      <c r="G11" s="4">
        <f t="shared" si="4"/>
        <v>170.0310254</v>
      </c>
      <c r="H11" s="4">
        <f t="shared" si="4"/>
        <v>173.0749973</v>
      </c>
      <c r="I11" s="4">
        <f t="shared" si="4"/>
        <v>176.2407282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6" t="s">
        <v>33</v>
      </c>
      <c r="B1" s="6">
        <v>2017.0</v>
      </c>
      <c r="C1" s="6">
        <v>2018.0</v>
      </c>
      <c r="D1" s="6">
        <v>2019.0</v>
      </c>
      <c r="E1" s="6">
        <v>2020.0</v>
      </c>
      <c r="F1" s="6">
        <v>2021.0</v>
      </c>
      <c r="G1" s="6">
        <v>2022.0</v>
      </c>
      <c r="H1" s="6">
        <v>2023.0</v>
      </c>
      <c r="I1" s="6">
        <v>2024.0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32</v>
      </c>
      <c r="B2" s="4">
        <f>'Income Statement'!B12</f>
        <v>48.4</v>
      </c>
      <c r="C2" s="4">
        <f>'Income Statement'!C12</f>
        <v>59.5</v>
      </c>
      <c r="D2" s="4">
        <f>'Income Statement'!D12</f>
        <v>55.3</v>
      </c>
      <c r="E2" s="4">
        <f>'Income Statement'!E12</f>
        <v>32.92216928</v>
      </c>
      <c r="F2" s="4">
        <f>'Income Statement'!F12</f>
        <v>34.23905605</v>
      </c>
      <c r="G2" s="4">
        <f>'Income Statement'!G12</f>
        <v>35.60861829</v>
      </c>
      <c r="H2" s="4">
        <f>'Income Statement'!H12</f>
        <v>37.03296302</v>
      </c>
      <c r="I2" s="4">
        <f>'Income Statement'!I12</f>
        <v>38.51428155</v>
      </c>
    </row>
    <row r="3">
      <c r="A3" s="6" t="s">
        <v>44</v>
      </c>
      <c r="B3" s="4">
        <f>'Income Statement'!B7</f>
        <v>10.2</v>
      </c>
      <c r="C3" s="4">
        <f>'Income Statement'!C7</f>
        <v>10.9</v>
      </c>
      <c r="D3" s="4">
        <f>'Income Statement'!D7</f>
        <v>12.5</v>
      </c>
      <c r="E3" s="4">
        <f>'Income Statement'!E7</f>
        <v>13.5304</v>
      </c>
      <c r="F3" s="4">
        <f>'Income Statement'!F7</f>
        <v>14.071616</v>
      </c>
      <c r="G3" s="4">
        <f>'Income Statement'!G7</f>
        <v>14.63448064</v>
      </c>
      <c r="H3" s="4">
        <f>'Income Statement'!H7</f>
        <v>15.21985987</v>
      </c>
      <c r="I3" s="4">
        <f>'Income Statement'!I7</f>
        <v>15.82865426</v>
      </c>
    </row>
    <row r="4">
      <c r="A4" s="6" t="s">
        <v>45</v>
      </c>
      <c r="C4" s="4">
        <f>'Balance Sheet'!C3 - 'Balance Sheet'!B3</f>
        <v>5.983561644</v>
      </c>
      <c r="D4" s="4">
        <f>'Balance Sheet'!D3 - 'Balance Sheet'!C3</f>
        <v>-0.8876712329</v>
      </c>
      <c r="E4" s="4">
        <f>'Balance Sheet'!E3 - 'Balance Sheet'!D3</f>
        <v>1.71090411</v>
      </c>
      <c r="F4" s="4">
        <f>'Balance Sheet'!F3 - 'Balance Sheet'!E3</f>
        <v>1.779340274</v>
      </c>
      <c r="G4" s="4">
        <f>'Balance Sheet'!G3 - 'Balance Sheet'!F3</f>
        <v>1.850513885</v>
      </c>
      <c r="H4" s="4">
        <f>'Balance Sheet'!H3 - 'Balance Sheet'!G3</f>
        <v>1.92453444</v>
      </c>
      <c r="I4" s="4">
        <f>'Balance Sheet'!I3 - 'Balance Sheet'!H3</f>
        <v>2.001515818</v>
      </c>
    </row>
    <row r="5">
      <c r="A5" s="6" t="s">
        <v>46</v>
      </c>
      <c r="C5" s="4">
        <f>'Balance Sheet'!C4 - 'Balance Sheet'!B4</f>
        <v>0.5621917808</v>
      </c>
      <c r="D5" s="4">
        <f>'Balance Sheet'!D4 - 'Balance Sheet'!C4</f>
        <v>-0.04931506849</v>
      </c>
      <c r="E5" s="4">
        <f>'Balance Sheet'!E4 - 'Balance Sheet'!D4</f>
        <v>0.3475528767</v>
      </c>
      <c r="F5" s="4">
        <f>'Balance Sheet'!F4 - 'Balance Sheet'!E4</f>
        <v>0.1734856767</v>
      </c>
      <c r="G5" s="4">
        <f>'Balance Sheet'!G4 - 'Balance Sheet'!F4</f>
        <v>0.1804251038</v>
      </c>
      <c r="H5" s="4">
        <f>'Balance Sheet'!H4 - 'Balance Sheet'!G4</f>
        <v>0.1876421079</v>
      </c>
      <c r="I5" s="4">
        <f>'Balance Sheet'!I4 - 'Balance Sheet'!H4</f>
        <v>0.1951477922</v>
      </c>
    </row>
    <row r="6">
      <c r="A6" s="6" t="s">
        <v>47</v>
      </c>
      <c r="C6" s="4">
        <f>'Balance Sheet'!C8 - 'Balance Sheet'!B8</f>
        <v>6.871232877</v>
      </c>
      <c r="D6" s="4">
        <f>'Balance Sheet'!D8 - 'Balance Sheet'!C8</f>
        <v>-0.602739726</v>
      </c>
      <c r="E6" s="4">
        <f>'Balance Sheet'!E8 - 'Balance Sheet'!D8</f>
        <v>4.247868493</v>
      </c>
      <c r="F6" s="4">
        <f>'Balance Sheet'!F8 - 'Balance Sheet'!E8</f>
        <v>2.120380493</v>
      </c>
      <c r="G6" s="4">
        <f>'Balance Sheet'!G8 - 'Balance Sheet'!F8</f>
        <v>2.205195713</v>
      </c>
      <c r="H6" s="4">
        <f>'Balance Sheet'!H8 - 'Balance Sheet'!G8</f>
        <v>2.293403541</v>
      </c>
      <c r="I6" s="4">
        <f>'Balance Sheet'!I8 - 'Balance Sheet'!H8</f>
        <v>2.385139683</v>
      </c>
    </row>
    <row r="7">
      <c r="A7" s="6" t="s">
        <v>48</v>
      </c>
      <c r="B7" s="4">
        <f t="shared" ref="B7:I7" si="1">B2 + B3 - B4 - B5 + B6</f>
        <v>58.6</v>
      </c>
      <c r="C7" s="4">
        <f t="shared" si="1"/>
        <v>70.72547945</v>
      </c>
      <c r="D7" s="4">
        <f t="shared" si="1"/>
        <v>68.13424658</v>
      </c>
      <c r="E7" s="4">
        <f t="shared" si="1"/>
        <v>48.64198079</v>
      </c>
      <c r="F7" s="4">
        <f t="shared" si="1"/>
        <v>48.47822659</v>
      </c>
      <c r="G7" s="4">
        <f t="shared" si="1"/>
        <v>50.41735566</v>
      </c>
      <c r="H7" s="4">
        <f t="shared" si="1"/>
        <v>52.43404988</v>
      </c>
      <c r="I7" s="4">
        <f t="shared" si="1"/>
        <v>54.53141188</v>
      </c>
    </row>
    <row r="8">
      <c r="A8" s="6" t="s">
        <v>49</v>
      </c>
      <c r="B8" s="4">
        <f> - 'Income Statement'!B2 * Scenarios!$I$10</f>
        <v>-12.606</v>
      </c>
      <c r="C8" s="4">
        <f> - 'Income Statement'!C2 * Scenarios!$I$10</f>
        <v>-14.608</v>
      </c>
      <c r="D8" s="4">
        <f> - 'Income Statement'!D2 * Scenarios!$I$10</f>
        <v>-14.311</v>
      </c>
      <c r="E8" s="4">
        <f> - 'Income Statement'!E2 * Scenarios!$I$10</f>
        <v>-14.88344</v>
      </c>
      <c r="F8" s="4">
        <f> - 'Income Statement'!F2 * Scenarios!$I$10</f>
        <v>-15.4787776</v>
      </c>
      <c r="G8" s="4">
        <f> - 'Income Statement'!G2 * Scenarios!$I$10</f>
        <v>-16.0979287</v>
      </c>
      <c r="H8" s="4">
        <f> - 'Income Statement'!H2 * Scenarios!$I$10</f>
        <v>-16.74184585</v>
      </c>
      <c r="I8" s="4">
        <f> - 'Income Statement'!I2 * Scenarios!$I$10</f>
        <v>-17.41151969</v>
      </c>
    </row>
    <row r="9">
      <c r="A9" s="6" t="s">
        <v>50</v>
      </c>
      <c r="B9" s="4">
        <f t="shared" ref="B9:I9" si="2">B8</f>
        <v>-12.606</v>
      </c>
      <c r="C9" s="4">
        <f t="shared" si="2"/>
        <v>-14.608</v>
      </c>
      <c r="D9" s="4">
        <f t="shared" si="2"/>
        <v>-14.311</v>
      </c>
      <c r="E9" s="4">
        <f t="shared" si="2"/>
        <v>-14.88344</v>
      </c>
      <c r="F9" s="4">
        <f t="shared" si="2"/>
        <v>-15.4787776</v>
      </c>
      <c r="G9" s="4">
        <f t="shared" si="2"/>
        <v>-16.0979287</v>
      </c>
      <c r="H9" s="4">
        <f t="shared" si="2"/>
        <v>-16.74184585</v>
      </c>
      <c r="I9" s="4">
        <f t="shared" si="2"/>
        <v>-17.41151969</v>
      </c>
    </row>
    <row r="10">
      <c r="A10" s="6" t="s">
        <v>51</v>
      </c>
      <c r="B10" s="4">
        <f>MAX('Income Statement'!B12,0) * Scenarios!$I$11</f>
        <v>12.1</v>
      </c>
      <c r="C10" s="4">
        <f>MAX('Income Statement'!C12,0) * Scenarios!$I$11</f>
        <v>14.875</v>
      </c>
      <c r="D10" s="4">
        <f>MAX('Income Statement'!D12,0) * Scenarios!$I$11</f>
        <v>13.825</v>
      </c>
      <c r="E10" s="4">
        <f>MAX('Income Statement'!E12,0) * Scenarios!$I$11</f>
        <v>8.23054232</v>
      </c>
      <c r="F10" s="4">
        <f>MAX('Income Statement'!F12,0) * Scenarios!$I$11</f>
        <v>8.559764013</v>
      </c>
      <c r="G10" s="4">
        <f>MAX('Income Statement'!G12,0) * Scenarios!$I$11</f>
        <v>8.902154573</v>
      </c>
      <c r="H10" s="4">
        <f>MAX('Income Statement'!H12,0) * Scenarios!$I$11</f>
        <v>9.258240756</v>
      </c>
      <c r="I10" s="4">
        <f>MAX('Income Statement'!I12,0) * Scenarios!$I$11</f>
        <v>9.628570386</v>
      </c>
    </row>
    <row r="11">
      <c r="A11" s="6" t="s">
        <v>52</v>
      </c>
      <c r="B11" s="4">
        <f t="shared" ref="B11:I11" si="3">-B10</f>
        <v>-12.1</v>
      </c>
      <c r="C11" s="4">
        <f t="shared" si="3"/>
        <v>-14.875</v>
      </c>
      <c r="D11" s="4">
        <f t="shared" si="3"/>
        <v>-13.825</v>
      </c>
      <c r="E11" s="4">
        <f t="shared" si="3"/>
        <v>-8.23054232</v>
      </c>
      <c r="F11" s="4">
        <f t="shared" si="3"/>
        <v>-8.559764013</v>
      </c>
      <c r="G11" s="4">
        <f t="shared" si="3"/>
        <v>-8.902154573</v>
      </c>
      <c r="H11" s="4">
        <f t="shared" si="3"/>
        <v>-9.258240756</v>
      </c>
      <c r="I11" s="4">
        <f t="shared" si="3"/>
        <v>-9.628570386</v>
      </c>
    </row>
    <row r="12">
      <c r="A12" s="6" t="s">
        <v>53</v>
      </c>
      <c r="B12" s="4">
        <f t="shared" ref="B12:I12" si="4">B7 + B9 + B11</f>
        <v>33.894</v>
      </c>
      <c r="C12" s="4">
        <f t="shared" si="4"/>
        <v>41.24247945</v>
      </c>
      <c r="D12" s="4">
        <f t="shared" si="4"/>
        <v>39.99824658</v>
      </c>
      <c r="E12" s="4">
        <f t="shared" si="4"/>
        <v>25.52799847</v>
      </c>
      <c r="F12" s="4">
        <f t="shared" si="4"/>
        <v>24.43968498</v>
      </c>
      <c r="G12" s="4">
        <f t="shared" si="4"/>
        <v>25.41727238</v>
      </c>
      <c r="H12" s="4">
        <f t="shared" si="4"/>
        <v>26.43396328</v>
      </c>
      <c r="I12" s="4">
        <f t="shared" si="4"/>
        <v>27.49132181</v>
      </c>
    </row>
    <row r="13">
      <c r="A13" s="6" t="s">
        <v>54</v>
      </c>
      <c r="B13" s="4">
        <f>Scenarios!$I$16</f>
        <v>20.5</v>
      </c>
      <c r="C13" s="4">
        <f t="shared" ref="C13:I13" si="5">B14</f>
        <v>54.394</v>
      </c>
      <c r="D13" s="4">
        <f t="shared" si="5"/>
        <v>95.63647945</v>
      </c>
      <c r="E13" s="4">
        <f t="shared" si="5"/>
        <v>135.634726</v>
      </c>
      <c r="F13" s="4">
        <f t="shared" si="5"/>
        <v>161.1627245</v>
      </c>
      <c r="G13" s="4">
        <f t="shared" si="5"/>
        <v>185.6024095</v>
      </c>
      <c r="H13" s="4">
        <f t="shared" si="5"/>
        <v>211.0196819</v>
      </c>
      <c r="I13" s="4">
        <f t="shared" si="5"/>
        <v>237.4536451</v>
      </c>
    </row>
    <row r="14">
      <c r="A14" s="6" t="s">
        <v>55</v>
      </c>
      <c r="B14" s="4">
        <f t="shared" ref="B14:I14" si="6">B12 + B13</f>
        <v>54.394</v>
      </c>
      <c r="C14" s="4">
        <f t="shared" si="6"/>
        <v>95.63647945</v>
      </c>
      <c r="D14" s="4">
        <f t="shared" si="6"/>
        <v>135.634726</v>
      </c>
      <c r="E14" s="4">
        <f t="shared" si="6"/>
        <v>161.1627245</v>
      </c>
      <c r="F14" s="4">
        <f t="shared" si="6"/>
        <v>185.6024095</v>
      </c>
      <c r="G14" s="4">
        <f t="shared" si="6"/>
        <v>211.0196819</v>
      </c>
      <c r="H14" s="4">
        <f t="shared" si="6"/>
        <v>237.4536451</v>
      </c>
      <c r="I14" s="4">
        <f t="shared" si="6"/>
        <v>264.9449669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6">
        <v>2017.0</v>
      </c>
      <c r="C1" s="6">
        <v>2018.0</v>
      </c>
      <c r="D1" s="6">
        <v>2019.0</v>
      </c>
      <c r="E1" s="6">
        <v>2020.0</v>
      </c>
      <c r="F1" s="6">
        <v>2021.0</v>
      </c>
      <c r="G1" s="6">
        <v>2022.0</v>
      </c>
      <c r="H1" s="6">
        <v>2023.0</v>
      </c>
      <c r="I1" s="6">
        <v>2024.0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56</v>
      </c>
      <c r="B2" s="4">
        <f>'Balance Sheet'!B6 - 'Balance Sheet'!B10</f>
        <v>0</v>
      </c>
      <c r="C2" s="4">
        <f>'Balance Sheet'!C6 - 'Balance Sheet'!C10</f>
        <v>0</v>
      </c>
      <c r="D2" s="4">
        <f>'Balance Sheet'!D6 - 'Balance Sheet'!D10</f>
        <v>0</v>
      </c>
      <c r="E2" s="4">
        <f>'Balance Sheet'!E6 - 'Balance Sheet'!E10</f>
        <v>0</v>
      </c>
      <c r="F2" s="4">
        <f>'Balance Sheet'!F6 - 'Balance Sheet'!F10</f>
        <v>0</v>
      </c>
      <c r="G2" s="4">
        <f>'Balance Sheet'!G6 - 'Balance Sheet'!G10</f>
        <v>0</v>
      </c>
      <c r="H2" s="4">
        <f>'Balance Sheet'!H6 - 'Balance Sheet'!H10</f>
        <v>0</v>
      </c>
      <c r="I2" s="4">
        <f>'Balance Sheet'!I6 - 'Balance Sheet'!I10</f>
        <v>0</v>
      </c>
    </row>
    <row r="3">
      <c r="A3" s="1" t="s">
        <v>57</v>
      </c>
      <c r="B3" s="4">
        <f>'Cash Flow'!B14 - 'Balance Sheet'!B2</f>
        <v>0</v>
      </c>
      <c r="C3" s="4">
        <f>'Cash Flow'!C14 - 'Balance Sheet'!C2</f>
        <v>0</v>
      </c>
      <c r="D3" s="4">
        <f>'Cash Flow'!D14 - 'Balance Sheet'!D2</f>
        <v>0</v>
      </c>
      <c r="E3" s="4">
        <f>'Cash Flow'!E14 - 'Balance Sheet'!E2</f>
        <v>0</v>
      </c>
      <c r="F3" s="4">
        <f>'Cash Flow'!F14 - 'Balance Sheet'!F2</f>
        <v>0</v>
      </c>
      <c r="G3" s="4">
        <f>'Cash Flow'!G14 - 'Balance Sheet'!G2</f>
        <v>0</v>
      </c>
      <c r="H3" s="4">
        <f>'Cash Flow'!H14 - 'Balance Sheet'!H2</f>
        <v>0</v>
      </c>
      <c r="I3" s="4">
        <f>'Cash Flow'!I14 - 'Balance Sheet'!I2</f>
        <v>0</v>
      </c>
    </row>
    <row r="4">
      <c r="A4" s="1" t="s">
        <v>58</v>
      </c>
      <c r="C4" s="4">
        <f>('Balance Sheet'!B9 + 'Income Statement'!C12 - 'Cash Flow'!C10) - 'Balance Sheet'!C9</f>
        <v>0</v>
      </c>
      <c r="D4" s="4">
        <f>('Balance Sheet'!C9 + 'Income Statement'!D12 - 'Cash Flow'!D10) - 'Balance Sheet'!D9</f>
        <v>0</v>
      </c>
      <c r="E4" s="4">
        <f>('Balance Sheet'!D9 + 'Income Statement'!E12 - 'Cash Flow'!E10) - 'Balance Sheet'!E9</f>
        <v>0</v>
      </c>
      <c r="F4" s="4">
        <f>('Balance Sheet'!E9 + 'Income Statement'!F12 - 'Cash Flow'!F10) - 'Balance Sheet'!F9</f>
        <v>0</v>
      </c>
      <c r="G4" s="4">
        <f>('Balance Sheet'!F9 + 'Income Statement'!G12 - 'Cash Flow'!G10) - 'Balance Sheet'!G9</f>
        <v>0</v>
      </c>
      <c r="H4" s="4">
        <f>('Balance Sheet'!G9 + 'Income Statement'!H12 - 'Cash Flow'!H10) - 'Balance Sheet'!H9</f>
        <v>0</v>
      </c>
      <c r="I4" s="4">
        <f>('Balance Sheet'!H9 + 'Income Statement'!I12 - 'Cash Flow'!I10) - 'Balance Sheet'!I9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6" t="s">
        <v>59</v>
      </c>
      <c r="B1" s="6">
        <v>2017.0</v>
      </c>
      <c r="C1" s="6">
        <v>2018.0</v>
      </c>
      <c r="D1" s="6">
        <v>2019.0</v>
      </c>
      <c r="E1" s="6">
        <v>2020.0</v>
      </c>
      <c r="F1" s="6">
        <v>2021.0</v>
      </c>
      <c r="G1" s="6">
        <v>2022.0</v>
      </c>
      <c r="H1" s="6">
        <v>2023.0</v>
      </c>
      <c r="I1" s="6">
        <v>2024.0</v>
      </c>
    </row>
    <row r="2">
      <c r="A2" s="6" t="s">
        <v>22</v>
      </c>
      <c r="B2" s="4">
        <f> 'Income Statement'!B2</f>
        <v>229.2</v>
      </c>
      <c r="C2" s="4">
        <f> 'Income Statement'!C2</f>
        <v>265.6</v>
      </c>
      <c r="D2" s="4">
        <f> 'Income Statement'!D2</f>
        <v>260.2</v>
      </c>
      <c r="E2" s="4">
        <f> 'Income Statement'!E2</f>
        <v>270.608</v>
      </c>
      <c r="F2" s="4">
        <f> 'Income Statement'!F2</f>
        <v>281.43232</v>
      </c>
      <c r="G2" s="4">
        <f> 'Income Statement'!G2</f>
        <v>292.6896128</v>
      </c>
      <c r="H2" s="4">
        <f> 'Income Statement'!H2</f>
        <v>304.3971973</v>
      </c>
      <c r="I2" s="4">
        <f> 'Income Statement'!I2</f>
        <v>316.5730852</v>
      </c>
    </row>
    <row r="3">
      <c r="A3" s="6" t="s">
        <v>7</v>
      </c>
      <c r="C3" s="4">
        <f> ('Income Statement'!C2 / 'Income Statement'!B2) - 1</f>
        <v>0.1588132635</v>
      </c>
      <c r="D3" s="4">
        <f> ('Income Statement'!D2 / 'Income Statement'!C2) - 1</f>
        <v>-0.0203313253</v>
      </c>
      <c r="E3" s="4">
        <f> ('Income Statement'!E2 / 'Income Statement'!D2) - 1</f>
        <v>0.04</v>
      </c>
      <c r="F3" s="4">
        <f> ('Income Statement'!F2 / 'Income Statement'!E2) - 1</f>
        <v>0.04</v>
      </c>
      <c r="G3" s="4">
        <f> ('Income Statement'!G2 / 'Income Statement'!F2) - 1</f>
        <v>0.04</v>
      </c>
      <c r="H3" s="4">
        <f> ('Income Statement'!H2 / 'Income Statement'!G2) - 1</f>
        <v>0.04</v>
      </c>
      <c r="I3" s="4">
        <f> ('Income Statement'!I2 / 'Income Statement'!H2) - 1</f>
        <v>0.04</v>
      </c>
    </row>
    <row r="4">
      <c r="A4" s="6" t="s">
        <v>60</v>
      </c>
      <c r="B4" s="4">
        <f> 'Income Statement'!B4 / 'Income Statement'!B2</f>
        <v>0.3848167539</v>
      </c>
      <c r="C4" s="4">
        <f> 'Income Statement'!C4 / 'Income Statement'!C2</f>
        <v>0.3832831325</v>
      </c>
      <c r="D4" s="4">
        <f> 'Income Statement'!D4 / 'Income Statement'!D2</f>
        <v>0.378170638</v>
      </c>
      <c r="E4" s="4">
        <f> 'Income Statement'!E4 / 'Income Statement'!E2</f>
        <v>0.35</v>
      </c>
      <c r="F4" s="4">
        <f> 'Income Statement'!F4 / 'Income Statement'!F2</f>
        <v>0.35</v>
      </c>
      <c r="G4" s="4">
        <f> 'Income Statement'!G4 / 'Income Statement'!G2</f>
        <v>0.35</v>
      </c>
      <c r="H4" s="4">
        <f> 'Income Statement'!H4 / 'Income Statement'!H2</f>
        <v>0.35</v>
      </c>
      <c r="I4" s="4">
        <f> 'Income Statement'!I4 / 'Income Statement'!I2</f>
        <v>0.35</v>
      </c>
    </row>
    <row r="5">
      <c r="A5" s="6" t="s">
        <v>61</v>
      </c>
      <c r="B5" s="4">
        <f> 'Income Statement'!B6 / 'Income Statement'!B2</f>
        <v>0.2678883072</v>
      </c>
      <c r="C5" s="4">
        <f> 'Income Statement'!C6 / 'Income Statement'!C2</f>
        <v>0.2744728916</v>
      </c>
      <c r="D5" s="4">
        <f> 'Income Statement'!D6 / 'Income Statement'!D2</f>
        <v>0.2532667179</v>
      </c>
      <c r="E5" s="4">
        <f> 'Income Statement'!E6 / 'Income Statement'!E2</f>
        <v>0.22</v>
      </c>
      <c r="F5" s="4">
        <f> 'Income Statement'!F6 / 'Income Statement'!F2</f>
        <v>0.22</v>
      </c>
      <c r="G5" s="4">
        <f> 'Income Statement'!G6 / 'Income Statement'!G2</f>
        <v>0.22</v>
      </c>
      <c r="H5" s="4">
        <f> 'Income Statement'!H6 / 'Income Statement'!H2</f>
        <v>0.22</v>
      </c>
      <c r="I5" s="4">
        <f> 'Income Statement'!I6 / 'Income Statement'!I2</f>
        <v>0.22</v>
      </c>
    </row>
    <row r="6">
      <c r="A6" s="6" t="s">
        <v>62</v>
      </c>
      <c r="B6" s="4">
        <f> 'Income Statement'!B8 / 'Income Statement'!B2</f>
        <v>0.2233856894</v>
      </c>
      <c r="C6" s="4">
        <f> 'Income Statement'!C8 / 'Income Statement'!C2</f>
        <v>0.2334337349</v>
      </c>
      <c r="D6" s="4">
        <f> 'Income Statement'!D8 / 'Income Statement'!D2</f>
        <v>0.2052267487</v>
      </c>
      <c r="E6" s="4">
        <f> 'Income Statement'!E8 / 'Income Statement'!E2</f>
        <v>0.17</v>
      </c>
      <c r="F6" s="4">
        <f> 'Income Statement'!F8 / 'Income Statement'!F2</f>
        <v>0.17</v>
      </c>
      <c r="G6" s="4">
        <f> 'Income Statement'!G8 / 'Income Statement'!G2</f>
        <v>0.17</v>
      </c>
      <c r="H6" s="4">
        <f> 'Income Statement'!H8 / 'Income Statement'!H2</f>
        <v>0.17</v>
      </c>
      <c r="I6" s="4">
        <f> 'Income Statement'!I8 / 'Income Statement'!I2</f>
        <v>0.17</v>
      </c>
    </row>
    <row r="7">
      <c r="A7" s="6" t="s">
        <v>63</v>
      </c>
      <c r="B7" s="4">
        <f> 'Income Statement'!B12 / 'Income Statement'!B2</f>
        <v>0.2111692845</v>
      </c>
      <c r="C7" s="4">
        <f> 'Income Statement'!C12 / 'Income Statement'!C2</f>
        <v>0.2240210843</v>
      </c>
      <c r="D7" s="4">
        <f> 'Income Statement'!D12 / 'Income Statement'!D2</f>
        <v>0.212528824</v>
      </c>
      <c r="E7" s="4">
        <f> 'Income Statement'!E12 / 'Income Statement'!E2</f>
        <v>0.12166</v>
      </c>
      <c r="F7" s="4">
        <f> 'Income Statement'!F12 / 'Income Statement'!F2</f>
        <v>0.12166</v>
      </c>
      <c r="G7" s="4">
        <f> 'Income Statement'!G12 / 'Income Statement'!G2</f>
        <v>0.12166</v>
      </c>
      <c r="H7" s="4">
        <f> 'Income Statement'!H12 / 'Income Statement'!H2</f>
        <v>0.12166</v>
      </c>
      <c r="I7" s="4">
        <f> 'Income Statement'!I12 / 'Income Statement'!I2</f>
        <v>0.12166</v>
      </c>
    </row>
    <row r="8">
      <c r="A8" s="7"/>
    </row>
    <row r="9">
      <c r="A9" s="6" t="s">
        <v>64</v>
      </c>
      <c r="B9" s="4">
        <f> 'Cash Flow'!B7</f>
        <v>58.6</v>
      </c>
      <c r="C9" s="4">
        <f> 'Cash Flow'!C7</f>
        <v>70.72547945</v>
      </c>
      <c r="D9" s="4">
        <f> 'Cash Flow'!D7</f>
        <v>68.13424658</v>
      </c>
      <c r="E9" s="4">
        <f> 'Cash Flow'!E7</f>
        <v>48.64198079</v>
      </c>
      <c r="F9" s="4">
        <f> 'Cash Flow'!F7</f>
        <v>48.47822659</v>
      </c>
      <c r="G9" s="4">
        <f> 'Cash Flow'!G7</f>
        <v>50.41735566</v>
      </c>
      <c r="H9" s="4">
        <f> 'Cash Flow'!H7</f>
        <v>52.43404988</v>
      </c>
      <c r="I9" s="4">
        <f> 'Cash Flow'!I7</f>
        <v>54.53141188</v>
      </c>
    </row>
    <row r="10">
      <c r="A10" s="6" t="s">
        <v>65</v>
      </c>
      <c r="B10" s="4">
        <f> 'Cash Flow'!B8</f>
        <v>-12.606</v>
      </c>
      <c r="C10" s="4">
        <f> 'Cash Flow'!C8</f>
        <v>-14.608</v>
      </c>
      <c r="D10" s="4">
        <f> 'Cash Flow'!D8</f>
        <v>-14.311</v>
      </c>
      <c r="E10" s="4">
        <f> 'Cash Flow'!E8</f>
        <v>-14.88344</v>
      </c>
      <c r="F10" s="4">
        <f> 'Cash Flow'!F8</f>
        <v>-15.4787776</v>
      </c>
      <c r="G10" s="4">
        <f> 'Cash Flow'!G8</f>
        <v>-16.0979287</v>
      </c>
      <c r="H10" s="4">
        <f> 'Cash Flow'!H8</f>
        <v>-16.74184585</v>
      </c>
      <c r="I10" s="4">
        <f> 'Cash Flow'!I8</f>
        <v>-17.41151969</v>
      </c>
    </row>
    <row r="11">
      <c r="A11" s="6" t="s">
        <v>66</v>
      </c>
      <c r="B11" s="4">
        <f> 'Cash Flow'!B7 + 'Cash Flow'!B9</f>
        <v>45.994</v>
      </c>
      <c r="C11" s="4">
        <f> 'Cash Flow'!C7 + 'Cash Flow'!C9</f>
        <v>56.11747945</v>
      </c>
      <c r="D11" s="4">
        <f> 'Cash Flow'!D7 + 'Cash Flow'!D9</f>
        <v>53.82324658</v>
      </c>
      <c r="E11" s="4">
        <f> 'Cash Flow'!E7 + 'Cash Flow'!E9</f>
        <v>33.75854079</v>
      </c>
      <c r="F11" s="4">
        <f> 'Cash Flow'!F7 + 'Cash Flow'!F9</f>
        <v>32.99944899</v>
      </c>
      <c r="G11" s="4">
        <f> 'Cash Flow'!G7 + 'Cash Flow'!G9</f>
        <v>34.31942695</v>
      </c>
      <c r="H11" s="4">
        <f> 'Cash Flow'!H7 + 'Cash Flow'!H9</f>
        <v>35.69220403</v>
      </c>
      <c r="I11" s="4">
        <f> 'Cash Flow'!I7 + 'Cash Flow'!I9</f>
        <v>37.11989219</v>
      </c>
    </row>
    <row r="12">
      <c r="A12" s="6" t="s">
        <v>67</v>
      </c>
      <c r="B12" s="4">
        <f> B11 / 'Income Statement'!B2</f>
        <v>0.2006719023</v>
      </c>
      <c r="C12" s="4">
        <f> C11 / 'Income Statement'!C2</f>
        <v>0.2112856907</v>
      </c>
      <c r="D12" s="4">
        <f> D11 / 'Income Statement'!D2</f>
        <v>0.2068533689</v>
      </c>
      <c r="E12" s="4">
        <f> E11 / 'Income Statement'!E2</f>
        <v>0.1247507124</v>
      </c>
      <c r="F12" s="4">
        <f> F11 / 'Income Statement'!F2</f>
        <v>0.1172553635</v>
      </c>
      <c r="G12" s="4">
        <f> G11 / 'Income Statement'!G2</f>
        <v>0.1172553635</v>
      </c>
      <c r="H12" s="4">
        <f> H11 / 'Income Statement'!H2</f>
        <v>0.1172553635</v>
      </c>
      <c r="I12" s="4">
        <f> I11 / 'Income Statement'!I2</f>
        <v>0.1172553635</v>
      </c>
    </row>
    <row r="13">
      <c r="A13" s="7"/>
    </row>
    <row r="14">
      <c r="A14" s="6" t="s">
        <v>15</v>
      </c>
      <c r="B14" s="4">
        <f> Scenarios!$I$12</f>
        <v>60</v>
      </c>
      <c r="C14" s="4">
        <f> Scenarios!$I$12</f>
        <v>60</v>
      </c>
      <c r="D14" s="4">
        <f> Scenarios!$I$12</f>
        <v>60</v>
      </c>
      <c r="E14" s="4">
        <f> Scenarios!$I$12</f>
        <v>60</v>
      </c>
      <c r="F14" s="4">
        <f> Scenarios!$I$12</f>
        <v>60</v>
      </c>
      <c r="G14" s="4">
        <f> Scenarios!$I$12</f>
        <v>60</v>
      </c>
      <c r="H14" s="4">
        <f> Scenarios!$I$12</f>
        <v>60</v>
      </c>
      <c r="I14" s="4">
        <f> Scenarios!$I$12</f>
        <v>60</v>
      </c>
    </row>
    <row r="15">
      <c r="A15" s="6" t="s">
        <v>16</v>
      </c>
      <c r="B15" s="4">
        <f> Scenarios!$I$13</f>
        <v>9</v>
      </c>
      <c r="C15" s="4">
        <f> Scenarios!$I$13</f>
        <v>9</v>
      </c>
      <c r="D15" s="4">
        <f> Scenarios!$I$13</f>
        <v>9</v>
      </c>
      <c r="E15" s="4">
        <f> Scenarios!$I$13</f>
        <v>9</v>
      </c>
      <c r="F15" s="4">
        <f> Scenarios!$I$13</f>
        <v>9</v>
      </c>
      <c r="G15" s="4">
        <f> Scenarios!$I$13</f>
        <v>9</v>
      </c>
      <c r="H15" s="4">
        <f> Scenarios!$I$13</f>
        <v>9</v>
      </c>
      <c r="I15" s="4">
        <f> Scenarios!$I$13</f>
        <v>9</v>
      </c>
    </row>
    <row r="16">
      <c r="A16" s="6" t="s">
        <v>17</v>
      </c>
      <c r="B16" s="4">
        <f> Scenarios!$I$14</f>
        <v>110</v>
      </c>
      <c r="C16" s="4">
        <f> Scenarios!$I$14</f>
        <v>110</v>
      </c>
      <c r="D16" s="4">
        <f> Scenarios!$I$14</f>
        <v>110</v>
      </c>
      <c r="E16" s="4">
        <f> Scenarios!$I$14</f>
        <v>110</v>
      </c>
      <c r="F16" s="4">
        <f> Scenarios!$I$14</f>
        <v>110</v>
      </c>
      <c r="G16" s="4">
        <f> Scenarios!$I$14</f>
        <v>110</v>
      </c>
      <c r="H16" s="4">
        <f> Scenarios!$I$14</f>
        <v>110</v>
      </c>
      <c r="I16" s="4">
        <f> Scenarios!$I$14</f>
        <v>110</v>
      </c>
    </row>
    <row r="17">
      <c r="A17" s="6" t="s">
        <v>68</v>
      </c>
      <c r="B17" s="4">
        <f t="shared" ref="B17:I17" si="1">B14+B15-B16</f>
        <v>-41</v>
      </c>
      <c r="C17" s="4">
        <f t="shared" si="1"/>
        <v>-41</v>
      </c>
      <c r="D17" s="4">
        <f t="shared" si="1"/>
        <v>-41</v>
      </c>
      <c r="E17" s="4">
        <f t="shared" si="1"/>
        <v>-41</v>
      </c>
      <c r="F17" s="4">
        <f t="shared" si="1"/>
        <v>-41</v>
      </c>
      <c r="G17" s="4">
        <f t="shared" si="1"/>
        <v>-41</v>
      </c>
      <c r="H17" s="4">
        <f t="shared" si="1"/>
        <v>-41</v>
      </c>
      <c r="I17" s="4">
        <f t="shared" si="1"/>
        <v>-41</v>
      </c>
    </row>
    <row r="18">
      <c r="A18" s="7"/>
    </row>
    <row r="19">
      <c r="A19" s="6" t="s">
        <v>69</v>
      </c>
      <c r="B19" s="4">
        <f> 'Balance Sheet'!B7 - 'Balance Sheet'!B2</f>
        <v>-54.394</v>
      </c>
      <c r="C19" s="4">
        <f> 'Balance Sheet'!C7 - 'Balance Sheet'!C2</f>
        <v>-95.63647945</v>
      </c>
      <c r="D19" s="4">
        <f> 'Balance Sheet'!D7 - 'Balance Sheet'!D2</f>
        <v>-33.03472603</v>
      </c>
      <c r="E19" s="4">
        <f> 'Balance Sheet'!E7 - 'Balance Sheet'!E2</f>
        <v>-58.56272449</v>
      </c>
      <c r="F19" s="4">
        <f> 'Balance Sheet'!F7 - 'Balance Sheet'!F2</f>
        <v>-83.00240948</v>
      </c>
      <c r="G19" s="4">
        <f> 'Balance Sheet'!G7 - 'Balance Sheet'!G2</f>
        <v>-108.4196819</v>
      </c>
      <c r="H19" s="4">
        <f> 'Balance Sheet'!H7 - 'Balance Sheet'!H2</f>
        <v>-134.8536451</v>
      </c>
      <c r="I19" s="4">
        <f> 'Balance Sheet'!I7 - 'Balance Sheet'!I2</f>
        <v>-162.3449669</v>
      </c>
    </row>
    <row r="20">
      <c r="A20" s="6" t="s">
        <v>70</v>
      </c>
      <c r="B20" s="4">
        <f> IF('Income Statement'!B6=0, , B19 / 'Income Statement'!B6)</f>
        <v>-0.8858957655</v>
      </c>
      <c r="C20" s="4">
        <f> IF('Income Statement'!C6=0, , C19 / 'Income Statement'!C6)</f>
        <v>-1.311885864</v>
      </c>
      <c r="D20" s="4">
        <f> IF('Income Statement'!D6=0, , D19 / 'Income Statement'!D6)</f>
        <v>-0.5012856757</v>
      </c>
      <c r="E20" s="4">
        <f> IF('Income Statement'!E6=0, , E19 / 'Income Statement'!E6)</f>
        <v>-0.9836893301</v>
      </c>
      <c r="F20" s="4">
        <f> IF('Income Statement'!F6=0, , F19 / 'Income Statement'!F6)</f>
        <v>-1.34058405</v>
      </c>
      <c r="G20" s="4">
        <f> IF('Income Statement'!G6=0, , G19 / 'Income Statement'!G6)</f>
        <v>-1.68375205</v>
      </c>
      <c r="H20" s="4">
        <f> IF('Income Statement'!H6=0, , H19 / 'Income Statement'!H6)</f>
        <v>-2.013721281</v>
      </c>
      <c r="I20" s="4">
        <f> IF('Income Statement'!I6=0, , I19 / 'Income Statement'!I6)</f>
        <v>-2.330999388</v>
      </c>
    </row>
    <row r="21">
      <c r="A21" s="6" t="s">
        <v>71</v>
      </c>
      <c r="B21" s="4" t="str">
        <f> IF('Income Statement'!B9=0, , 'Income Statement'!B8 / 'Income Statement'!B9)</f>
        <v/>
      </c>
      <c r="C21" s="4" t="str">
        <f> IF('Income Statement'!C9=0, , 'Income Statement'!C8 / 'Income Statement'!C9)</f>
        <v/>
      </c>
      <c r="D21" s="4" t="str">
        <f> IF('Income Statement'!D9=0, , 'Income Statement'!D8 / 'Income Statement'!D9)</f>
        <v/>
      </c>
      <c r="E21" s="4">
        <f> IF('Income Statement'!E9=0, , 'Income Statement'!E8 / 'Income Statement'!E9)</f>
        <v>14.16666667</v>
      </c>
      <c r="F21" s="4">
        <f> IF('Income Statement'!F9=0, , 'Income Statement'!F8 / 'Income Statement'!F9)</f>
        <v>14.16666667</v>
      </c>
      <c r="G21" s="4">
        <f> IF('Income Statement'!G9=0, , 'Income Statement'!G8 / 'Income Statement'!G9)</f>
        <v>14.16666667</v>
      </c>
      <c r="H21" s="4">
        <f> IF('Income Statement'!H9=0, , 'Income Statement'!H8 / 'Income Statement'!H9)</f>
        <v>14.16666667</v>
      </c>
      <c r="I21" s="4">
        <f> IF('Income Statement'!I9=0, , 'Income Statement'!I8 / 'Income Statement'!I9)</f>
        <v>14.16666667</v>
      </c>
    </row>
    <row r="22">
      <c r="A22" s="7"/>
    </row>
    <row r="23">
      <c r="A23" s="6" t="s">
        <v>72</v>
      </c>
      <c r="B23" s="4">
        <f> 'Income Statement'!B12 / 'Balance Sheet'!B9</f>
        <v>0.378125</v>
      </c>
      <c r="C23" s="4">
        <f> 'Income Statement'!C12 / 'Balance Sheet'!C9</f>
        <v>0.3446777697</v>
      </c>
      <c r="D23" s="4">
        <f> 'Income Statement'!D12 / 'Balance Sheet'!D9</f>
        <v>0.2582905184</v>
      </c>
      <c r="E23" s="4">
        <f> 'Income Statement'!E12 / 'Balance Sheet'!E9</f>
        <v>0.1378698646</v>
      </c>
      <c r="F23" s="4">
        <f> 'Income Statement'!F12 / 'Balance Sheet'!F9</f>
        <v>0.1294624611</v>
      </c>
      <c r="G23" s="4">
        <f> 'Income Statement'!G12 / 'Balance Sheet'!G9</f>
        <v>0.1222918414</v>
      </c>
      <c r="H23" s="4">
        <f> 'Income Statement'!H12 / 'Balance Sheet'!H9</f>
        <v>0.1161082258</v>
      </c>
      <c r="I23" s="4">
        <f> 'Income Statement'!I12 / 'Balance Sheet'!I9</f>
        <v>0.1107248256</v>
      </c>
    </row>
    <row r="24">
      <c r="A24" s="6" t="s">
        <v>73</v>
      </c>
      <c r="B24" s="4">
        <f> 'Income Statement'!B12 / 'Balance Sheet'!B6</f>
        <v>0.2838823718</v>
      </c>
      <c r="C24" s="4">
        <f> 'Income Statement'!C12 / 'Balance Sheet'!C6</f>
        <v>0.2680308357</v>
      </c>
      <c r="D24" s="4">
        <f> 'Income Statement'!D12 / 'Balance Sheet'!D6</f>
        <v>0.1513154689</v>
      </c>
      <c r="E24" s="4">
        <f> 'Income Statement'!E12 / 'Balance Sheet'!E6</f>
        <v>0.08347381891</v>
      </c>
      <c r="F24" s="4">
        <f> 'Income Statement'!F12 / 'Balance Sheet'!F6</f>
        <v>0.08109661349</v>
      </c>
      <c r="G24" s="4">
        <f> 'Income Statement'!G12 / 'Balance Sheet'!G6</f>
        <v>0.07893512275</v>
      </c>
      <c r="H24" s="4">
        <f> 'Income Statement'!H12 / 'Balance Sheet'!H6</f>
        <v>0.07696271057</v>
      </c>
      <c r="I24" s="4">
        <f> 'Income Statement'!I12 / 'Balance Sheet'!I6</f>
        <v>0.0751569377</v>
      </c>
    </row>
    <row r="25">
      <c r="A25" s="7"/>
    </row>
    <row r="26">
      <c r="A26" s="6" t="s">
        <v>74</v>
      </c>
      <c r="B26" s="4">
        <f> 'Balance Sheet'!B3 / 'Income Statement'!B2</f>
        <v>0.1643835616</v>
      </c>
      <c r="C26" s="4">
        <f> 'Balance Sheet'!C3 / 'Income Statement'!C2</f>
        <v>0.1643835616</v>
      </c>
      <c r="D26" s="4">
        <f> 'Balance Sheet'!D3 / 'Income Statement'!D2</f>
        <v>0.1643835616</v>
      </c>
      <c r="E26" s="4">
        <f> 'Balance Sheet'!E3 / 'Income Statement'!E2</f>
        <v>0.1643835616</v>
      </c>
      <c r="F26" s="4">
        <f> 'Balance Sheet'!F3 / 'Income Statement'!F2</f>
        <v>0.1643835616</v>
      </c>
      <c r="G26" s="4">
        <f> 'Balance Sheet'!G3 / 'Income Statement'!G2</f>
        <v>0.1643835616</v>
      </c>
      <c r="H26" s="4">
        <f> 'Balance Sheet'!H3 / 'Income Statement'!H2</f>
        <v>0.1643835616</v>
      </c>
      <c r="I26" s="4">
        <f> 'Balance Sheet'!I3 / 'Income Statement'!I2</f>
        <v>0.1643835616</v>
      </c>
    </row>
    <row r="27">
      <c r="A27" s="6" t="s">
        <v>75</v>
      </c>
      <c r="B27" s="4">
        <f> 'Balance Sheet'!B4 / 'Income Statement'!B3</f>
        <v>0.02465753425</v>
      </c>
      <c r="C27" s="4">
        <f> 'Balance Sheet'!C4 / 'Income Statement'!C3</f>
        <v>0.02465753425</v>
      </c>
      <c r="D27" s="4">
        <f> 'Balance Sheet'!D4 / 'Income Statement'!D3</f>
        <v>0.02465753425</v>
      </c>
      <c r="E27" s="4">
        <f> 'Balance Sheet'!E4 / 'Income Statement'!E3</f>
        <v>0.02465753425</v>
      </c>
      <c r="F27" s="4">
        <f> 'Balance Sheet'!F4 / 'Income Statement'!F3</f>
        <v>0.02465753425</v>
      </c>
      <c r="G27" s="4">
        <f> 'Balance Sheet'!G4 / 'Income Statement'!G3</f>
        <v>0.02465753425</v>
      </c>
      <c r="H27" s="4">
        <f> 'Balance Sheet'!H4 / 'Income Statement'!H3</f>
        <v>0.02465753425</v>
      </c>
      <c r="I27" s="4">
        <f> 'Balance Sheet'!I4 / 'Income Statement'!I3</f>
        <v>0.02465753425</v>
      </c>
    </row>
    <row r="28">
      <c r="A28" s="6" t="s">
        <v>76</v>
      </c>
      <c r="B28" s="4">
        <f> 'Balance Sheet'!B8 / 'Income Statement'!B3</f>
        <v>0.301369863</v>
      </c>
      <c r="C28" s="4">
        <f> 'Balance Sheet'!C8 / 'Income Statement'!C3</f>
        <v>0.301369863</v>
      </c>
      <c r="D28" s="4">
        <f> 'Balance Sheet'!D8 / 'Income Statement'!D3</f>
        <v>0.301369863</v>
      </c>
      <c r="E28" s="4">
        <f> 'Balance Sheet'!E8 / 'Income Statement'!E3</f>
        <v>0.301369863</v>
      </c>
      <c r="F28" s="4">
        <f> 'Balance Sheet'!F8 / 'Income Statement'!F3</f>
        <v>0.301369863</v>
      </c>
      <c r="G28" s="4">
        <f> 'Balance Sheet'!G8 / 'Income Statement'!G3</f>
        <v>0.301369863</v>
      </c>
      <c r="H28" s="4">
        <f> 'Balance Sheet'!H8 / 'Income Statement'!H3</f>
        <v>0.301369863</v>
      </c>
      <c r="I28" s="4">
        <f> 'Balance Sheet'!I8 / 'Income Statement'!I3</f>
        <v>0.301369863</v>
      </c>
    </row>
  </sheetData>
  <drawing r:id="rId1"/>
</worksheet>
</file>