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Dropbox\campeonato 2015\CAMPEONATO NACIONAL\TORNEOS NACIONALES\Nueva carpeta\Nacional 2016\2024\SEPTIEMBRE 2024\FIXTURE SEPT\"/>
    </mc:Choice>
  </mc:AlternateContent>
  <xr:revisionPtr revIDLastSave="0" documentId="13_ncr:1_{6CF8B55A-48FE-4730-9733-88E7B9C6163B}" xr6:coauthVersionLast="47" xr6:coauthVersionMax="47" xr10:uidLastSave="{00000000-0000-0000-0000-000000000000}"/>
  <bookViews>
    <workbookView xWindow="-108" yWindow="-108" windowWidth="23256" windowHeight="13896" tabRatio="825" activeTab="19" xr2:uid="{00000000-000D-0000-FFFF-FFFF00000000}"/>
  </bookViews>
  <sheets>
    <sheet name="PRE BABY GRUPOS" sheetId="3" r:id="rId1"/>
    <sheet name="GRUPO A" sheetId="2" r:id="rId2"/>
    <sheet name="GRUPO B" sheetId="6" r:id="rId3"/>
    <sheet name="GRUPO C" sheetId="20" r:id="rId4"/>
    <sheet name="GRUPO D" sheetId="21" r:id="rId5"/>
    <sheet name="CUARTOS DE FINAL." sheetId="27" state="hidden" r:id="rId6"/>
    <sheet name="DEFINICION" sheetId="10" r:id="rId7"/>
    <sheet name="FINAL" sheetId="11" r:id="rId8"/>
    <sheet name="IMPRIMIR" sheetId="14" state="hidden" r:id="rId9"/>
    <sheet name="IMPRIMIR 2" sheetId="15" state="hidden" r:id="rId10"/>
    <sheet name="IMPRIMIR 3" sheetId="17" state="hidden" r:id="rId11"/>
    <sheet name="IMPRIMIR 3 (2)" sheetId="22" state="hidden" r:id="rId12"/>
    <sheet name="CUARTOS DE FINAL" sheetId="23" state="hidden" r:id="rId13"/>
    <sheet name="IMPRIMIR 4" sheetId="18" state="hidden" r:id="rId14"/>
    <sheet name="IMPRIMIR 5" sheetId="19" state="hidden" r:id="rId15"/>
    <sheet name="Hoja1" sheetId="24" state="hidden" r:id="rId16"/>
    <sheet name="Hoja2 (2)" sheetId="28" state="hidden" r:id="rId17"/>
    <sheet name="Hoja2 (3)" sheetId="29" state="hidden" r:id="rId18"/>
    <sheet name="Hoja2 (4)" sheetId="30" state="hidden" r:id="rId19"/>
    <sheet name="IMPRIMIR HOJA 1" sheetId="25" r:id="rId20"/>
    <sheet name="Hoja1 (2)" sheetId="31" r:id="rId21"/>
    <sheet name="IMPRIMIR HOJA 1 (2)" sheetId="32" r:id="rId22"/>
  </sheets>
  <definedNames>
    <definedName name="_xlnm.Print_Area" localSheetId="12">'CUARTOS DE FINAL'!$A$1:$Q$23</definedName>
    <definedName name="_xlnm.Print_Area" localSheetId="5">'CUARTOS DE FINAL.'!$A$1:$Q$23</definedName>
    <definedName name="_xlnm.Print_Area" localSheetId="6">DEFINICION!$A$1:$S$16</definedName>
    <definedName name="_xlnm.Print_Area" localSheetId="7">FINAL!$A$1:$R$23</definedName>
    <definedName name="_xlnm.Print_Area" localSheetId="1">'GRUPO A'!$A$1:$AL$37</definedName>
    <definedName name="_xlnm.Print_Area" localSheetId="2">'GRUPO B'!$A$1:$AL$37</definedName>
    <definedName name="_xlnm.Print_Area" localSheetId="3">'GRUPO C'!$A$1:$AL$38</definedName>
    <definedName name="_xlnm.Print_Area" localSheetId="4">'GRUPO D'!$A$1:$AL$36</definedName>
    <definedName name="_xlnm.Print_Area" localSheetId="16">'Hoja2 (2)'!$A$1:$T$45</definedName>
    <definedName name="_xlnm.Print_Area" localSheetId="17">'Hoja2 (3)'!$A$1:$T$45</definedName>
    <definedName name="_xlnm.Print_Area" localSheetId="18">'Hoja2 (4)'!$A$1:$W$74</definedName>
    <definedName name="_xlnm.Print_Area" localSheetId="8">IMPRIMIR!$A$1:$O$49</definedName>
    <definedName name="_xlnm.Print_Area" localSheetId="9">'IMPRIMIR 2'!$A$1:$O$49</definedName>
    <definedName name="_xlnm.Print_Area" localSheetId="10">'IMPRIMIR 3'!$A$1:$M$81</definedName>
    <definedName name="_xlnm.Print_Area" localSheetId="11">'IMPRIMIR 3 (2)'!$A$1:$M$81</definedName>
    <definedName name="_xlnm.Print_Area" localSheetId="13">'IMPRIMIR 4'!$A$1:$R$26</definedName>
    <definedName name="_xlnm.Print_Area" localSheetId="14">'IMPRIMIR 5'!$A$1:$R$31</definedName>
    <definedName name="_xlnm.Print_Area" localSheetId="19">'IMPRIMIR HOJA 1'!$A$1:$U$46</definedName>
    <definedName name="_xlnm.Print_Area" localSheetId="21">'IMPRIMIR HOJA 1 (2)'!$A$1:$U$46</definedName>
    <definedName name="_xlnm.Print_Area" localSheetId="0">'PRE BABY GRUPOS'!$A$1:$N$14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5" l="1"/>
  <c r="D37" i="25"/>
  <c r="D36" i="25"/>
  <c r="AF14" i="2"/>
  <c r="AG12" i="6"/>
  <c r="AF12" i="6"/>
  <c r="A1" i="25"/>
  <c r="A4" i="25"/>
  <c r="A3" i="25"/>
  <c r="E8" i="20"/>
  <c r="I41" i="25" l="1"/>
  <c r="I23" i="25"/>
  <c r="I22" i="25"/>
  <c r="I21" i="25"/>
  <c r="I20" i="25"/>
  <c r="I19" i="25"/>
  <c r="I18" i="25"/>
  <c r="I14" i="25"/>
  <c r="I12" i="25"/>
  <c r="I13" i="25"/>
  <c r="I11" i="25"/>
  <c r="I10" i="25"/>
  <c r="I9" i="25"/>
  <c r="I40" i="25"/>
  <c r="I39" i="25"/>
  <c r="I38" i="25"/>
  <c r="I37" i="25"/>
  <c r="I36" i="25"/>
  <c r="I28" i="25"/>
  <c r="I31" i="25"/>
  <c r="I29" i="25"/>
  <c r="I30" i="25"/>
  <c r="I32" i="25"/>
  <c r="I27" i="25"/>
  <c r="F41" i="32"/>
  <c r="E41" i="32"/>
  <c r="F40" i="32"/>
  <c r="E40" i="32"/>
  <c r="F39" i="32"/>
  <c r="E39" i="32"/>
  <c r="F38" i="32"/>
  <c r="E38" i="32"/>
  <c r="F37" i="32"/>
  <c r="E37" i="32"/>
  <c r="F32" i="32"/>
  <c r="E32" i="32"/>
  <c r="D32" i="32"/>
  <c r="F31" i="32"/>
  <c r="E31" i="32"/>
  <c r="F30" i="32"/>
  <c r="E30" i="32"/>
  <c r="F29" i="32"/>
  <c r="E29" i="32"/>
  <c r="F28" i="32"/>
  <c r="E28" i="32"/>
  <c r="F27" i="32"/>
  <c r="E27" i="32"/>
  <c r="F23" i="32"/>
  <c r="E23" i="32"/>
  <c r="T22" i="32"/>
  <c r="S22" i="32"/>
  <c r="R22" i="32"/>
  <c r="Q22" i="32"/>
  <c r="P22" i="32"/>
  <c r="O22" i="32"/>
  <c r="N22" i="32"/>
  <c r="M22" i="32"/>
  <c r="L22" i="32"/>
  <c r="F22" i="32"/>
  <c r="E22" i="32"/>
  <c r="F21" i="32"/>
  <c r="E21" i="32"/>
  <c r="F20" i="32"/>
  <c r="E20" i="32"/>
  <c r="F19" i="32"/>
  <c r="E19" i="32"/>
  <c r="F18" i="32"/>
  <c r="E18" i="32"/>
  <c r="T17" i="32"/>
  <c r="S17" i="32"/>
  <c r="R17" i="32"/>
  <c r="Q17" i="32"/>
  <c r="P17" i="32"/>
  <c r="O17" i="32"/>
  <c r="N17" i="32"/>
  <c r="M17" i="32"/>
  <c r="L17" i="32"/>
  <c r="B16" i="32"/>
  <c r="F14" i="32"/>
  <c r="E14" i="32"/>
  <c r="F13" i="32"/>
  <c r="E13" i="32"/>
  <c r="T12" i="32"/>
  <c r="S12" i="32"/>
  <c r="R12" i="32"/>
  <c r="Q12" i="32"/>
  <c r="P12" i="32"/>
  <c r="O12" i="32"/>
  <c r="N12" i="32"/>
  <c r="M12" i="32"/>
  <c r="L12" i="32"/>
  <c r="F12" i="32"/>
  <c r="E12" i="32"/>
  <c r="F11" i="32"/>
  <c r="E11" i="32"/>
  <c r="F10" i="32"/>
  <c r="E10" i="32"/>
  <c r="F9" i="32"/>
  <c r="E9" i="32"/>
  <c r="T7" i="32"/>
  <c r="S7" i="32"/>
  <c r="R7" i="32"/>
  <c r="Q7" i="32"/>
  <c r="P7" i="32"/>
  <c r="O7" i="32"/>
  <c r="N7" i="32"/>
  <c r="M7" i="32"/>
  <c r="L7" i="32"/>
  <c r="A4" i="32"/>
  <c r="A3" i="32"/>
  <c r="I41" i="32" s="1"/>
  <c r="A2" i="32"/>
  <c r="A1" i="32"/>
  <c r="I36" i="32" l="1"/>
  <c r="I40" i="32"/>
  <c r="I10" i="32"/>
  <c r="I11" i="32"/>
  <c r="I9" i="32"/>
  <c r="I12" i="32"/>
  <c r="I13" i="32"/>
  <c r="I14" i="32"/>
  <c r="I21" i="32"/>
  <c r="I27" i="32"/>
  <c r="I29" i="32"/>
  <c r="I28" i="32" s="1"/>
  <c r="I31" i="32" s="1"/>
  <c r="I39" i="32"/>
  <c r="I18" i="32"/>
  <c r="I19" i="32"/>
  <c r="I20" i="32"/>
  <c r="I23" i="32"/>
  <c r="I32" i="32"/>
  <c r="I38" i="32"/>
  <c r="I22" i="32"/>
  <c r="I30" i="32"/>
  <c r="I37" i="32"/>
  <c r="C4" i="31" l="1"/>
  <c r="C3" i="31"/>
  <c r="C2" i="31"/>
  <c r="F38" i="25" l="1"/>
  <c r="E38" i="25"/>
  <c r="F39" i="25"/>
  <c r="E39" i="25"/>
  <c r="F41" i="25"/>
  <c r="E41" i="25"/>
  <c r="F37" i="25"/>
  <c r="E37" i="25"/>
  <c r="F40" i="25"/>
  <c r="E40" i="25"/>
  <c r="AF10" i="21" l="1"/>
  <c r="AG14" i="20" l="1"/>
  <c r="AG12" i="20"/>
  <c r="AG10" i="20"/>
  <c r="AG14" i="21"/>
  <c r="AG12" i="21"/>
  <c r="AG10" i="21"/>
  <c r="AF14" i="21"/>
  <c r="AF12" i="21"/>
  <c r="AF14" i="20"/>
  <c r="AF12" i="20"/>
  <c r="AF10" i="20"/>
  <c r="K8" i="20"/>
  <c r="K11" i="20"/>
  <c r="G23" i="32" s="1"/>
  <c r="AA14" i="21"/>
  <c r="AA12" i="21"/>
  <c r="AA10" i="21"/>
  <c r="K8" i="21" l="1"/>
  <c r="G32" i="32"/>
  <c r="F14" i="21" l="1"/>
  <c r="F20" i="25" l="1"/>
  <c r="E20" i="25"/>
  <c r="F27" i="25" l="1"/>
  <c r="E27" i="25"/>
  <c r="M23" i="20" l="1"/>
  <c r="C23" i="20"/>
  <c r="B23" i="20"/>
  <c r="M20" i="20"/>
  <c r="C20" i="20"/>
  <c r="B20" i="20"/>
  <c r="M17" i="20"/>
  <c r="C17" i="20"/>
  <c r="B17" i="20"/>
  <c r="B11" i="21"/>
  <c r="F18" i="25" l="1"/>
  <c r="E18" i="25"/>
  <c r="F21" i="25"/>
  <c r="E21" i="25"/>
  <c r="F28" i="25"/>
  <c r="E28" i="25"/>
  <c r="F32" i="25"/>
  <c r="E32" i="25"/>
  <c r="F30" i="25"/>
  <c r="E30" i="25"/>
  <c r="F31" i="25"/>
  <c r="E31" i="25"/>
  <c r="F22" i="25"/>
  <c r="E22" i="25"/>
  <c r="F14" i="25"/>
  <c r="E14" i="25"/>
  <c r="F12" i="25"/>
  <c r="E12" i="25"/>
  <c r="F9" i="25"/>
  <c r="E9" i="25"/>
  <c r="F11" i="25"/>
  <c r="E11" i="25"/>
  <c r="AI14" i="21"/>
  <c r="AI12" i="21"/>
  <c r="AI10" i="21"/>
  <c r="AI14" i="20"/>
  <c r="AI12" i="20"/>
  <c r="AI10" i="20"/>
  <c r="E32" i="6"/>
  <c r="D29" i="32" s="1"/>
  <c r="E29" i="6"/>
  <c r="D18" i="32" s="1"/>
  <c r="E17" i="6"/>
  <c r="D9" i="32" s="1"/>
  <c r="F17" i="6"/>
  <c r="K17" i="6"/>
  <c r="G9" i="32" s="1"/>
  <c r="F20" i="6"/>
  <c r="J17" i="6"/>
  <c r="AI14" i="6"/>
  <c r="AI12" i="6"/>
  <c r="AI10" i="6"/>
  <c r="AG14" i="6"/>
  <c r="AG10" i="6"/>
  <c r="AF14" i="6"/>
  <c r="AF10" i="6"/>
  <c r="M23" i="21"/>
  <c r="C23" i="21"/>
  <c r="B23" i="21"/>
  <c r="M20" i="21"/>
  <c r="C20" i="21"/>
  <c r="B20" i="21"/>
  <c r="M17" i="21"/>
  <c r="C17" i="21"/>
  <c r="B17" i="21"/>
  <c r="D9" i="25" l="1"/>
  <c r="D30" i="25"/>
  <c r="G9" i="25"/>
  <c r="D18" i="25"/>
  <c r="AH14" i="6"/>
  <c r="AH12" i="6"/>
  <c r="AH10" i="6"/>
  <c r="M14" i="21" l="1"/>
  <c r="C14" i="21"/>
  <c r="B14" i="21"/>
  <c r="M11" i="21"/>
  <c r="C11" i="21"/>
  <c r="M8" i="21"/>
  <c r="C8" i="21"/>
  <c r="B8" i="21"/>
  <c r="M14" i="6"/>
  <c r="C14" i="6"/>
  <c r="B14" i="6"/>
  <c r="M11" i="6"/>
  <c r="C11" i="6"/>
  <c r="B11" i="6"/>
  <c r="M8" i="6"/>
  <c r="C8" i="6"/>
  <c r="B8" i="6"/>
  <c r="AI14" i="2"/>
  <c r="AI12" i="2"/>
  <c r="AI10" i="2"/>
  <c r="AG14" i="2"/>
  <c r="AG12" i="2"/>
  <c r="AG10" i="2"/>
  <c r="AF12" i="2"/>
  <c r="AF10" i="2"/>
  <c r="AA14" i="2"/>
  <c r="AA12" i="2"/>
  <c r="AA10" i="2"/>
  <c r="K32" i="21"/>
  <c r="G20" i="32" s="1"/>
  <c r="E32" i="21"/>
  <c r="D20" i="32" s="1"/>
  <c r="K29" i="21"/>
  <c r="G31" i="32" s="1"/>
  <c r="K26" i="21"/>
  <c r="G14" i="32" s="1"/>
  <c r="E29" i="21"/>
  <c r="D31" i="32" s="1"/>
  <c r="K17" i="2"/>
  <c r="G13" i="32" s="1"/>
  <c r="K32" i="6"/>
  <c r="G29" i="32" s="1"/>
  <c r="K29" i="6"/>
  <c r="G18" i="32" s="1"/>
  <c r="K29" i="2"/>
  <c r="G22" i="32" s="1"/>
  <c r="E29" i="2"/>
  <c r="D22" i="32" s="1"/>
  <c r="K32" i="20"/>
  <c r="G30" i="32" s="1"/>
  <c r="E32" i="20"/>
  <c r="D30" i="32" s="1"/>
  <c r="K29" i="20"/>
  <c r="G19" i="32" s="1"/>
  <c r="E29" i="20"/>
  <c r="D19" i="32" s="1"/>
  <c r="K26" i="20"/>
  <c r="G11" i="32" s="1"/>
  <c r="G31" i="25" l="1"/>
  <c r="D21" i="25"/>
  <c r="D20" i="25"/>
  <c r="G28" i="25"/>
  <c r="G20" i="25"/>
  <c r="G11" i="25"/>
  <c r="D22" i="25"/>
  <c r="G12" i="25"/>
  <c r="G30" i="25"/>
  <c r="G14" i="25"/>
  <c r="G21" i="25"/>
  <c r="D31" i="25"/>
  <c r="G18" i="25"/>
  <c r="D28" i="25"/>
  <c r="G22" i="25"/>
  <c r="AH14" i="2"/>
  <c r="AH10" i="2"/>
  <c r="AH12" i="2"/>
  <c r="E17" i="2" l="1"/>
  <c r="D13" i="32" s="1"/>
  <c r="E29" i="25"/>
  <c r="E23" i="25"/>
  <c r="E13" i="25"/>
  <c r="F17" i="2"/>
  <c r="R58" i="2" s="1"/>
  <c r="J17" i="2"/>
  <c r="R59" i="2" s="1"/>
  <c r="D11" i="25" l="1"/>
  <c r="A2" i="25"/>
  <c r="A1" i="10"/>
  <c r="C1" i="31"/>
  <c r="A2" i="11"/>
  <c r="F11" i="6"/>
  <c r="F13" i="25" l="1"/>
  <c r="F23" i="25"/>
  <c r="F29" i="25"/>
  <c r="F10" i="25"/>
  <c r="E10" i="25"/>
  <c r="F19" i="25"/>
  <c r="E19" i="25"/>
  <c r="T7" i="25"/>
  <c r="S7" i="25"/>
  <c r="R7" i="25"/>
  <c r="Q7" i="25"/>
  <c r="P7" i="25"/>
  <c r="O7" i="25"/>
  <c r="N7" i="25"/>
  <c r="M7" i="25"/>
  <c r="L7" i="25"/>
  <c r="F8" i="2" l="1"/>
  <c r="Q58" i="2" s="1"/>
  <c r="AJ6" i="20"/>
  <c r="AJ6" i="2"/>
  <c r="AJ8" i="2" s="1"/>
  <c r="J17" i="21"/>
  <c r="R58" i="21" s="1"/>
  <c r="F17" i="21"/>
  <c r="F8" i="21"/>
  <c r="K14" i="20"/>
  <c r="G12" i="32" s="1"/>
  <c r="E14" i="20"/>
  <c r="D12" i="32" s="1"/>
  <c r="E11" i="20"/>
  <c r="D23" i="32" s="1"/>
  <c r="J17" i="20"/>
  <c r="R58" i="20" s="1"/>
  <c r="F17" i="20"/>
  <c r="J14" i="20"/>
  <c r="F14" i="20"/>
  <c r="Q60" i="20" s="1"/>
  <c r="J11" i="20"/>
  <c r="F11" i="20"/>
  <c r="Q59" i="20" s="1"/>
  <c r="J8" i="20"/>
  <c r="F8" i="20"/>
  <c r="Q58" i="20" s="1"/>
  <c r="J14" i="6"/>
  <c r="Q60" i="6" s="1"/>
  <c r="S58" i="6"/>
  <c r="J20" i="6"/>
  <c r="AA10" i="6"/>
  <c r="F23" i="6"/>
  <c r="S59" i="6" s="1"/>
  <c r="J23" i="6"/>
  <c r="AA12" i="6"/>
  <c r="F26" i="6"/>
  <c r="R60" i="6" s="1"/>
  <c r="J26" i="6"/>
  <c r="AA14" i="6"/>
  <c r="F29" i="6"/>
  <c r="T58" i="6" s="1"/>
  <c r="J29" i="6"/>
  <c r="S60" i="6" s="1"/>
  <c r="K14" i="2"/>
  <c r="G10" i="32" s="1"/>
  <c r="K11" i="2"/>
  <c r="G21" i="32" s="1"/>
  <c r="K8" i="2"/>
  <c r="G27" i="32" s="1"/>
  <c r="E14" i="2"/>
  <c r="D10" i="32" s="1"/>
  <c r="E11" i="2"/>
  <c r="D21" i="32" s="1"/>
  <c r="E8" i="2"/>
  <c r="D27" i="32" s="1"/>
  <c r="J8" i="2"/>
  <c r="F14" i="2"/>
  <c r="Q60" i="2" s="1"/>
  <c r="F11" i="2"/>
  <c r="Q59" i="2" s="1"/>
  <c r="J14" i="2"/>
  <c r="J11" i="2"/>
  <c r="G27" i="25" l="1"/>
  <c r="D27" i="25"/>
  <c r="K11" i="6"/>
  <c r="E14" i="21"/>
  <c r="E11" i="6"/>
  <c r="E8" i="21"/>
  <c r="K11" i="21"/>
  <c r="E8" i="6"/>
  <c r="K14" i="6"/>
  <c r="E14" i="6"/>
  <c r="K8" i="6"/>
  <c r="E11" i="21"/>
  <c r="K14" i="21"/>
  <c r="G13" i="25"/>
  <c r="G19" i="25"/>
  <c r="D29" i="25"/>
  <c r="D10" i="25"/>
  <c r="G29" i="25"/>
  <c r="D13" i="25"/>
  <c r="G23" i="25"/>
  <c r="D19" i="25"/>
  <c r="G10" i="25"/>
  <c r="D23" i="25"/>
  <c r="R59" i="6"/>
  <c r="J11" i="6"/>
  <c r="Q59" i="6" s="1"/>
  <c r="J8" i="21"/>
  <c r="Q59" i="21" s="1"/>
  <c r="F11" i="21"/>
  <c r="J11" i="21"/>
  <c r="Q58" i="21" s="1"/>
  <c r="J14" i="21"/>
  <c r="Q60" i="21" s="1"/>
  <c r="F8" i="6"/>
  <c r="R58" i="6"/>
  <c r="AJ6" i="6"/>
  <c r="F14" i="6"/>
  <c r="J8" i="6"/>
  <c r="Q58" i="6" s="1"/>
  <c r="B21" i="27"/>
  <c r="B18" i="27"/>
  <c r="AE10" i="6" l="1"/>
  <c r="AD10" i="6"/>
  <c r="AC10" i="6"/>
  <c r="B55" i="29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11"/>
  <c r="AB10" i="6" l="1"/>
  <c r="AJ10" i="6" s="1"/>
  <c r="T17" i="25"/>
  <c r="S17" i="25"/>
  <c r="R17" i="25"/>
  <c r="Q17" i="25"/>
  <c r="P17" i="25"/>
  <c r="O17" i="25"/>
  <c r="N17" i="25"/>
  <c r="M17" i="25"/>
  <c r="L17" i="25"/>
  <c r="T22" i="25"/>
  <c r="S22" i="25"/>
  <c r="R22" i="25"/>
  <c r="Q22" i="25"/>
  <c r="P22" i="25"/>
  <c r="O22" i="25"/>
  <c r="N22" i="25"/>
  <c r="M22" i="25"/>
  <c r="L22" i="25"/>
  <c r="T12" i="25"/>
  <c r="S12" i="25"/>
  <c r="R12" i="25"/>
  <c r="Q12" i="25"/>
  <c r="P12" i="25"/>
  <c r="O12" i="25"/>
  <c r="N12" i="25"/>
  <c r="M12" i="25"/>
  <c r="L12" i="25"/>
  <c r="A1" i="21"/>
  <c r="A1" i="20"/>
  <c r="A1" i="6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0" i="21" l="1"/>
  <c r="P59" i="21"/>
  <c r="P58" i="21"/>
  <c r="AH10" i="20" l="1"/>
  <c r="P60" i="6"/>
  <c r="P59" i="6"/>
  <c r="P58" i="6"/>
  <c r="F20" i="2"/>
  <c r="S58" i="2" s="1"/>
  <c r="E26" i="21"/>
  <c r="D14" i="32" s="1"/>
  <c r="B4" i="21"/>
  <c r="B4" i="20"/>
  <c r="B4" i="6"/>
  <c r="L46" i="21"/>
  <c r="J46" i="21"/>
  <c r="L43" i="21"/>
  <c r="J43" i="21"/>
  <c r="J32" i="21"/>
  <c r="T60" i="21" s="1"/>
  <c r="F32" i="21"/>
  <c r="T59" i="21" s="1"/>
  <c r="J29" i="21"/>
  <c r="S60" i="21" s="1"/>
  <c r="F29" i="21"/>
  <c r="T58" i="21" s="1"/>
  <c r="AH14" i="21"/>
  <c r="J26" i="21"/>
  <c r="S59" i="21" s="1"/>
  <c r="F26" i="21"/>
  <c r="S58" i="21" s="1"/>
  <c r="AH12" i="21"/>
  <c r="J23" i="21"/>
  <c r="R60" i="21" s="1"/>
  <c r="F23" i="21"/>
  <c r="AH10" i="21"/>
  <c r="J20" i="21"/>
  <c r="R59" i="21" s="1"/>
  <c r="F20" i="21"/>
  <c r="AJ6" i="21"/>
  <c r="F3" i="21"/>
  <c r="B3" i="21"/>
  <c r="P60" i="20"/>
  <c r="P59" i="20"/>
  <c r="P58" i="20"/>
  <c r="L46" i="20"/>
  <c r="J46" i="20"/>
  <c r="L43" i="20"/>
  <c r="J43" i="20"/>
  <c r="J32" i="20"/>
  <c r="T60" i="20" s="1"/>
  <c r="F32" i="20"/>
  <c r="T59" i="20" s="1"/>
  <c r="J29" i="20"/>
  <c r="S60" i="20" s="1"/>
  <c r="F29" i="20"/>
  <c r="T58" i="20" s="1"/>
  <c r="AH14" i="20"/>
  <c r="AA14" i="20"/>
  <c r="J26" i="20"/>
  <c r="S59" i="20" s="1"/>
  <c r="F26" i="20"/>
  <c r="S58" i="20" s="1"/>
  <c r="E26" i="20"/>
  <c r="D11" i="32" s="1"/>
  <c r="AA12" i="20"/>
  <c r="J23" i="20"/>
  <c r="R60" i="20" s="1"/>
  <c r="F23" i="20"/>
  <c r="AA10" i="20"/>
  <c r="J20" i="20"/>
  <c r="R59" i="20" s="1"/>
  <c r="F20" i="20"/>
  <c r="F3" i="20"/>
  <c r="B3" i="20"/>
  <c r="AC10" i="21" l="1"/>
  <c r="H30" i="32"/>
  <c r="K17" i="32"/>
  <c r="H11" i="32"/>
  <c r="H19" i="32"/>
  <c r="H20" i="32"/>
  <c r="H14" i="32"/>
  <c r="H31" i="32"/>
  <c r="K22" i="32"/>
  <c r="H18" i="32"/>
  <c r="H29" i="32"/>
  <c r="K12" i="32"/>
  <c r="H9" i="32"/>
  <c r="AD10" i="21"/>
  <c r="AE10" i="21"/>
  <c r="H28" i="25"/>
  <c r="H22" i="25"/>
  <c r="H14" i="25"/>
  <c r="H21" i="25"/>
  <c r="H31" i="25"/>
  <c r="H12" i="25"/>
  <c r="D14" i="25"/>
  <c r="D12" i="25"/>
  <c r="H9" i="25"/>
  <c r="H30" i="25"/>
  <c r="H18" i="25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K17" i="25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K12" i="25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K22" i="25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AH12" i="20"/>
  <c r="AE14" i="21"/>
  <c r="AC14" i="21"/>
  <c r="AD14" i="21"/>
  <c r="AE12" i="20"/>
  <c r="AC12" i="20"/>
  <c r="AD12" i="20"/>
  <c r="AE10" i="20"/>
  <c r="AC10" i="20"/>
  <c r="AD10" i="20"/>
  <c r="AE14" i="20"/>
  <c r="AC14" i="20"/>
  <c r="AD14" i="20"/>
  <c r="F3" i="6"/>
  <c r="B3" i="6"/>
  <c r="F3" i="2"/>
  <c r="B3" i="2"/>
  <c r="AD12" i="21" l="1"/>
  <c r="AE12" i="21"/>
  <c r="AC12" i="21"/>
  <c r="AB10" i="21"/>
  <c r="AJ10" i="21" s="1"/>
  <c r="AB10" i="20"/>
  <c r="AJ10" i="20" s="1"/>
  <c r="AB12" i="20"/>
  <c r="AJ12" i="20" s="1"/>
  <c r="AB14" i="21"/>
  <c r="AJ14" i="21" s="1"/>
  <c r="AB14" i="20"/>
  <c r="AJ14" i="20" s="1"/>
  <c r="O13" i="19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AB12" i="21" l="1"/>
  <c r="AJ12" i="21" s="1"/>
  <c r="Z10" i="21"/>
  <c r="Z14" i="21"/>
  <c r="Z12" i="21"/>
  <c r="AJ8" i="21"/>
  <c r="Z12" i="20"/>
  <c r="Z10" i="20"/>
  <c r="Z14" i="20"/>
  <c r="O26" i="14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Q12" i="20" l="1"/>
  <c r="L19" i="32" s="1"/>
  <c r="AJ8" i="20"/>
  <c r="Y14" i="21"/>
  <c r="T25" i="32" s="1"/>
  <c r="W14" i="21"/>
  <c r="R25" i="32" s="1"/>
  <c r="U14" i="21"/>
  <c r="P25" i="32" s="1"/>
  <c r="S14" i="21"/>
  <c r="N25" i="32" s="1"/>
  <c r="Q14" i="21"/>
  <c r="L25" i="32" s="1"/>
  <c r="Y12" i="21"/>
  <c r="T24" i="32" s="1"/>
  <c r="W12" i="21"/>
  <c r="R24" i="32" s="1"/>
  <c r="U12" i="21"/>
  <c r="P24" i="32" s="1"/>
  <c r="S12" i="21"/>
  <c r="N24" i="32" s="1"/>
  <c r="Q12" i="21"/>
  <c r="L24" i="32" s="1"/>
  <c r="Y10" i="21"/>
  <c r="T23" i="32" s="1"/>
  <c r="W10" i="21"/>
  <c r="R23" i="32" s="1"/>
  <c r="U10" i="21"/>
  <c r="P23" i="32" s="1"/>
  <c r="S10" i="21"/>
  <c r="N23" i="32" s="1"/>
  <c r="Q10" i="21"/>
  <c r="L23" i="32" s="1"/>
  <c r="X14" i="21"/>
  <c r="S25" i="32" s="1"/>
  <c r="V14" i="21"/>
  <c r="Q25" i="32" s="1"/>
  <c r="T14" i="21"/>
  <c r="O25" i="32" s="1"/>
  <c r="P14" i="21"/>
  <c r="K25" i="32" s="1"/>
  <c r="G39" i="32" s="1"/>
  <c r="X12" i="21"/>
  <c r="S24" i="32" s="1"/>
  <c r="V12" i="21"/>
  <c r="Q24" i="32" s="1"/>
  <c r="T12" i="21"/>
  <c r="O24" i="32" s="1"/>
  <c r="P12" i="21"/>
  <c r="K24" i="32" s="1"/>
  <c r="G40" i="32" s="1"/>
  <c r="X10" i="21"/>
  <c r="S23" i="32" s="1"/>
  <c r="V10" i="21"/>
  <c r="Q23" i="32" s="1"/>
  <c r="T10" i="21"/>
  <c r="O23" i="32" s="1"/>
  <c r="P10" i="21"/>
  <c r="K23" i="32" s="1"/>
  <c r="G41" i="32" s="1"/>
  <c r="Y14" i="20"/>
  <c r="T20" i="32" s="1"/>
  <c r="W14" i="20"/>
  <c r="R20" i="32" s="1"/>
  <c r="U14" i="20"/>
  <c r="P20" i="32" s="1"/>
  <c r="S14" i="20"/>
  <c r="N20" i="32" s="1"/>
  <c r="Q14" i="20"/>
  <c r="L20" i="32" s="1"/>
  <c r="Y12" i="20"/>
  <c r="T19" i="32" s="1"/>
  <c r="W12" i="20"/>
  <c r="R19" i="32" s="1"/>
  <c r="U12" i="20"/>
  <c r="P19" i="32" s="1"/>
  <c r="S12" i="20"/>
  <c r="N19" i="32" s="1"/>
  <c r="Y10" i="20"/>
  <c r="T18" i="32" s="1"/>
  <c r="W10" i="20"/>
  <c r="R18" i="32" s="1"/>
  <c r="U10" i="20"/>
  <c r="P18" i="32" s="1"/>
  <c r="S10" i="20"/>
  <c r="N18" i="32" s="1"/>
  <c r="Q10" i="20"/>
  <c r="L18" i="32" s="1"/>
  <c r="X12" i="20"/>
  <c r="S19" i="32" s="1"/>
  <c r="V12" i="20"/>
  <c r="Q19" i="32" s="1"/>
  <c r="T12" i="20"/>
  <c r="O19" i="32" s="1"/>
  <c r="P12" i="20"/>
  <c r="K19" i="32" s="1"/>
  <c r="G37" i="32" s="1"/>
  <c r="X14" i="20"/>
  <c r="S20" i="32" s="1"/>
  <c r="V14" i="20"/>
  <c r="Q20" i="32" s="1"/>
  <c r="T14" i="20"/>
  <c r="O20" i="32" s="1"/>
  <c r="P14" i="20"/>
  <c r="K20" i="32" s="1"/>
  <c r="G36" i="32" s="1"/>
  <c r="X10" i="20"/>
  <c r="S18" i="32" s="1"/>
  <c r="V10" i="20"/>
  <c r="Q18" i="32" s="1"/>
  <c r="T10" i="20"/>
  <c r="O18" i="32" s="1"/>
  <c r="P10" i="20"/>
  <c r="K18" i="32" s="1"/>
  <c r="G38" i="32" s="1"/>
  <c r="A4" i="11"/>
  <c r="A3" i="11"/>
  <c r="A4" i="10"/>
  <c r="A3" i="10"/>
  <c r="R12" i="21" l="1"/>
  <c r="M24" i="32" s="1"/>
  <c r="R14" i="21"/>
  <c r="M25" i="32" s="1"/>
  <c r="R10" i="21"/>
  <c r="M23" i="32" s="1"/>
  <c r="J22" i="30"/>
  <c r="J22" i="29"/>
  <c r="J22" i="28"/>
  <c r="K20" i="25"/>
  <c r="G36" i="25" s="1"/>
  <c r="J21" i="30"/>
  <c r="J21" i="29"/>
  <c r="J21" i="28"/>
  <c r="K19" i="25"/>
  <c r="G37" i="25" s="1"/>
  <c r="O20" i="30"/>
  <c r="O20" i="29"/>
  <c r="O20" i="28"/>
  <c r="P18" i="25"/>
  <c r="M21" i="30"/>
  <c r="M21" i="29"/>
  <c r="M21" i="28"/>
  <c r="N19" i="25"/>
  <c r="K22" i="30"/>
  <c r="K22" i="29"/>
  <c r="K22" i="28"/>
  <c r="L20" i="25"/>
  <c r="O22" i="30"/>
  <c r="O22" i="29"/>
  <c r="O22" i="28"/>
  <c r="P20" i="25"/>
  <c r="M23" i="30"/>
  <c r="M23" i="29"/>
  <c r="M23" i="28"/>
  <c r="Q23" i="30"/>
  <c r="Q23" i="29"/>
  <c r="Q23" i="28"/>
  <c r="I61" i="17"/>
  <c r="P26" i="30"/>
  <c r="P26" i="29"/>
  <c r="P26" i="28"/>
  <c r="Q23" i="25"/>
  <c r="I61" i="22"/>
  <c r="N20" i="30"/>
  <c r="N20" i="29"/>
  <c r="N20" i="28"/>
  <c r="O18" i="25"/>
  <c r="AK10" i="20"/>
  <c r="R20" i="30"/>
  <c r="R20" i="29"/>
  <c r="R20" i="28"/>
  <c r="S18" i="25"/>
  <c r="N22" i="30"/>
  <c r="N22" i="29"/>
  <c r="N22" i="28"/>
  <c r="O20" i="25"/>
  <c r="AK14" i="20"/>
  <c r="R22" i="30"/>
  <c r="R22" i="29"/>
  <c r="R22" i="28"/>
  <c r="S20" i="25"/>
  <c r="N23" i="30"/>
  <c r="N23" i="29"/>
  <c r="N23" i="28"/>
  <c r="R23" i="30"/>
  <c r="R23" i="29"/>
  <c r="R23" i="28"/>
  <c r="N21" i="30"/>
  <c r="N21" i="29"/>
  <c r="N21" i="28"/>
  <c r="O19" i="25"/>
  <c r="AK12" i="20"/>
  <c r="R21" i="30"/>
  <c r="R21" i="29"/>
  <c r="R21" i="28"/>
  <c r="S19" i="25"/>
  <c r="M20" i="30"/>
  <c r="M20" i="28"/>
  <c r="M20" i="29"/>
  <c r="N18" i="25"/>
  <c r="Q20" i="30"/>
  <c r="Q20" i="28"/>
  <c r="Q20" i="29"/>
  <c r="R18" i="25"/>
  <c r="K21" i="30"/>
  <c r="K21" i="29"/>
  <c r="K21" i="28"/>
  <c r="L19" i="25"/>
  <c r="O21" i="30"/>
  <c r="O21" i="29"/>
  <c r="O21" i="28"/>
  <c r="P19" i="25"/>
  <c r="S21" i="30"/>
  <c r="S21" i="29"/>
  <c r="S21" i="28"/>
  <c r="T19" i="25"/>
  <c r="M22" i="30"/>
  <c r="M22" i="29"/>
  <c r="M22" i="28"/>
  <c r="N20" i="25"/>
  <c r="Q22" i="30"/>
  <c r="Q22" i="29"/>
  <c r="Q22" i="28"/>
  <c r="R20" i="25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O23" i="25"/>
  <c r="G61" i="22"/>
  <c r="R26" i="30"/>
  <c r="R26" i="29"/>
  <c r="R26" i="28"/>
  <c r="S23" i="25"/>
  <c r="K61" i="22"/>
  <c r="G63" i="17"/>
  <c r="N28" i="30"/>
  <c r="N28" i="29"/>
  <c r="N28" i="28"/>
  <c r="O24" i="25"/>
  <c r="G63" i="22"/>
  <c r="R28" i="30"/>
  <c r="R28" i="29"/>
  <c r="R28" i="28"/>
  <c r="S24" i="25"/>
  <c r="K63" i="22"/>
  <c r="G65" i="17"/>
  <c r="N29" i="30"/>
  <c r="N29" i="29"/>
  <c r="N29" i="28"/>
  <c r="O25" i="25"/>
  <c r="G65" i="22"/>
  <c r="R29" i="30"/>
  <c r="R29" i="29"/>
  <c r="R29" i="28"/>
  <c r="S25" i="25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N23" i="25"/>
  <c r="F61" i="22"/>
  <c r="J61" i="17"/>
  <c r="Q26" i="30"/>
  <c r="Q26" i="29"/>
  <c r="Q26" i="28"/>
  <c r="R23" i="25"/>
  <c r="J61" i="22"/>
  <c r="D63" i="17"/>
  <c r="K28" i="30"/>
  <c r="K28" i="29"/>
  <c r="K28" i="28"/>
  <c r="L24" i="25"/>
  <c r="D63" i="22"/>
  <c r="H63" i="17"/>
  <c r="O28" i="30"/>
  <c r="O28" i="29"/>
  <c r="O28" i="28"/>
  <c r="P24" i="25"/>
  <c r="H63" i="22"/>
  <c r="L63" i="17"/>
  <c r="S28" i="30"/>
  <c r="S28" i="29"/>
  <c r="S28" i="28"/>
  <c r="T24" i="25"/>
  <c r="L63" i="22"/>
  <c r="F65" i="17"/>
  <c r="M29" i="30"/>
  <c r="M29" i="29"/>
  <c r="M29" i="28"/>
  <c r="N25" i="25"/>
  <c r="F65" i="22"/>
  <c r="J65" i="17"/>
  <c r="Q29" i="30"/>
  <c r="Q29" i="29"/>
  <c r="Q29" i="28"/>
  <c r="R25" i="25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K18" i="25"/>
  <c r="G40" i="25" s="1"/>
  <c r="P20" i="30"/>
  <c r="P20" i="29"/>
  <c r="P20" i="28"/>
  <c r="Q18" i="25"/>
  <c r="P22" i="30"/>
  <c r="P22" i="29"/>
  <c r="P22" i="28"/>
  <c r="Q20" i="25"/>
  <c r="J23" i="30"/>
  <c r="J23" i="29"/>
  <c r="J23" i="28"/>
  <c r="P23" i="30"/>
  <c r="P23" i="29"/>
  <c r="P23" i="28"/>
  <c r="P21" i="30"/>
  <c r="P21" i="28"/>
  <c r="P21" i="29"/>
  <c r="Q19" i="25"/>
  <c r="K20" i="30"/>
  <c r="K20" i="29"/>
  <c r="K20" i="28"/>
  <c r="L18" i="25"/>
  <c r="S20" i="30"/>
  <c r="S20" i="29"/>
  <c r="S20" i="28"/>
  <c r="T18" i="25"/>
  <c r="Q21" i="30"/>
  <c r="Q21" i="29"/>
  <c r="Q21" i="28"/>
  <c r="R19" i="25"/>
  <c r="S22" i="30"/>
  <c r="S22" i="29"/>
  <c r="S22" i="28"/>
  <c r="T20" i="25"/>
  <c r="B61" i="17"/>
  <c r="J26" i="30"/>
  <c r="J26" i="29"/>
  <c r="J26" i="28"/>
  <c r="K23" i="25"/>
  <c r="G41" i="25" s="1"/>
  <c r="B61" i="22"/>
  <c r="B63" i="17"/>
  <c r="J28" i="30"/>
  <c r="J28" i="29"/>
  <c r="J28" i="28"/>
  <c r="K24" i="25"/>
  <c r="G39" i="25" s="1"/>
  <c r="B63" i="22"/>
  <c r="I63" i="17"/>
  <c r="P28" i="30"/>
  <c r="P28" i="29"/>
  <c r="P28" i="28"/>
  <c r="Q24" i="25"/>
  <c r="I63" i="22"/>
  <c r="B65" i="17"/>
  <c r="J29" i="30"/>
  <c r="J29" i="29"/>
  <c r="J29" i="28"/>
  <c r="K25" i="25"/>
  <c r="G38" i="25" s="1"/>
  <c r="B65" i="22"/>
  <c r="I65" i="17"/>
  <c r="P29" i="30"/>
  <c r="P29" i="29"/>
  <c r="P29" i="28"/>
  <c r="Q25" i="25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L23" i="25"/>
  <c r="D61" i="22"/>
  <c r="H61" i="17"/>
  <c r="O26" i="30"/>
  <c r="O26" i="29"/>
  <c r="O26" i="28"/>
  <c r="P23" i="25"/>
  <c r="H61" i="22"/>
  <c r="L61" i="17"/>
  <c r="S26" i="30"/>
  <c r="S26" i="29"/>
  <c r="S26" i="28"/>
  <c r="T23" i="25"/>
  <c r="L61" i="22"/>
  <c r="F63" i="17"/>
  <c r="M28" i="30"/>
  <c r="M28" i="29"/>
  <c r="M28" i="28"/>
  <c r="N24" i="25"/>
  <c r="F63" i="22"/>
  <c r="J63" i="17"/>
  <c r="Q28" i="30"/>
  <c r="Q28" i="29"/>
  <c r="Q28" i="28"/>
  <c r="R24" i="25"/>
  <c r="J63" i="22"/>
  <c r="D65" i="17"/>
  <c r="K29" i="30"/>
  <c r="K29" i="29"/>
  <c r="K29" i="28"/>
  <c r="L25" i="25"/>
  <c r="D65" i="22"/>
  <c r="H65" i="17"/>
  <c r="O29" i="30"/>
  <c r="O29" i="29"/>
  <c r="O29" i="28"/>
  <c r="P25" i="25"/>
  <c r="H65" i="22"/>
  <c r="L65" i="17"/>
  <c r="S29" i="30"/>
  <c r="S29" i="29"/>
  <c r="S29" i="28"/>
  <c r="T25" i="25"/>
  <c r="L65" i="22"/>
  <c r="F67" i="17"/>
  <c r="M30" i="30"/>
  <c r="M30" i="29"/>
  <c r="M30" i="28"/>
  <c r="F67" i="22"/>
  <c r="J67" i="17"/>
  <c r="Q30" i="30"/>
  <c r="Q30" i="29"/>
  <c r="Q30" i="28"/>
  <c r="J67" i="22"/>
  <c r="AK10" i="21"/>
  <c r="K61" i="17"/>
  <c r="AK12" i="21"/>
  <c r="K63" i="17"/>
  <c r="AK14" i="21"/>
  <c r="K65" i="17"/>
  <c r="K67" i="17"/>
  <c r="R12" i="20"/>
  <c r="M19" i="32" s="1"/>
  <c r="W34" i="21"/>
  <c r="M9" i="10" s="1"/>
  <c r="W35" i="21"/>
  <c r="L9" i="27" s="1"/>
  <c r="W35" i="20"/>
  <c r="L6" i="27" s="1"/>
  <c r="W34" i="20"/>
  <c r="M12" i="10" s="1"/>
  <c r="R10" i="20"/>
  <c r="M18" i="32" s="1"/>
  <c r="R14" i="20"/>
  <c r="M20" i="32" s="1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M18" i="25"/>
  <c r="L22" i="30"/>
  <c r="L22" i="29"/>
  <c r="L22" i="28"/>
  <c r="M20" i="25"/>
  <c r="E65" i="17"/>
  <c r="L29" i="30"/>
  <c r="L29" i="29"/>
  <c r="L29" i="28"/>
  <c r="M25" i="25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M23" i="25"/>
  <c r="E61" i="22"/>
  <c r="E63" i="17"/>
  <c r="L28" i="30"/>
  <c r="L28" i="29"/>
  <c r="L28" i="28"/>
  <c r="M24" i="25"/>
  <c r="E63" i="22"/>
  <c r="L21" i="30"/>
  <c r="L21" i="28"/>
  <c r="L21" i="29"/>
  <c r="M19" i="25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32" i="2" l="1"/>
  <c r="G28" i="32" s="1"/>
  <c r="E32" i="2"/>
  <c r="D28" i="32" s="1"/>
  <c r="L46" i="2"/>
  <c r="J46" i="2"/>
  <c r="L43" i="2"/>
  <c r="J43" i="2"/>
  <c r="J32" i="2"/>
  <c r="T60" i="2" s="1"/>
  <c r="F32" i="2"/>
  <c r="T59" i="2" s="1"/>
  <c r="J29" i="2"/>
  <c r="S60" i="2" s="1"/>
  <c r="F29" i="2"/>
  <c r="T58" i="2" s="1"/>
  <c r="J26" i="2"/>
  <c r="F26" i="2"/>
  <c r="R60" i="2" s="1"/>
  <c r="J23" i="2"/>
  <c r="F23" i="2"/>
  <c r="S59" i="2" s="1"/>
  <c r="J20" i="2"/>
  <c r="D32" i="25" l="1"/>
  <c r="G32" i="25"/>
  <c r="AE10" i="2"/>
  <c r="AD10" i="2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L15" i="11" l="1"/>
  <c r="G15" i="11"/>
  <c r="L9" i="11"/>
  <c r="G9" i="11"/>
  <c r="L12" i="10" l="1"/>
  <c r="G12" i="10"/>
  <c r="L9" i="10"/>
  <c r="G9" i="10"/>
  <c r="P59" i="2"/>
  <c r="P60" i="2"/>
  <c r="P58" i="2"/>
  <c r="K26" i="14"/>
  <c r="K24" i="14"/>
  <c r="D26" i="14"/>
  <c r="D24" i="14"/>
  <c r="L46" i="6"/>
  <c r="J46" i="6"/>
  <c r="L43" i="6"/>
  <c r="J43" i="6"/>
  <c r="J32" i="6"/>
  <c r="T60" i="6" s="1"/>
  <c r="F32" i="6"/>
  <c r="T59" i="6" s="1"/>
  <c r="B4" i="2"/>
  <c r="G21" i="17"/>
  <c r="K18" i="14"/>
  <c r="G19" i="17"/>
  <c r="D18" i="14"/>
  <c r="C19" i="17"/>
  <c r="K16" i="14"/>
  <c r="C21" i="17"/>
  <c r="D16" i="14"/>
  <c r="H28" i="32" l="1"/>
  <c r="H22" i="32"/>
  <c r="H13" i="32"/>
  <c r="K7" i="32"/>
  <c r="H11" i="25"/>
  <c r="H20" i="25"/>
  <c r="H32" i="25"/>
  <c r="AD12" i="6"/>
  <c r="AE12" i="6"/>
  <c r="AC12" i="6"/>
  <c r="AD14" i="6"/>
  <c r="AC14" i="6"/>
  <c r="AE14" i="6"/>
  <c r="AE12" i="2"/>
  <c r="AD12" i="2"/>
  <c r="AC12" i="2"/>
  <c r="AC14" i="2"/>
  <c r="AD14" i="2"/>
  <c r="AE14" i="2"/>
  <c r="AC10" i="2"/>
  <c r="AB10" i="2" s="1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K7" i="25"/>
  <c r="A12" i="15"/>
  <c r="A20" i="14"/>
  <c r="A12" i="14"/>
  <c r="AB12" i="6" l="1"/>
  <c r="AJ12" i="6" s="1"/>
  <c r="AB12" i="2"/>
  <c r="AJ12" i="2" s="1"/>
  <c r="AB14" i="2"/>
  <c r="AJ14" i="2" s="1"/>
  <c r="AB14" i="6"/>
  <c r="AJ14" i="6" s="1"/>
  <c r="AJ10" i="2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W35" i="2"/>
  <c r="L12" i="27" s="1"/>
  <c r="L12" i="17"/>
  <c r="D49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4" i="6" l="1"/>
  <c r="Z12" i="6"/>
  <c r="Z10" i="6"/>
  <c r="V10" i="6" s="1"/>
  <c r="Z10" i="2"/>
  <c r="Z14" i="2"/>
  <c r="Z12" i="2"/>
  <c r="G49" i="17"/>
  <c r="N17" i="30"/>
  <c r="N17" i="29"/>
  <c r="N17" i="28"/>
  <c r="G49" i="22"/>
  <c r="G31" i="22"/>
  <c r="G31" i="17"/>
  <c r="J49" i="17"/>
  <c r="Q17" i="30"/>
  <c r="Q17" i="29"/>
  <c r="Q17" i="28"/>
  <c r="J49" i="22"/>
  <c r="J31" i="22"/>
  <c r="J31" i="17"/>
  <c r="M17" i="30"/>
  <c r="M17" i="29"/>
  <c r="M17" i="28"/>
  <c r="F49" i="22"/>
  <c r="F31" i="22"/>
  <c r="F31" i="17"/>
  <c r="B49" i="17"/>
  <c r="J17" i="30"/>
  <c r="J17" i="29"/>
  <c r="J17" i="28"/>
  <c r="B31" i="17"/>
  <c r="B49" i="22"/>
  <c r="B31" i="22"/>
  <c r="R17" i="30"/>
  <c r="R17" i="29"/>
  <c r="R17" i="28"/>
  <c r="K49" i="22"/>
  <c r="K31" i="22"/>
  <c r="K31" i="17"/>
  <c r="L49" i="17"/>
  <c r="S17" i="30"/>
  <c r="S17" i="28"/>
  <c r="S17" i="29"/>
  <c r="L49" i="22"/>
  <c r="L31" i="22"/>
  <c r="L31" i="17"/>
  <c r="H49" i="17"/>
  <c r="O17" i="30"/>
  <c r="O17" i="28"/>
  <c r="O17" i="29"/>
  <c r="H49" i="22"/>
  <c r="H31" i="22"/>
  <c r="H31" i="17"/>
  <c r="I49" i="17"/>
  <c r="P17" i="30"/>
  <c r="P17" i="29"/>
  <c r="P17" i="28"/>
  <c r="I49" i="22"/>
  <c r="I31" i="22"/>
  <c r="I31" i="17"/>
  <c r="K17" i="30"/>
  <c r="K17" i="29"/>
  <c r="K17" i="28"/>
  <c r="D49" i="22"/>
  <c r="D31" i="22"/>
  <c r="D31" i="17"/>
  <c r="L9" i="30"/>
  <c r="L9" i="29"/>
  <c r="L9" i="28"/>
  <c r="L10" i="28"/>
  <c r="L10" i="30"/>
  <c r="L10" i="29"/>
  <c r="G43" i="29"/>
  <c r="G43" i="30"/>
  <c r="G43" i="28"/>
  <c r="L12" i="23"/>
  <c r="P12" i="27"/>
  <c r="L7" i="28"/>
  <c r="L7" i="30"/>
  <c r="L7" i="29"/>
  <c r="L8" i="28"/>
  <c r="L8" i="30"/>
  <c r="L8" i="29"/>
  <c r="E8" i="22"/>
  <c r="E10" i="22"/>
  <c r="E12" i="22"/>
  <c r="E14" i="22"/>
  <c r="K49" i="17"/>
  <c r="F49" i="17"/>
  <c r="E8" i="17"/>
  <c r="E12" i="17"/>
  <c r="E10" i="17"/>
  <c r="V10" i="2" l="1"/>
  <c r="W10" i="6"/>
  <c r="W14" i="6"/>
  <c r="AJ8" i="6"/>
  <c r="R15" i="32"/>
  <c r="T12" i="2"/>
  <c r="O9" i="32" s="1"/>
  <c r="P10" i="2"/>
  <c r="K8" i="32" s="1"/>
  <c r="D38" i="32" s="1"/>
  <c r="Q14" i="2"/>
  <c r="L10" i="32" s="1"/>
  <c r="Q12" i="2"/>
  <c r="L9" i="32" s="1"/>
  <c r="Q10" i="2"/>
  <c r="L8" i="32" s="1"/>
  <c r="Q10" i="6"/>
  <c r="L13" i="32" s="1"/>
  <c r="V12" i="6"/>
  <c r="Q14" i="32" s="1"/>
  <c r="T12" i="6"/>
  <c r="O14" i="32" s="1"/>
  <c r="U10" i="6"/>
  <c r="P13" i="32" s="1"/>
  <c r="S10" i="6"/>
  <c r="N13" i="32" s="1"/>
  <c r="T14" i="6"/>
  <c r="O15" i="32" s="1"/>
  <c r="S14" i="6"/>
  <c r="N15" i="32" s="1"/>
  <c r="Y12" i="6"/>
  <c r="T14" i="32" s="1"/>
  <c r="P10" i="6"/>
  <c r="K13" i="32" s="1"/>
  <c r="D41" i="32" s="1"/>
  <c r="U12" i="6"/>
  <c r="P14" i="32" s="1"/>
  <c r="T10" i="6"/>
  <c r="O13" i="32" s="1"/>
  <c r="Q12" i="6"/>
  <c r="L14" i="32" s="1"/>
  <c r="X14" i="6"/>
  <c r="S15" i="32" s="1"/>
  <c r="P14" i="6"/>
  <c r="K15" i="32" s="1"/>
  <c r="D39" i="32" s="1"/>
  <c r="Y10" i="6"/>
  <c r="T13" i="32" s="1"/>
  <c r="S12" i="6"/>
  <c r="N14" i="32" s="1"/>
  <c r="X10" i="6"/>
  <c r="S13" i="32" s="1"/>
  <c r="Y14" i="6"/>
  <c r="T15" i="32" s="1"/>
  <c r="W12" i="6"/>
  <c r="R14" i="32" s="1"/>
  <c r="Q14" i="6"/>
  <c r="L15" i="32" s="1"/>
  <c r="V14" i="6"/>
  <c r="Q15" i="32" s="1"/>
  <c r="R13" i="32"/>
  <c r="Q13" i="32"/>
  <c r="X12" i="6"/>
  <c r="S14" i="32" s="1"/>
  <c r="P12" i="6"/>
  <c r="K14" i="32" s="1"/>
  <c r="D40" i="32" s="1"/>
  <c r="U14" i="6"/>
  <c r="P15" i="32" s="1"/>
  <c r="S12" i="2"/>
  <c r="N9" i="32" s="1"/>
  <c r="V14" i="2"/>
  <c r="Q10" i="32" s="1"/>
  <c r="X10" i="2"/>
  <c r="S8" i="32" s="1"/>
  <c r="U10" i="2"/>
  <c r="P8" i="32" s="1"/>
  <c r="T10" i="2"/>
  <c r="O8" i="32" s="1"/>
  <c r="S10" i="2"/>
  <c r="N8" i="32" s="1"/>
  <c r="Y10" i="2"/>
  <c r="T8" i="32" s="1"/>
  <c r="W10" i="2"/>
  <c r="R8" i="32" s="1"/>
  <c r="Y12" i="2"/>
  <c r="T9" i="32" s="1"/>
  <c r="P12" i="2"/>
  <c r="K9" i="32" s="1"/>
  <c r="D37" i="32" s="1"/>
  <c r="U12" i="2"/>
  <c r="P9" i="32" s="1"/>
  <c r="V12" i="2"/>
  <c r="Q9" i="32" s="1"/>
  <c r="W12" i="2"/>
  <c r="R9" i="32" s="1"/>
  <c r="X12" i="2"/>
  <c r="S9" i="32" s="1"/>
  <c r="X14" i="2"/>
  <c r="S10" i="32" s="1"/>
  <c r="S14" i="2"/>
  <c r="N10" i="32" s="1"/>
  <c r="Y14" i="2"/>
  <c r="T10" i="32" s="1"/>
  <c r="T14" i="2"/>
  <c r="O10" i="32" s="1"/>
  <c r="P14" i="2"/>
  <c r="K10" i="32" s="1"/>
  <c r="D36" i="32" s="1"/>
  <c r="W14" i="2"/>
  <c r="R10" i="32" s="1"/>
  <c r="Q8" i="32"/>
  <c r="U14" i="2"/>
  <c r="P10" i="32" s="1"/>
  <c r="L17" i="30"/>
  <c r="L17" i="29"/>
  <c r="L17" i="28"/>
  <c r="E49" i="22"/>
  <c r="E31" i="22"/>
  <c r="G48" i="30"/>
  <c r="E49" i="17"/>
  <c r="E31" i="17"/>
  <c r="R10" i="2" l="1"/>
  <c r="M8" i="32" s="1"/>
  <c r="W34" i="6"/>
  <c r="F12" i="10" s="1"/>
  <c r="W35" i="6"/>
  <c r="L15" i="27" s="1"/>
  <c r="P13" i="28"/>
  <c r="I25" i="17"/>
  <c r="I25" i="22"/>
  <c r="I43" i="17"/>
  <c r="Q13" i="25"/>
  <c r="P13" i="30"/>
  <c r="I43" i="22"/>
  <c r="P13" i="29"/>
  <c r="Q14" i="28"/>
  <c r="J27" i="17"/>
  <c r="Q14" i="29"/>
  <c r="J45" i="17"/>
  <c r="R14" i="25"/>
  <c r="Q14" i="30"/>
  <c r="J45" i="22"/>
  <c r="J27" i="22"/>
  <c r="R12" i="6"/>
  <c r="M14" i="32" s="1"/>
  <c r="N14" i="25"/>
  <c r="F45" i="17"/>
  <c r="M14" i="28"/>
  <c r="M14" i="30"/>
  <c r="F45" i="22"/>
  <c r="M14" i="29"/>
  <c r="F27" i="22"/>
  <c r="F27" i="17"/>
  <c r="D45" i="17"/>
  <c r="L14" i="25"/>
  <c r="D27" i="17"/>
  <c r="K14" i="30"/>
  <c r="D45" i="22"/>
  <c r="K14" i="29"/>
  <c r="D27" i="22"/>
  <c r="K14" i="28"/>
  <c r="S14" i="29"/>
  <c r="L27" i="22"/>
  <c r="S14" i="28"/>
  <c r="L27" i="17"/>
  <c r="L45" i="17"/>
  <c r="T14" i="25"/>
  <c r="S14" i="30"/>
  <c r="L45" i="22"/>
  <c r="O13" i="29"/>
  <c r="H25" i="22"/>
  <c r="O13" i="28"/>
  <c r="H25" i="17"/>
  <c r="H43" i="17"/>
  <c r="P13" i="25"/>
  <c r="O13" i="30"/>
  <c r="H43" i="22"/>
  <c r="O15" i="29"/>
  <c r="H29" i="22"/>
  <c r="O15" i="28"/>
  <c r="H29" i="17"/>
  <c r="P15" i="25"/>
  <c r="H47" i="17"/>
  <c r="O15" i="30"/>
  <c r="H47" i="22"/>
  <c r="J43" i="17"/>
  <c r="R13" i="25"/>
  <c r="Q13" i="28"/>
  <c r="Q13" i="30"/>
  <c r="J43" i="22"/>
  <c r="Q13" i="29"/>
  <c r="J25" i="22"/>
  <c r="J25" i="17"/>
  <c r="Q15" i="29"/>
  <c r="J29" i="22"/>
  <c r="J47" i="17"/>
  <c r="Q15" i="30"/>
  <c r="Q15" i="28"/>
  <c r="J29" i="17"/>
  <c r="R15" i="25"/>
  <c r="J47" i="22"/>
  <c r="S13" i="29"/>
  <c r="L25" i="22"/>
  <c r="S13" i="28"/>
  <c r="L25" i="17"/>
  <c r="L43" i="17"/>
  <c r="T13" i="25"/>
  <c r="S13" i="30"/>
  <c r="L43" i="22"/>
  <c r="N13" i="28"/>
  <c r="G25" i="17"/>
  <c r="G43" i="17"/>
  <c r="O13" i="25"/>
  <c r="N13" i="30"/>
  <c r="G43" i="22"/>
  <c r="N13" i="29"/>
  <c r="G25" i="22"/>
  <c r="R14" i="6"/>
  <c r="M15" i="32" s="1"/>
  <c r="M15" i="28"/>
  <c r="F29" i="17"/>
  <c r="F47" i="17"/>
  <c r="M15" i="29"/>
  <c r="N15" i="25"/>
  <c r="M15" i="30"/>
  <c r="F47" i="22"/>
  <c r="F29" i="22"/>
  <c r="N14" i="28"/>
  <c r="G27" i="17"/>
  <c r="N14" i="29"/>
  <c r="G45" i="17"/>
  <c r="O14" i="25"/>
  <c r="N14" i="30"/>
  <c r="G45" i="22"/>
  <c r="G27" i="22"/>
  <c r="K14" i="25"/>
  <c r="D39" i="25" s="1"/>
  <c r="J14" i="29"/>
  <c r="B27" i="22"/>
  <c r="J14" i="28"/>
  <c r="B45" i="17"/>
  <c r="B27" i="17"/>
  <c r="B45" i="22"/>
  <c r="J14" i="30"/>
  <c r="P15" i="29"/>
  <c r="I29" i="22"/>
  <c r="I47" i="17"/>
  <c r="I47" i="22"/>
  <c r="P15" i="28"/>
  <c r="I29" i="17"/>
  <c r="Q15" i="25"/>
  <c r="P15" i="30"/>
  <c r="S15" i="30"/>
  <c r="L47" i="22"/>
  <c r="S15" i="29"/>
  <c r="L29" i="22"/>
  <c r="S15" i="28"/>
  <c r="L29" i="17"/>
  <c r="L47" i="17"/>
  <c r="T15" i="25"/>
  <c r="K15" i="25"/>
  <c r="D38" i="25" s="1"/>
  <c r="B47" i="22"/>
  <c r="J15" i="30"/>
  <c r="B29" i="22"/>
  <c r="J15" i="29"/>
  <c r="B29" i="17"/>
  <c r="J15" i="28"/>
  <c r="B47" i="17"/>
  <c r="O14" i="29"/>
  <c r="H27" i="22"/>
  <c r="O14" i="28"/>
  <c r="H27" i="17"/>
  <c r="H45" i="17"/>
  <c r="P14" i="25"/>
  <c r="O14" i="30"/>
  <c r="H45" i="22"/>
  <c r="N15" i="28"/>
  <c r="G29" i="17"/>
  <c r="G47" i="17"/>
  <c r="O15" i="25"/>
  <c r="N15" i="30"/>
  <c r="G47" i="22"/>
  <c r="N15" i="29"/>
  <c r="G29" i="22"/>
  <c r="P14" i="28"/>
  <c r="I27" i="17"/>
  <c r="I45" i="17"/>
  <c r="Q14" i="25"/>
  <c r="P14" i="30"/>
  <c r="I45" i="22"/>
  <c r="P14" i="29"/>
  <c r="I27" i="22"/>
  <c r="AK12" i="6"/>
  <c r="R14" i="28"/>
  <c r="K27" i="17"/>
  <c r="S14" i="25"/>
  <c r="R14" i="29"/>
  <c r="R14" i="30"/>
  <c r="K45" i="22"/>
  <c r="K27" i="22"/>
  <c r="K45" i="17"/>
  <c r="K15" i="29"/>
  <c r="D29" i="22"/>
  <c r="D47" i="17"/>
  <c r="K15" i="28"/>
  <c r="D29" i="17"/>
  <c r="L15" i="25"/>
  <c r="K15" i="30"/>
  <c r="D47" i="22"/>
  <c r="AK10" i="6"/>
  <c r="R13" i="28"/>
  <c r="K25" i="17"/>
  <c r="K25" i="22"/>
  <c r="K43" i="17"/>
  <c r="S13" i="25"/>
  <c r="R13" i="30"/>
  <c r="K43" i="22"/>
  <c r="R13" i="29"/>
  <c r="AK14" i="6"/>
  <c r="K47" i="17"/>
  <c r="R15" i="28"/>
  <c r="K29" i="17"/>
  <c r="S15" i="25"/>
  <c r="R15" i="30"/>
  <c r="K47" i="22"/>
  <c r="R15" i="29"/>
  <c r="K29" i="22"/>
  <c r="K13" i="25"/>
  <c r="D41" i="25" s="1"/>
  <c r="J13" i="28"/>
  <c r="B43" i="17"/>
  <c r="B43" i="22"/>
  <c r="J13" i="30"/>
  <c r="B25" i="22"/>
  <c r="J13" i="29"/>
  <c r="B25" i="17"/>
  <c r="R10" i="6"/>
  <c r="M13" i="32" s="1"/>
  <c r="M13" i="30"/>
  <c r="F43" i="22"/>
  <c r="N13" i="25"/>
  <c r="M13" i="29"/>
  <c r="F25" i="22"/>
  <c r="M13" i="28"/>
  <c r="F25" i="17"/>
  <c r="F43" i="17"/>
  <c r="K13" i="29"/>
  <c r="D25" i="22"/>
  <c r="K13" i="28"/>
  <c r="D25" i="17"/>
  <c r="D43" i="17"/>
  <c r="L13" i="25"/>
  <c r="K13" i="30"/>
  <c r="D43" i="22"/>
  <c r="AK14" i="2"/>
  <c r="S10" i="25"/>
  <c r="T9" i="25"/>
  <c r="S8" i="25"/>
  <c r="AK10" i="2"/>
  <c r="P10" i="25"/>
  <c r="O10" i="25"/>
  <c r="L10" i="25"/>
  <c r="Q9" i="25"/>
  <c r="L9" i="25"/>
  <c r="K8" i="25"/>
  <c r="Q10" i="25"/>
  <c r="K10" i="25"/>
  <c r="R9" i="25"/>
  <c r="N8" i="25"/>
  <c r="Q8" i="25"/>
  <c r="T10" i="25"/>
  <c r="O9" i="25"/>
  <c r="P9" i="25"/>
  <c r="R8" i="25"/>
  <c r="O8" i="25"/>
  <c r="N9" i="25"/>
  <c r="R12" i="2"/>
  <c r="M9" i="32" s="1"/>
  <c r="R10" i="25"/>
  <c r="R14" i="2"/>
  <c r="M10" i="32" s="1"/>
  <c r="N10" i="25"/>
  <c r="S9" i="25"/>
  <c r="AK12" i="2"/>
  <c r="K9" i="25"/>
  <c r="T8" i="25"/>
  <c r="P8" i="25"/>
  <c r="W34" i="2"/>
  <c r="L8" i="25"/>
  <c r="M7" i="18"/>
  <c r="Q12" i="19"/>
  <c r="B19" i="19"/>
  <c r="Q14" i="11"/>
  <c r="B65" i="30" s="1"/>
  <c r="Q8" i="11"/>
  <c r="B70" i="30" s="1"/>
  <c r="M9" i="25" l="1"/>
  <c r="G9" i="27"/>
  <c r="D42" i="29" s="1"/>
  <c r="Q12" i="10"/>
  <c r="M10" i="18"/>
  <c r="L13" i="29"/>
  <c r="L13" i="28"/>
  <c r="M13" i="25"/>
  <c r="E43" i="17"/>
  <c r="E43" i="22"/>
  <c r="E25" i="17"/>
  <c r="E25" i="22"/>
  <c r="L13" i="30"/>
  <c r="L14" i="28"/>
  <c r="E45" i="17"/>
  <c r="M14" i="25"/>
  <c r="E27" i="17"/>
  <c r="L14" i="30"/>
  <c r="E45" i="22"/>
  <c r="E27" i="22"/>
  <c r="L14" i="29"/>
  <c r="E29" i="17"/>
  <c r="M15" i="25"/>
  <c r="L15" i="30"/>
  <c r="E47" i="22"/>
  <c r="L15" i="29"/>
  <c r="E29" i="22"/>
  <c r="E47" i="17"/>
  <c r="L15" i="28"/>
  <c r="M8" i="25"/>
  <c r="M10" i="25"/>
  <c r="F9" i="10"/>
  <c r="Q9" i="10" s="1"/>
  <c r="G6" i="27"/>
  <c r="C21" i="11"/>
  <c r="B60" i="30" s="1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H13" i="19" l="1"/>
  <c r="H15" i="11"/>
  <c r="D57" i="30" s="1"/>
  <c r="P9" i="27"/>
  <c r="D49" i="30" s="1"/>
  <c r="D42" i="28"/>
  <c r="D42" i="30"/>
  <c r="G9" i="23"/>
  <c r="M15" i="11"/>
  <c r="G57" i="30" s="1"/>
  <c r="M13" i="19"/>
  <c r="G6" i="23"/>
  <c r="D41" i="28"/>
  <c r="D41" i="29"/>
  <c r="D41" i="30"/>
  <c r="E7" i="18"/>
  <c r="S9" i="10"/>
  <c r="S12" i="10"/>
  <c r="E10" i="18"/>
  <c r="S10" i="18" s="1"/>
  <c r="Q10" i="18" l="1"/>
  <c r="S7" i="18"/>
  <c r="Q7" i="18"/>
  <c r="H9" i="11"/>
  <c r="D53" i="30" s="1"/>
  <c r="H7" i="19"/>
  <c r="M9" i="11"/>
  <c r="G53" i="30" s="1"/>
  <c r="M7" i="19"/>
  <c r="Q6" i="19" s="1"/>
</calcChain>
</file>

<file path=xl/sharedStrings.xml><?xml version="1.0" encoding="utf-8"?>
<sst xmlns="http://schemas.openxmlformats.org/spreadsheetml/2006/main" count="723" uniqueCount="182">
  <si>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</si>
  <si>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</si>
  <si>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</si>
  <si>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</si>
  <si>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</si>
  <si>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</si>
  <si>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</si>
  <si>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</si>
  <si>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</si>
  <si>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</si>
  <si>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</si>
  <si>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</si>
  <si>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</si>
  <si>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</si>
  <si>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</si>
  <si>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</si>
  <si>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</si>
  <si>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</si>
  <si>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</si>
  <si>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</si>
  <si>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</si>
  <si>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</si>
  <si>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</si>
  <si>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</si>
  <si>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</si>
  <si>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</si>
  <si>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</si>
  <si>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</si>
  <si>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</si>
  <si>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</si>
  <si>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</si>
  <si>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</si>
  <si>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</si>
  <si>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</si>
  <si>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</si>
  <si>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</si>
  <si>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</si>
  <si>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</si>
  <si>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</si>
  <si>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</si>
  <si>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</si>
  <si>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</si>
  <si>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</si>
  <si>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</si>
  <si>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</si>
  <si>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</si>
  <si>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</si>
  <si>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</si>
  <si>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</si>
  <si>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</si>
  <si>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</si>
  <si>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</si>
  <si>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</si>
  <si>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</si>
  <si>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</si>
  <si>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</si>
  <si>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</si>
  <si>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</si>
  <si>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</si>
  <si>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</si>
  <si>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</si>
  <si>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</si>
  <si>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</si>
  <si>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</si>
  <si>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</si>
  <si>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</si>
  <si>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</si>
  <si>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</si>
  <si>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</si>
  <si>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</si>
  <si>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</si>
  <si>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</si>
  <si>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</si>
  <si>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</si>
  <si>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</si>
  <si>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</si>
  <si>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03:50. p.m.</t>
  </si>
  <si>
    <t>03:00. p.m.</t>
  </si>
  <si>
    <t>04:20. p.m.</t>
  </si>
  <si>
    <t>PRIMERO GRUPO A</t>
  </si>
  <si>
    <t>PRIMERO GRUPO B</t>
  </si>
  <si>
    <t>PRIMERO GRUPO C</t>
  </si>
  <si>
    <t>PRIMERO GRUPO D</t>
  </si>
  <si>
    <t>INTERGRUPO</t>
  </si>
  <si>
    <t>PARTIDOS       FECHA 3</t>
  </si>
  <si>
    <t>PARTIDOS           FECHA 1            INTERGRUPOS</t>
  </si>
  <si>
    <t xml:space="preserve">IV Campeonato Nacional de Futbol </t>
  </si>
  <si>
    <t>BABY FUTBOL</t>
  </si>
  <si>
    <t>Nacidos Año 2005-2006</t>
  </si>
  <si>
    <t>CATEGORIA</t>
  </si>
  <si>
    <t>11:55. a.m.</t>
  </si>
  <si>
    <t>CANCHA 1 A</t>
  </si>
  <si>
    <t>12:50. p.m.</t>
  </si>
  <si>
    <t>CANCHA 1 C</t>
  </si>
  <si>
    <t>04:30. p.m.</t>
  </si>
  <si>
    <t>11:45. a.m.</t>
  </si>
  <si>
    <t>CANCHA 1 B</t>
  </si>
  <si>
    <t>12:40. p.m.</t>
  </si>
  <si>
    <t>04:40. a.m.</t>
  </si>
  <si>
    <t>04:40. p.m.</t>
  </si>
  <si>
    <t>10:50. a.m.</t>
  </si>
  <si>
    <t>09:50. a.m.</t>
  </si>
  <si>
    <t>02:00. p.m.</t>
  </si>
  <si>
    <t>CANCHA 1  C</t>
  </si>
  <si>
    <t>02:55. p.m.</t>
  </si>
  <si>
    <t>Recordamos el envio de la planilla de inscripcion diligenciada al correo soccermelgar@outlook.com</t>
  </si>
  <si>
    <t>Diligenciar e imprimir la planilla de inscripcion y carnet.</t>
  </si>
  <si>
    <t>Traer documento original para presentar a mesa de delegados o por si algun delegado de equipo la solicita.</t>
  </si>
  <si>
    <t>Leer, acatar y/o Cumplir las normas del reglamento.</t>
  </si>
  <si>
    <t xml:space="preserve">Deben iniciar los partidos a la hora indicada, por ende se solicita estar minimo 30 minutos antes, </t>
  </si>
  <si>
    <t>diligenciar planilla de inscripcion y realizar trabajo precompetitivo</t>
  </si>
  <si>
    <t>09:30 a.m.</t>
  </si>
  <si>
    <t>2:50 p.m.</t>
  </si>
  <si>
    <t>LLAVE  A</t>
  </si>
  <si>
    <t>LLAVE  B</t>
  </si>
  <si>
    <t>08:20 a.m.</t>
  </si>
  <si>
    <t>4:00 p.m.</t>
  </si>
  <si>
    <t>DICIEMBRE 18 AL 21 VERSIÓN UNO</t>
  </si>
  <si>
    <t>|</t>
  </si>
  <si>
    <t>CUARTA FECHA</t>
  </si>
  <si>
    <t>TERCERO GRUPO C</t>
  </si>
  <si>
    <t>TERCERO GRUPO D</t>
  </si>
  <si>
    <t>LA CUARTA FECHA SE JUGARAN DOS TIEMPOS DE 18 MINUTOS CADA UNO</t>
  </si>
  <si>
    <t>SEGUNDO PRUPO A</t>
  </si>
  <si>
    <t>TERCERO GRUPO A</t>
  </si>
  <si>
    <t>SEGUNDO GRUPO C</t>
  </si>
  <si>
    <t>SEGUNDO PRUPO B</t>
  </si>
  <si>
    <t>TERCERO GRUPO B</t>
  </si>
  <si>
    <t>SEGUNDO GRUPO D</t>
  </si>
  <si>
    <t>PARTIDOS       FECHA 4</t>
  </si>
  <si>
    <t>CANCHA 2 A</t>
  </si>
  <si>
    <t>CANCHA 2 B</t>
  </si>
  <si>
    <t>3:05 p.m.</t>
  </si>
  <si>
    <t>1:40 p.m.</t>
  </si>
  <si>
    <t>3:55 p.m.</t>
  </si>
  <si>
    <t>2:00 p.m.</t>
  </si>
  <si>
    <t>4:10 p.m.</t>
  </si>
  <si>
    <t>07:30 a.m.</t>
  </si>
  <si>
    <t>07:50 a.m.</t>
  </si>
  <si>
    <t>08:35 a.m.</t>
  </si>
  <si>
    <t>09:00 a.m.</t>
  </si>
  <si>
    <t>09:40 a.m.</t>
  </si>
  <si>
    <t>10:10 a.m.</t>
  </si>
  <si>
    <t>2:30 p.m.</t>
  </si>
  <si>
    <t>3:20 p.m.</t>
  </si>
  <si>
    <t>3:40 p.m.</t>
  </si>
  <si>
    <t>PRIMERA FECHA</t>
  </si>
  <si>
    <t>SEGUNDA FECHA</t>
  </si>
  <si>
    <t>TERCERA FECHA</t>
  </si>
  <si>
    <t>PARTIDOS QUE SON DE INTERGRUPO</t>
  </si>
  <si>
    <t>09:10 a.m.</t>
  </si>
  <si>
    <t>09:20 a.m.</t>
  </si>
  <si>
    <t>10:20 a.m.</t>
  </si>
  <si>
    <t>11:10 a.m.</t>
  </si>
  <si>
    <t>11:20 a.m.</t>
  </si>
  <si>
    <t>“COPA SOCCER MELGAR”</t>
  </si>
  <si>
    <t>ESTADIO MUNICIPAL CANCHA 1 A (SINTETICO)</t>
  </si>
  <si>
    <t>ESTADIO MUNICIPAL CANCHA 1 B (SINTETICO)</t>
  </si>
  <si>
    <t>CLUB ARIEL ARMEL</t>
  </si>
  <si>
    <t>COLEGIO PRINCIPADO DE MONACO</t>
  </si>
  <si>
    <t>CENTAUROS DEL ARIARI</t>
  </si>
  <si>
    <t>GRAMA F. C.</t>
  </si>
  <si>
    <t>ESCUELA DEPORTIVA DE FÚTBOL RAQUIRA</t>
  </si>
  <si>
    <t>NOVATOS F. C.</t>
  </si>
  <si>
    <t>ESCUELA DE FORMACIÓN DEPORTIVA MARACANA</t>
  </si>
  <si>
    <t>CLUB LOS PAPETICOS</t>
  </si>
  <si>
    <t>COLEGIO NEIL ARMSTRONG</t>
  </si>
  <si>
    <t>CLUB CAMPESTRE IBAGUE UNO</t>
  </si>
  <si>
    <t>XVIII Festival Nacional Fútbol Infantil</t>
  </si>
  <si>
    <t>SEPTIEMBRE 28 Y 29 DEL 2024</t>
  </si>
  <si>
    <t>CLUB CAMPESTRE IBAGUE DOS</t>
  </si>
  <si>
    <t xml:space="preserve">PARTIDOS           FECHA 1 </t>
  </si>
  <si>
    <t>PARTIDOS           FECHA 2</t>
  </si>
  <si>
    <t>PARTIDOS           FECHA 3</t>
  </si>
  <si>
    <t>FINAL
 COPA BRONCE</t>
  </si>
  <si>
    <t>FINAL 
COPA PLATA</t>
  </si>
  <si>
    <t>FINAL 
COPA BRONCE</t>
  </si>
  <si>
    <t>FINAL 
COPA ORO</t>
  </si>
  <si>
    <t>CORDOBA Y SERRANO F. C.</t>
  </si>
  <si>
    <t>CANCHA 1 B 
CLUB POLICIA</t>
  </si>
  <si>
    <t>CANCHA 1 A 
CLUB POLICIA</t>
  </si>
  <si>
    <t>NACIDOS 2012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</si>
</sst>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48"/>
      <color theme="3" tint="-0.249977111117893"/>
      <name val="Times New Roman"/>
      <family val="1"/>
    </font>
    <font>
      <sz val="48"/>
      <color theme="9" tint="-0.249977111117893"/>
      <name val="Times New Roman"/>
      <family val="1"/>
    </font>
    <font>
      <b/>
      <sz val="20"/>
      <color theme="9" tint="-0.249977111117893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20"/>
      <color rgb="FF00206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i/>
      <sz val="22"/>
      <color rgb="FFFF0000"/>
      <name val="Times New Roman"/>
      <family val="1"/>
    </font>
    <font>
      <b/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0"/>
      <color rgb="FF0000FF"/>
      <name val="Times New Roman"/>
      <family val="1"/>
    </font>
    <font>
      <b/>
      <i/>
      <sz val="36"/>
      <color rgb="FFFF0000"/>
      <name val="Times New Roman"/>
      <family val="1"/>
    </font>
    <font>
      <b/>
      <sz val="16"/>
      <color rgb="FF0000FF"/>
      <name val="Calibri"/>
      <family val="2"/>
      <scheme val="minor"/>
    </font>
    <font>
      <b/>
      <sz val="22"/>
      <color rgb="FF0000FF"/>
      <name val="Times New Roman"/>
      <family val="1"/>
    </font>
    <font>
      <b/>
      <sz val="32"/>
      <color rgb="FF008000"/>
      <name val="Times New Roman"/>
      <family val="1"/>
    </font>
    <font>
      <sz val="16"/>
      <color rgb="FFFF0000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6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FF"/>
      <name val="Calibri"/>
      <family val="2"/>
      <scheme val="minor"/>
    </font>
    <font>
      <b/>
      <sz val="18"/>
      <color rgb="FF006600"/>
      <name val="Calibri"/>
      <family val="2"/>
      <scheme val="minor"/>
    </font>
    <font>
      <b/>
      <sz val="48"/>
      <color rgb="FF006600"/>
      <name val="Times New Roman"/>
      <family val="1"/>
    </font>
    <font>
      <b/>
      <sz val="26"/>
      <color rgb="FF0000FF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00206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90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9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/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0" fontId="14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right" vertical="center"/>
    </xf>
    <xf numFmtId="0" fontId="13" fillId="7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2" fillId="2" borderId="0" xfId="0" applyFont="1" applyFill="1"/>
    <xf numFmtId="49" fontId="27" fillId="6" borderId="0" xfId="0" applyNumberFormat="1" applyFont="1" applyFill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2" fillId="10" borderId="0" xfId="0" applyFont="1" applyFill="1"/>
    <xf numFmtId="0" fontId="0" fillId="6" borderId="4" xfId="0" applyFill="1" applyBorder="1"/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37" fillId="2" borderId="0" xfId="0" applyFont="1" applyFill="1"/>
    <xf numFmtId="0" fontId="17" fillId="6" borderId="13" xfId="0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2" fillId="2" borderId="0" xfId="0" applyFont="1" applyFill="1"/>
    <xf numFmtId="0" fontId="3" fillId="6" borderId="0" xfId="0" applyFont="1" applyFill="1" applyAlignment="1">
      <alignment horizontal="center"/>
    </xf>
    <xf numFmtId="0" fontId="43" fillId="2" borderId="0" xfId="0" applyFont="1" applyFill="1"/>
    <xf numFmtId="0" fontId="0" fillId="2" borderId="39" xfId="0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0" fillId="2" borderId="0" xfId="0" applyFont="1" applyFill="1"/>
    <xf numFmtId="0" fontId="0" fillId="2" borderId="39" xfId="0" applyFill="1" applyBorder="1"/>
    <xf numFmtId="0" fontId="9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8" fillId="2" borderId="0" xfId="0" applyFont="1" applyFill="1"/>
    <xf numFmtId="0" fontId="3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55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Protection="1">
      <protection locked="0"/>
    </xf>
    <xf numFmtId="0" fontId="56" fillId="2" borderId="0" xfId="0" applyFont="1" applyFill="1"/>
    <xf numFmtId="0" fontId="57" fillId="2" borderId="0" xfId="0" applyFont="1" applyFill="1"/>
    <xf numFmtId="0" fontId="51" fillId="6" borderId="7" xfId="0" applyFont="1" applyFill="1" applyBorder="1" applyAlignment="1">
      <alignment horizontal="center"/>
    </xf>
    <xf numFmtId="0" fontId="59" fillId="6" borderId="0" xfId="0" applyFont="1" applyFill="1"/>
    <xf numFmtId="0" fontId="51" fillId="2" borderId="0" xfId="0" applyFont="1" applyFill="1"/>
    <xf numFmtId="0" fontId="51" fillId="6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9" fillId="0" borderId="0" xfId="0" applyFont="1" applyAlignment="1">
      <alignment horizontal="left"/>
    </xf>
    <xf numFmtId="0" fontId="59" fillId="6" borderId="0" xfId="0" applyFont="1" applyFill="1" applyAlignment="1">
      <alignment vertical="center"/>
    </xf>
    <xf numFmtId="16" fontId="59" fillId="3" borderId="0" xfId="0" applyNumberFormat="1" applyFont="1" applyFill="1" applyAlignment="1">
      <alignment horizontal="center" vertical="center"/>
    </xf>
    <xf numFmtId="164" fontId="59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16" fontId="59" fillId="4" borderId="0" xfId="0" applyNumberFormat="1" applyFont="1" applyFill="1" applyAlignment="1">
      <alignment horizontal="center" vertical="center"/>
    </xf>
    <xf numFmtId="164" fontId="59" fillId="4" borderId="0" xfId="0" applyNumberFormat="1" applyFont="1" applyFill="1" applyAlignment="1">
      <alignment horizontal="center" vertical="center"/>
    </xf>
    <xf numFmtId="0" fontId="59" fillId="8" borderId="6" xfId="0" applyFont="1" applyFill="1" applyBorder="1" applyAlignment="1" applyProtection="1">
      <alignment horizontal="center" vertical="center"/>
      <protection locked="0"/>
    </xf>
    <xf numFmtId="0" fontId="59" fillId="4" borderId="0" xfId="0" applyFont="1" applyFill="1" applyAlignment="1">
      <alignment horizontal="center" vertical="center"/>
    </xf>
    <xf numFmtId="0" fontId="54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44" fillId="2" borderId="0" xfId="0" applyFont="1" applyFill="1" applyAlignment="1">
      <alignment vertical="center"/>
    </xf>
    <xf numFmtId="0" fontId="65" fillId="8" borderId="6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>
      <alignment horizontal="left"/>
    </xf>
    <xf numFmtId="0" fontId="59" fillId="4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/>
    </xf>
    <xf numFmtId="0" fontId="59" fillId="10" borderId="0" xfId="0" applyFont="1" applyFill="1"/>
    <xf numFmtId="0" fontId="59" fillId="6" borderId="0" xfId="0" applyFont="1" applyFill="1" applyAlignment="1">
      <alignment horizontal="right" vertical="center"/>
    </xf>
    <xf numFmtId="16" fontId="59" fillId="4" borderId="0" xfId="0" applyNumberFormat="1" applyFont="1" applyFill="1" applyAlignment="1">
      <alignment horizontal="left" vertical="center"/>
    </xf>
    <xf numFmtId="0" fontId="66" fillId="6" borderId="0" xfId="0" applyFont="1" applyFill="1" applyAlignment="1">
      <alignment horizontal="center"/>
    </xf>
    <xf numFmtId="0" fontId="67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9" fillId="2" borderId="0" xfId="0" applyFont="1" applyFill="1"/>
    <xf numFmtId="0" fontId="59" fillId="3" borderId="0" xfId="0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0" fillId="6" borderId="46" xfId="0" applyFill="1" applyBorder="1"/>
    <xf numFmtId="0" fontId="0" fillId="6" borderId="28" xfId="0" applyFill="1" applyBorder="1"/>
    <xf numFmtId="0" fontId="58" fillId="6" borderId="13" xfId="0" applyFont="1" applyFill="1" applyBorder="1"/>
    <xf numFmtId="0" fontId="51" fillId="6" borderId="28" xfId="0" applyFont="1" applyFill="1" applyBorder="1" applyAlignment="1">
      <alignment horizontal="center" vertical="center"/>
    </xf>
    <xf numFmtId="0" fontId="0" fillId="11" borderId="5" xfId="0" applyFill="1" applyBorder="1"/>
    <xf numFmtId="0" fontId="2" fillId="11" borderId="0" xfId="0" applyFont="1" applyFill="1"/>
    <xf numFmtId="0" fontId="2" fillId="11" borderId="14" xfId="0" applyFont="1" applyFill="1" applyBorder="1"/>
    <xf numFmtId="0" fontId="2" fillId="11" borderId="8" xfId="0" applyFont="1" applyFill="1" applyBorder="1"/>
    <xf numFmtId="0" fontId="0" fillId="11" borderId="12" xfId="0" applyFill="1" applyBorder="1"/>
    <xf numFmtId="0" fontId="27" fillId="11" borderId="13" xfId="0" applyFont="1" applyFill="1" applyBorder="1"/>
    <xf numFmtId="0" fontId="0" fillId="11" borderId="4" xfId="0" applyFill="1" applyBorder="1"/>
    <xf numFmtId="49" fontId="27" fillId="11" borderId="5" xfId="0" applyNumberFormat="1" applyFont="1" applyFill="1" applyBorder="1" applyAlignment="1">
      <alignment horizontal="center"/>
    </xf>
    <xf numFmtId="0" fontId="76" fillId="2" borderId="0" xfId="0" applyFont="1" applyFill="1"/>
    <xf numFmtId="0" fontId="76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right"/>
    </xf>
    <xf numFmtId="0" fontId="76" fillId="2" borderId="0" xfId="0" applyFont="1" applyFill="1" applyProtection="1">
      <protection locked="0"/>
    </xf>
    <xf numFmtId="0" fontId="68" fillId="2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70" fillId="2" borderId="3" xfId="0" applyFont="1" applyFill="1" applyBorder="1" applyAlignment="1">
      <alignment horizontal="center" vertical="center"/>
    </xf>
    <xf numFmtId="0" fontId="59" fillId="8" borderId="12" xfId="0" applyFont="1" applyFill="1" applyBorder="1" applyAlignment="1" applyProtection="1">
      <alignment horizontal="center" vertical="center"/>
      <protection locked="0"/>
    </xf>
    <xf numFmtId="0" fontId="68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79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/>
    </xf>
    <xf numFmtId="0" fontId="82" fillId="2" borderId="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91" fillId="2" borderId="0" xfId="0" applyFont="1" applyFill="1" applyAlignment="1">
      <alignment horizontal="left" vertical="center"/>
    </xf>
    <xf numFmtId="0" fontId="31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0" fillId="12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92" fillId="12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/>
    <xf numFmtId="0" fontId="98" fillId="2" borderId="0" xfId="0" applyFont="1" applyFill="1" applyAlignment="1">
      <alignment horizontal="center" vertical="center"/>
    </xf>
    <xf numFmtId="0" fontId="99" fillId="2" borderId="1" xfId="1" applyFont="1" applyFill="1" applyBorder="1" applyAlignment="1">
      <alignment horizontal="center" vertical="center"/>
    </xf>
    <xf numFmtId="0" fontId="100" fillId="2" borderId="0" xfId="1" applyFont="1" applyFill="1" applyBorder="1" applyAlignment="1">
      <alignment horizontal="center" vertical="center"/>
    </xf>
    <xf numFmtId="0" fontId="101" fillId="2" borderId="1" xfId="1" applyFont="1" applyFill="1" applyBorder="1" applyAlignment="1">
      <alignment horizontal="center" vertical="center"/>
    </xf>
    <xf numFmtId="0" fontId="30" fillId="2" borderId="0" xfId="0" applyFont="1" applyFill="1"/>
    <xf numFmtId="0" fontId="100" fillId="2" borderId="1" xfId="1" applyFont="1" applyFill="1" applyBorder="1" applyAlignment="1">
      <alignment horizontal="center" vertical="center"/>
    </xf>
    <xf numFmtId="0" fontId="47" fillId="2" borderId="0" xfId="0" applyFont="1" applyFill="1"/>
    <xf numFmtId="0" fontId="102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7" xfId="0" applyFont="1" applyFill="1" applyBorder="1"/>
    <xf numFmtId="0" fontId="94" fillId="2" borderId="70" xfId="0" applyFont="1" applyFill="1" applyBorder="1" applyAlignment="1">
      <alignment horizontal="center" vertical="center"/>
    </xf>
    <xf numFmtId="0" fontId="94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104" fillId="17" borderId="3" xfId="0" applyNumberFormat="1" applyFont="1" applyFill="1" applyBorder="1" applyAlignment="1">
      <alignment horizontal="center" vertical="center"/>
    </xf>
    <xf numFmtId="0" fontId="104" fillId="17" borderId="3" xfId="0" applyFont="1" applyFill="1" applyBorder="1" applyAlignment="1">
      <alignment horizontal="center" vertical="center"/>
    </xf>
    <xf numFmtId="16" fontId="27" fillId="18" borderId="3" xfId="0" applyNumberFormat="1" applyFont="1" applyFill="1" applyBorder="1" applyAlignment="1">
      <alignment horizontal="center" vertical="center"/>
    </xf>
    <xf numFmtId="0" fontId="27" fillId="18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74" xfId="0" applyNumberFormat="1" applyFont="1" applyFill="1" applyBorder="1" applyAlignment="1">
      <alignment vertical="center"/>
    </xf>
    <xf numFmtId="16" fontId="2" fillId="2" borderId="75" xfId="0" applyNumberFormat="1" applyFont="1" applyFill="1" applyBorder="1" applyAlignment="1">
      <alignment vertical="center"/>
    </xf>
    <xf numFmtId="16" fontId="2" fillId="2" borderId="76" xfId="0" applyNumberFormat="1" applyFont="1" applyFill="1" applyBorder="1" applyAlignment="1">
      <alignment vertical="center"/>
    </xf>
    <xf numFmtId="16" fontId="2" fillId="2" borderId="77" xfId="0" applyNumberFormat="1" applyFont="1" applyFill="1" applyBorder="1" applyAlignment="1">
      <alignment vertical="center"/>
    </xf>
    <xf numFmtId="16" fontId="0" fillId="2" borderId="52" xfId="0" applyNumberFormat="1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16" fontId="0" fillId="2" borderId="73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7" fillId="2" borderId="2" xfId="0" applyFont="1" applyFill="1" applyBorder="1" applyAlignment="1">
      <alignment horizontal="center" vertical="center" wrapText="1"/>
    </xf>
    <xf numFmtId="0" fontId="113" fillId="2" borderId="0" xfId="0" applyFont="1" applyFill="1"/>
    <xf numFmtId="0" fontId="0" fillId="2" borderId="0" xfId="0" applyFill="1" applyAlignment="1">
      <alignment wrapText="1"/>
    </xf>
    <xf numFmtId="0" fontId="2" fillId="16" borderId="3" xfId="0" applyFont="1" applyFill="1" applyBorder="1" applyAlignment="1">
      <alignment horizontal="center" vertical="center" wrapText="1"/>
    </xf>
    <xf numFmtId="16" fontId="104" fillId="17" borderId="3" xfId="0" applyNumberFormat="1" applyFont="1" applyFill="1" applyBorder="1" applyAlignment="1">
      <alignment horizontal="center" vertical="center" wrapText="1"/>
    </xf>
    <xf numFmtId="0" fontId="104" fillId="17" borderId="3" xfId="0" applyFont="1" applyFill="1" applyBorder="1" applyAlignment="1">
      <alignment horizontal="center" vertical="center" wrapText="1"/>
    </xf>
    <xf numFmtId="16" fontId="27" fillId="18" borderId="3" xfId="0" applyNumberFormat="1" applyFont="1" applyFill="1" applyBorder="1" applyAlignment="1">
      <alignment horizontal="center" vertical="center" wrapText="1"/>
    </xf>
    <xf numFmtId="0" fontId="27" fillId="18" borderId="3" xfId="0" applyFont="1" applyFill="1" applyBorder="1" applyAlignment="1">
      <alignment horizontal="center" vertical="center"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 vertical="center"/>
    </xf>
    <xf numFmtId="16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116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109" fillId="2" borderId="0" xfId="0" applyFont="1" applyFill="1"/>
    <xf numFmtId="0" fontId="38" fillId="0" borderId="0" xfId="0" applyFont="1"/>
    <xf numFmtId="0" fontId="121" fillId="2" borderId="0" xfId="0" applyFont="1" applyFill="1" applyAlignment="1">
      <alignment vertical="center"/>
    </xf>
    <xf numFmtId="0" fontId="107" fillId="2" borderId="0" xfId="0" applyFont="1" applyFill="1" applyAlignment="1">
      <alignment horizontal="center" vertical="center" wrapText="1"/>
    </xf>
    <xf numFmtId="0" fontId="26" fillId="2" borderId="79" xfId="1" applyFont="1" applyFill="1" applyBorder="1" applyAlignment="1">
      <alignment horizontal="center" vertical="center"/>
    </xf>
    <xf numFmtId="0" fontId="6" fillId="2" borderId="79" xfId="1" applyFont="1" applyFill="1" applyBorder="1" applyAlignment="1">
      <alignment horizontal="center" vertical="center"/>
    </xf>
    <xf numFmtId="0" fontId="93" fillId="2" borderId="79" xfId="1" applyFont="1" applyFill="1" applyBorder="1" applyAlignment="1">
      <alignment horizontal="center" vertical="center"/>
    </xf>
    <xf numFmtId="0" fontId="75" fillId="2" borderId="79" xfId="1" applyFont="1" applyFill="1" applyBorder="1" applyAlignment="1">
      <alignment horizontal="center" vertical="center"/>
    </xf>
    <xf numFmtId="0" fontId="103" fillId="2" borderId="0" xfId="0" applyFont="1" applyFill="1"/>
    <xf numFmtId="0" fontId="125" fillId="10" borderId="0" xfId="0" applyFont="1" applyFill="1" applyAlignment="1">
      <alignment vertical="center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/>
    </xf>
    <xf numFmtId="0" fontId="39" fillId="2" borderId="0" xfId="0" applyFont="1" applyFill="1"/>
    <xf numFmtId="0" fontId="16" fillId="2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26" fillId="2" borderId="2" xfId="0" applyFont="1" applyFill="1" applyBorder="1" applyAlignment="1">
      <alignment horizontal="center" vertical="center" wrapText="1"/>
    </xf>
    <xf numFmtId="0" fontId="126" fillId="2" borderId="38" xfId="0" applyFont="1" applyFill="1" applyBorder="1" applyAlignment="1">
      <alignment horizontal="center" vertical="center" wrapText="1"/>
    </xf>
    <xf numFmtId="0" fontId="126" fillId="2" borderId="81" xfId="0" applyFont="1" applyFill="1" applyBorder="1" applyAlignment="1">
      <alignment horizontal="center" vertical="center" wrapText="1"/>
    </xf>
    <xf numFmtId="0" fontId="2" fillId="10" borderId="85" xfId="0" applyFont="1" applyFill="1" applyBorder="1" applyAlignment="1">
      <alignment horizontal="center" vertical="center" wrapText="1"/>
    </xf>
    <xf numFmtId="0" fontId="94" fillId="10" borderId="70" xfId="0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 wrapText="1"/>
    </xf>
    <xf numFmtId="0" fontId="2" fillId="21" borderId="85" xfId="0" applyFont="1" applyFill="1" applyBorder="1" applyAlignment="1">
      <alignment horizontal="center" vertical="center" wrapText="1"/>
    </xf>
    <xf numFmtId="0" fontId="2" fillId="21" borderId="67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/>
    </xf>
    <xf numFmtId="0" fontId="2" fillId="10" borderId="71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107" fillId="15" borderId="3" xfId="0" applyFont="1" applyFill="1" applyBorder="1" applyAlignment="1">
      <alignment horizontal="center" vertical="center"/>
    </xf>
    <xf numFmtId="0" fontId="107" fillId="16" borderId="3" xfId="0" applyFont="1" applyFill="1" applyBorder="1" applyAlignment="1">
      <alignment horizontal="center" vertical="center" wrapText="1"/>
    </xf>
    <xf numFmtId="16" fontId="128" fillId="17" borderId="3" xfId="0" applyNumberFormat="1" applyFont="1" applyFill="1" applyBorder="1" applyAlignment="1">
      <alignment horizontal="center" vertical="center" wrapText="1"/>
    </xf>
    <xf numFmtId="0" fontId="128" fillId="17" borderId="3" xfId="0" applyFont="1" applyFill="1" applyBorder="1" applyAlignment="1">
      <alignment horizontal="center" vertical="center" wrapText="1"/>
    </xf>
    <xf numFmtId="16" fontId="129" fillId="18" borderId="3" xfId="0" applyNumberFormat="1" applyFont="1" applyFill="1" applyBorder="1" applyAlignment="1">
      <alignment horizontal="center" vertical="center" wrapText="1"/>
    </xf>
    <xf numFmtId="0" fontId="129" fillId="18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30" fillId="3" borderId="3" xfId="0" applyFont="1" applyFill="1" applyBorder="1" applyAlignment="1">
      <alignment horizontal="center" vertical="center"/>
    </xf>
    <xf numFmtId="0" fontId="130" fillId="10" borderId="3" xfId="0" applyFont="1" applyFill="1" applyBorder="1" applyAlignment="1">
      <alignment horizontal="left" vertical="center" wrapText="1"/>
    </xf>
    <xf numFmtId="0" fontId="130" fillId="10" borderId="3" xfId="0" applyFont="1" applyFill="1" applyBorder="1" applyAlignment="1">
      <alignment horizontal="center" vertical="center"/>
    </xf>
    <xf numFmtId="16" fontId="130" fillId="10" borderId="3" xfId="0" applyNumberFormat="1" applyFont="1" applyFill="1" applyBorder="1" applyAlignment="1">
      <alignment horizontal="center" vertical="center" wrapText="1"/>
    </xf>
    <xf numFmtId="0" fontId="130" fillId="10" borderId="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wrapText="1"/>
    </xf>
    <xf numFmtId="0" fontId="130" fillId="3" borderId="3" xfId="0" applyFont="1" applyFill="1" applyBorder="1" applyAlignment="1">
      <alignment horizontal="center" vertical="center" wrapText="1"/>
    </xf>
    <xf numFmtId="0" fontId="130" fillId="21" borderId="3" xfId="0" applyFont="1" applyFill="1" applyBorder="1" applyAlignment="1">
      <alignment horizontal="center" vertical="center" wrapText="1"/>
    </xf>
    <xf numFmtId="0" fontId="61" fillId="10" borderId="3" xfId="0" applyFont="1" applyFill="1" applyBorder="1" applyAlignment="1">
      <alignment horizontal="center" vertical="center" wrapText="1"/>
    </xf>
    <xf numFmtId="0" fontId="131" fillId="10" borderId="3" xfId="0" applyFont="1" applyFill="1" applyBorder="1" applyAlignment="1">
      <alignment horizontal="center" vertical="center" wrapText="1"/>
    </xf>
    <xf numFmtId="18" fontId="130" fillId="10" borderId="3" xfId="0" applyNumberFormat="1" applyFont="1" applyFill="1" applyBorder="1" applyAlignment="1">
      <alignment horizontal="center" vertical="center" wrapText="1"/>
    </xf>
    <xf numFmtId="0" fontId="132" fillId="10" borderId="3" xfId="0" applyFont="1" applyFill="1" applyBorder="1" applyAlignment="1">
      <alignment horizontal="center" vertical="center" wrapText="1"/>
    </xf>
    <xf numFmtId="0" fontId="126" fillId="13" borderId="2" xfId="0" applyFont="1" applyFill="1" applyBorder="1" applyAlignment="1">
      <alignment horizontal="center" vertical="center" wrapText="1"/>
    </xf>
    <xf numFmtId="0" fontId="127" fillId="2" borderId="86" xfId="0" applyFont="1" applyFill="1" applyBorder="1" applyAlignment="1">
      <alignment horizontal="center" vertical="center" wrapText="1"/>
    </xf>
    <xf numFmtId="0" fontId="127" fillId="2" borderId="81" xfId="0" applyFont="1" applyFill="1" applyBorder="1" applyAlignment="1">
      <alignment horizontal="center" vertical="center" wrapText="1"/>
    </xf>
    <xf numFmtId="0" fontId="127" fillId="2" borderId="85" xfId="0" applyFont="1" applyFill="1" applyBorder="1" applyAlignment="1">
      <alignment horizontal="center" vertical="center" wrapText="1"/>
    </xf>
    <xf numFmtId="0" fontId="124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36" fillId="13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28" xfId="0" applyFont="1" applyFill="1" applyBorder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13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1" fontId="14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/>
      <protection locked="0"/>
    </xf>
    <xf numFmtId="0" fontId="2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right"/>
    </xf>
    <xf numFmtId="0" fontId="19" fillId="7" borderId="28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10" fillId="5" borderId="12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1" fontId="14" fillId="2" borderId="15" xfId="0" applyNumberFormat="1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71" fillId="2" borderId="0" xfId="0" applyFont="1" applyFill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3" fillId="2" borderId="8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74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16" fontId="2" fillId="12" borderId="55" xfId="0" applyNumberFormat="1" applyFont="1" applyFill="1" applyBorder="1" applyAlignment="1">
      <alignment horizontal="center" vertical="center"/>
    </xf>
    <xf numFmtId="16" fontId="2" fillId="12" borderId="58" xfId="0" applyNumberFormat="1" applyFont="1" applyFill="1" applyBorder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164" fontId="2" fillId="12" borderId="57" xfId="0" applyNumberFormat="1" applyFont="1" applyFill="1" applyBorder="1" applyAlignment="1">
      <alignment horizontal="center" vertical="center"/>
    </xf>
    <xf numFmtId="164" fontId="2" fillId="12" borderId="60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2" borderId="61" xfId="0" applyNumberFormat="1" applyFont="1" applyFill="1" applyBorder="1" applyAlignment="1">
      <alignment horizontal="center" vertical="center"/>
    </xf>
    <xf numFmtId="16" fontId="2" fillId="12" borderId="64" xfId="0" applyNumberFormat="1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horizontal="center" vertical="center"/>
    </xf>
    <xf numFmtId="0" fontId="2" fillId="12" borderId="65" xfId="0" applyFont="1" applyFill="1" applyBorder="1" applyAlignment="1">
      <alignment horizontal="center" vertical="center"/>
    </xf>
    <xf numFmtId="164" fontId="2" fillId="12" borderId="63" xfId="0" applyNumberFormat="1" applyFont="1" applyFill="1" applyBorder="1" applyAlignment="1">
      <alignment horizontal="center" vertical="center"/>
    </xf>
    <xf numFmtId="164" fontId="2" fillId="12" borderId="6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7" fillId="6" borderId="0" xfId="0" applyFont="1" applyFill="1" applyAlignment="1" applyProtection="1">
      <alignment horizontal="center" vertical="center"/>
      <protection locked="0"/>
    </xf>
    <xf numFmtId="0" fontId="54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16" fontId="27" fillId="11" borderId="13" xfId="0" applyNumberFormat="1" applyFont="1" applyFill="1" applyBorder="1" applyAlignment="1" applyProtection="1">
      <alignment horizontal="center" vertical="center"/>
      <protection locked="0"/>
    </xf>
    <xf numFmtId="164" fontId="27" fillId="11" borderId="0" xfId="0" applyNumberFormat="1" applyFont="1" applyFill="1" applyAlignment="1">
      <alignment horizontal="center" vertical="center"/>
    </xf>
    <xf numFmtId="164" fontId="2" fillId="12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7" fillId="6" borderId="13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9" fillId="7" borderId="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117" fillId="2" borderId="0" xfId="0" applyFont="1" applyFill="1" applyAlignment="1">
      <alignment horizontal="center"/>
    </xf>
    <xf numFmtId="0" fontId="123" fillId="2" borderId="0" xfId="0" applyFont="1" applyFill="1" applyAlignment="1">
      <alignment horizontal="center"/>
    </xf>
    <xf numFmtId="0" fontId="45" fillId="8" borderId="22" xfId="0" applyFont="1" applyFill="1" applyBorder="1" applyAlignment="1">
      <alignment horizontal="center" vertical="center" wrapText="1"/>
    </xf>
    <xf numFmtId="0" fontId="45" fillId="8" borderId="23" xfId="0" applyFont="1" applyFill="1" applyBorder="1" applyAlignment="1">
      <alignment horizontal="center" vertical="center" wrapText="1"/>
    </xf>
    <xf numFmtId="0" fontId="45" fillId="8" borderId="24" xfId="0" applyFont="1" applyFill="1" applyBorder="1" applyAlignment="1">
      <alignment horizontal="center" vertical="center" wrapText="1"/>
    </xf>
    <xf numFmtId="0" fontId="45" fillId="8" borderId="25" xfId="0" applyFont="1" applyFill="1" applyBorder="1" applyAlignment="1">
      <alignment horizontal="center" vertical="center" wrapText="1"/>
    </xf>
    <xf numFmtId="0" fontId="45" fillId="8" borderId="26" xfId="0" applyFont="1" applyFill="1" applyBorder="1" applyAlignment="1">
      <alignment horizontal="center" vertical="center" wrapText="1"/>
    </xf>
    <xf numFmtId="0" fontId="45" fillId="8" borderId="27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16" fontId="27" fillId="6" borderId="28" xfId="0" applyNumberFormat="1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left"/>
    </xf>
    <xf numFmtId="0" fontId="33" fillId="9" borderId="0" xfId="0" applyFont="1" applyFill="1" applyAlignment="1">
      <alignment horizontal="center" vertical="center"/>
    </xf>
    <xf numFmtId="0" fontId="118" fillId="2" borderId="0" xfId="0" applyFont="1" applyFill="1" applyAlignment="1">
      <alignment horizontal="center" vertical="center"/>
    </xf>
    <xf numFmtId="0" fontId="120" fillId="2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18" fillId="2" borderId="0" xfId="1" applyFill="1" applyAlignment="1">
      <alignment horizontal="center" vertical="center"/>
    </xf>
    <xf numFmtId="0" fontId="78" fillId="2" borderId="0" xfId="0" applyFont="1" applyFill="1" applyAlignment="1">
      <alignment horizontal="center" vertical="center" wrapText="1"/>
    </xf>
    <xf numFmtId="16" fontId="85" fillId="2" borderId="0" xfId="0" applyNumberFormat="1" applyFont="1" applyFill="1" applyAlignment="1">
      <alignment horizontal="center" vertical="center"/>
    </xf>
    <xf numFmtId="0" fontId="85" fillId="2" borderId="0" xfId="0" applyFont="1" applyFill="1" applyAlignment="1">
      <alignment horizontal="center" vertical="center"/>
    </xf>
    <xf numFmtId="0" fontId="85" fillId="2" borderId="8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86" fillId="2" borderId="8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84" fillId="2" borderId="8" xfId="0" applyFont="1" applyFill="1" applyBorder="1" applyAlignment="1">
      <alignment horizontal="center" vertical="center"/>
    </xf>
    <xf numFmtId="0" fontId="64" fillId="2" borderId="0" xfId="0" applyFont="1" applyFill="1" applyAlignment="1">
      <alignment horizontal="right" vertical="center"/>
    </xf>
    <xf numFmtId="0" fontId="83" fillId="2" borderId="0" xfId="0" applyFont="1" applyFill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51" fillId="2" borderId="32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59" fillId="3" borderId="28" xfId="0" applyFont="1" applyFill="1" applyBorder="1" applyAlignment="1">
      <alignment horizontal="center" vertical="center" wrapText="1"/>
    </xf>
    <xf numFmtId="0" fontId="59" fillId="4" borderId="28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/>
    </xf>
    <xf numFmtId="0" fontId="51" fillId="2" borderId="33" xfId="0" applyFont="1" applyFill="1" applyBorder="1" applyAlignment="1">
      <alignment horizontal="center" vertical="center"/>
    </xf>
    <xf numFmtId="0" fontId="52" fillId="2" borderId="40" xfId="0" applyFont="1" applyFill="1" applyBorder="1" applyAlignment="1">
      <alignment horizontal="left" vertical="center" wrapText="1"/>
    </xf>
    <xf numFmtId="0" fontId="52" fillId="2" borderId="51" xfId="0" applyFont="1" applyFill="1" applyBorder="1" applyAlignment="1">
      <alignment horizontal="left" vertical="center" wrapText="1"/>
    </xf>
    <xf numFmtId="0" fontId="52" fillId="2" borderId="32" xfId="0" applyFont="1" applyFill="1" applyBorder="1" applyAlignment="1">
      <alignment horizontal="left" vertical="center" wrapText="1"/>
    </xf>
    <xf numFmtId="0" fontId="52" fillId="2" borderId="52" xfId="0" applyFont="1" applyFill="1" applyBorder="1" applyAlignment="1">
      <alignment horizontal="left" vertical="center" wrapText="1"/>
    </xf>
    <xf numFmtId="0" fontId="90" fillId="2" borderId="0" xfId="0" applyFont="1" applyFill="1" applyAlignment="1">
      <alignment horizontal="center"/>
    </xf>
    <xf numFmtId="0" fontId="90" fillId="2" borderId="38" xfId="0" applyFont="1" applyFill="1" applyBorder="1" applyAlignment="1">
      <alignment horizontal="center"/>
    </xf>
    <xf numFmtId="0" fontId="90" fillId="2" borderId="39" xfId="0" applyFont="1" applyFill="1" applyBorder="1" applyAlignment="1">
      <alignment horizontal="center"/>
    </xf>
    <xf numFmtId="0" fontId="90" fillId="2" borderId="37" xfId="0" applyFont="1" applyFill="1" applyBorder="1" applyAlignment="1">
      <alignment horizontal="center"/>
    </xf>
    <xf numFmtId="0" fontId="51" fillId="2" borderId="35" xfId="0" applyFont="1" applyFill="1" applyBorder="1" applyAlignment="1">
      <alignment horizontal="center" vertical="center"/>
    </xf>
    <xf numFmtId="0" fontId="52" fillId="2" borderId="29" xfId="0" applyFont="1" applyFill="1" applyBorder="1" applyAlignment="1">
      <alignment horizontal="left" vertical="center" wrapText="1"/>
    </xf>
    <xf numFmtId="0" fontId="52" fillId="2" borderId="53" xfId="0" applyFont="1" applyFill="1" applyBorder="1" applyAlignment="1">
      <alignment horizontal="left" vertical="center" wrapText="1"/>
    </xf>
    <xf numFmtId="0" fontId="52" fillId="2" borderId="34" xfId="0" applyFont="1" applyFill="1" applyBorder="1" applyAlignment="1">
      <alignment horizontal="left" vertical="center" wrapText="1"/>
    </xf>
    <xf numFmtId="0" fontId="52" fillId="2" borderId="54" xfId="0" applyFont="1" applyFill="1" applyBorder="1" applyAlignment="1">
      <alignment horizontal="left" vertical="center" wrapText="1"/>
    </xf>
    <xf numFmtId="0" fontId="51" fillId="2" borderId="34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29" xfId="0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/>
    </xf>
    <xf numFmtId="0" fontId="88" fillId="2" borderId="38" xfId="0" applyFont="1" applyFill="1" applyBorder="1" applyAlignment="1">
      <alignment horizontal="center"/>
    </xf>
    <xf numFmtId="0" fontId="88" fillId="2" borderId="39" xfId="0" applyFont="1" applyFill="1" applyBorder="1" applyAlignment="1">
      <alignment horizontal="center"/>
    </xf>
    <xf numFmtId="0" fontId="88" fillId="2" borderId="37" xfId="0" applyFont="1" applyFill="1" applyBorder="1" applyAlignment="1">
      <alignment horizontal="center"/>
    </xf>
    <xf numFmtId="0" fontId="52" fillId="2" borderId="3" xfId="0" applyFont="1" applyFill="1" applyBorder="1" applyAlignment="1">
      <alignment horizontal="left" vertical="center" wrapText="1"/>
    </xf>
    <xf numFmtId="0" fontId="51" fillId="2" borderId="31" xfId="0" applyFont="1" applyFill="1" applyBorder="1" applyAlignment="1">
      <alignment horizontal="center" vertical="center"/>
    </xf>
    <xf numFmtId="0" fontId="51" fillId="2" borderId="36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51" fillId="2" borderId="44" xfId="0" applyFont="1" applyFill="1" applyBorder="1" applyAlignment="1">
      <alignment horizontal="center" vertical="center"/>
    </xf>
    <xf numFmtId="0" fontId="51" fillId="2" borderId="45" xfId="0" applyFont="1" applyFill="1" applyBorder="1" applyAlignment="1">
      <alignment horizontal="center" vertical="center"/>
    </xf>
    <xf numFmtId="0" fontId="52" fillId="2" borderId="30" xfId="0" applyFont="1" applyFill="1" applyBorder="1" applyAlignment="1">
      <alignment horizontal="left" vertical="center" wrapText="1"/>
    </xf>
    <xf numFmtId="0" fontId="89" fillId="2" borderId="0" xfId="0" applyFont="1" applyFill="1" applyAlignment="1">
      <alignment horizontal="center"/>
    </xf>
    <xf numFmtId="0" fontId="89" fillId="2" borderId="38" xfId="0" applyFont="1" applyFill="1" applyBorder="1" applyAlignment="1">
      <alignment horizontal="center"/>
    </xf>
    <xf numFmtId="0" fontId="89" fillId="2" borderId="39" xfId="0" applyFont="1" applyFill="1" applyBorder="1" applyAlignment="1">
      <alignment horizontal="center"/>
    </xf>
    <xf numFmtId="0" fontId="89" fillId="2" borderId="37" xfId="0" applyFont="1" applyFill="1" applyBorder="1" applyAlignment="1">
      <alignment horizontal="center"/>
    </xf>
    <xf numFmtId="0" fontId="51" fillId="2" borderId="49" xfId="0" applyFont="1" applyFill="1" applyBorder="1" applyAlignment="1">
      <alignment horizontal="center" vertical="center"/>
    </xf>
    <xf numFmtId="0" fontId="51" fillId="2" borderId="50" xfId="0" applyFont="1" applyFill="1" applyBorder="1" applyAlignment="1">
      <alignment horizontal="center" vertical="center"/>
    </xf>
    <xf numFmtId="0" fontId="51" fillId="2" borderId="47" xfId="0" applyFont="1" applyFill="1" applyBorder="1" applyAlignment="1">
      <alignment horizontal="center" vertical="center"/>
    </xf>
    <xf numFmtId="0" fontId="51" fillId="2" borderId="48" xfId="0" applyFont="1" applyFill="1" applyBorder="1" applyAlignment="1">
      <alignment horizontal="center" vertical="center"/>
    </xf>
    <xf numFmtId="0" fontId="87" fillId="2" borderId="0" xfId="0" applyFont="1" applyFill="1" applyAlignment="1">
      <alignment horizontal="center"/>
    </xf>
    <xf numFmtId="0" fontId="87" fillId="2" borderId="39" xfId="0" applyFont="1" applyFill="1" applyBorder="1" applyAlignment="1">
      <alignment horizontal="center"/>
    </xf>
    <xf numFmtId="0" fontId="52" fillId="2" borderId="35" xfId="0" applyFont="1" applyFill="1" applyBorder="1" applyAlignment="1">
      <alignment horizontal="left" vertical="center" wrapText="1"/>
    </xf>
    <xf numFmtId="0" fontId="59" fillId="8" borderId="12" xfId="0" applyFont="1" applyFill="1" applyBorder="1" applyAlignment="1" applyProtection="1">
      <alignment horizontal="center" vertical="center"/>
      <protection locked="0"/>
    </xf>
    <xf numFmtId="0" fontId="59" fillId="8" borderId="14" xfId="0" applyFont="1" applyFill="1" applyBorder="1" applyAlignment="1" applyProtection="1">
      <alignment horizontal="center" vertical="center"/>
      <protection locked="0"/>
    </xf>
    <xf numFmtId="0" fontId="51" fillId="6" borderId="0" xfId="0" applyFont="1" applyFill="1" applyAlignment="1">
      <alignment horizontal="center"/>
    </xf>
    <xf numFmtId="0" fontId="59" fillId="10" borderId="0" xfId="0" applyFont="1" applyFill="1" applyAlignment="1">
      <alignment horizontal="center" vertical="center" wrapText="1"/>
    </xf>
    <xf numFmtId="0" fontId="60" fillId="6" borderId="13" xfId="0" applyFont="1" applyFill="1" applyBorder="1" applyAlignment="1" applyProtection="1">
      <alignment horizontal="center" vertical="center"/>
      <protection locked="0"/>
    </xf>
    <xf numFmtId="0" fontId="59" fillId="5" borderId="0" xfId="0" applyFont="1" applyFill="1" applyAlignment="1">
      <alignment horizontal="center" vertical="center" wrapText="1"/>
    </xf>
    <xf numFmtId="16" fontId="58" fillId="6" borderId="13" xfId="0" applyNumberFormat="1" applyFont="1" applyFill="1" applyBorder="1" applyAlignment="1" applyProtection="1">
      <alignment horizontal="center" vertical="center"/>
      <protection locked="0"/>
    </xf>
    <xf numFmtId="16" fontId="58" fillId="6" borderId="0" xfId="0" applyNumberFormat="1" applyFont="1" applyFill="1" applyAlignment="1" applyProtection="1">
      <alignment horizontal="center" vertical="center"/>
      <protection locked="0"/>
    </xf>
    <xf numFmtId="0" fontId="51" fillId="10" borderId="0" xfId="0" applyFont="1" applyFill="1" applyAlignment="1">
      <alignment horizontal="center"/>
    </xf>
    <xf numFmtId="0" fontId="51" fillId="6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16" fontId="58" fillId="6" borderId="28" xfId="0" applyNumberFormat="1" applyFont="1" applyFill="1" applyBorder="1" applyAlignment="1" applyProtection="1">
      <alignment horizontal="center" vertical="center"/>
      <protection locked="0"/>
    </xf>
    <xf numFmtId="164" fontId="58" fillId="6" borderId="0" xfId="0" applyNumberFormat="1" applyFont="1" applyFill="1" applyAlignment="1" applyProtection="1">
      <alignment horizontal="center" vertical="center"/>
      <protection locked="0"/>
    </xf>
    <xf numFmtId="0" fontId="59" fillId="6" borderId="0" xfId="0" applyFont="1" applyFill="1" applyAlignment="1">
      <alignment horizontal="center" vertical="center" wrapText="1"/>
    </xf>
    <xf numFmtId="0" fontId="51" fillId="6" borderId="13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left"/>
    </xf>
    <xf numFmtId="0" fontId="2" fillId="2" borderId="68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95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/>
    </xf>
    <xf numFmtId="0" fontId="97" fillId="2" borderId="0" xfId="0" applyFont="1" applyFill="1" applyAlignment="1">
      <alignment horizontal="center" vertical="center"/>
    </xf>
    <xf numFmtId="0" fontId="10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9" fillId="14" borderId="52" xfId="0" applyFont="1" applyFill="1" applyBorder="1" applyAlignment="1">
      <alignment horizontal="center" vertical="center"/>
    </xf>
    <xf numFmtId="0" fontId="59" fillId="14" borderId="72" xfId="0" applyFont="1" applyFill="1" applyBorder="1" applyAlignment="1">
      <alignment horizontal="center" vertical="center"/>
    </xf>
    <xf numFmtId="0" fontId="59" fillId="14" borderId="73" xfId="0" applyFont="1" applyFill="1" applyBorder="1" applyAlignment="1">
      <alignment horizontal="center" vertical="center"/>
    </xf>
    <xf numFmtId="0" fontId="105" fillId="2" borderId="0" xfId="0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9" fillId="13" borderId="52" xfId="0" applyFont="1" applyFill="1" applyBorder="1" applyAlignment="1">
      <alignment horizontal="center" vertical="center"/>
    </xf>
    <xf numFmtId="0" fontId="59" fillId="13" borderId="72" xfId="0" applyFont="1" applyFill="1" applyBorder="1" applyAlignment="1">
      <alignment horizontal="center" vertical="center"/>
    </xf>
    <xf numFmtId="0" fontId="59" fillId="13" borderId="73" xfId="0" applyFont="1" applyFill="1" applyBorder="1" applyAlignment="1">
      <alignment horizontal="center" vertical="center"/>
    </xf>
    <xf numFmtId="0" fontId="57" fillId="16" borderId="52" xfId="0" applyFont="1" applyFill="1" applyBorder="1" applyAlignment="1">
      <alignment horizontal="center" vertical="center"/>
    </xf>
    <xf numFmtId="0" fontId="57" fillId="16" borderId="72" xfId="0" applyFont="1" applyFill="1" applyBorder="1" applyAlignment="1">
      <alignment horizontal="center" vertical="center"/>
    </xf>
    <xf numFmtId="0" fontId="57" fillId="16" borderId="73" xfId="0" applyFont="1" applyFill="1" applyBorder="1" applyAlignment="1">
      <alignment horizontal="center" vertical="center"/>
    </xf>
    <xf numFmtId="0" fontId="57" fillId="3" borderId="52" xfId="0" applyFont="1" applyFill="1" applyBorder="1" applyAlignment="1">
      <alignment horizontal="center" vertical="center"/>
    </xf>
    <xf numFmtId="0" fontId="57" fillId="3" borderId="72" xfId="0" applyFont="1" applyFill="1" applyBorder="1" applyAlignment="1">
      <alignment horizontal="center" vertical="center"/>
    </xf>
    <xf numFmtId="0" fontId="57" fillId="3" borderId="73" xfId="0" applyFont="1" applyFill="1" applyBorder="1" applyAlignment="1">
      <alignment horizontal="center" vertical="center"/>
    </xf>
    <xf numFmtId="0" fontId="112" fillId="17" borderId="52" xfId="0" applyFont="1" applyFill="1" applyBorder="1" applyAlignment="1">
      <alignment horizontal="center" vertical="center"/>
    </xf>
    <xf numFmtId="0" fontId="112" fillId="17" borderId="72" xfId="0" applyFont="1" applyFill="1" applyBorder="1" applyAlignment="1">
      <alignment horizontal="center" vertical="center"/>
    </xf>
    <xf numFmtId="0" fontId="112" fillId="17" borderId="73" xfId="0" applyFont="1" applyFill="1" applyBorder="1" applyAlignment="1">
      <alignment horizontal="center" vertical="center"/>
    </xf>
    <xf numFmtId="0" fontId="57" fillId="13" borderId="52" xfId="0" applyFont="1" applyFill="1" applyBorder="1" applyAlignment="1">
      <alignment horizontal="center" vertical="center"/>
    </xf>
    <xf numFmtId="0" fontId="57" fillId="13" borderId="72" xfId="0" applyFont="1" applyFill="1" applyBorder="1" applyAlignment="1">
      <alignment horizontal="center" vertical="center"/>
    </xf>
    <xf numFmtId="0" fontId="57" fillId="13" borderId="73" xfId="0" applyFont="1" applyFill="1" applyBorder="1" applyAlignment="1">
      <alignment horizontal="center" vertical="center"/>
    </xf>
    <xf numFmtId="0" fontId="108" fillId="2" borderId="78" xfId="0" applyFont="1" applyFill="1" applyBorder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10" fillId="20" borderId="52" xfId="0" applyFont="1" applyFill="1" applyBorder="1" applyAlignment="1">
      <alignment horizontal="center" vertical="center"/>
    </xf>
    <xf numFmtId="0" fontId="110" fillId="20" borderId="72" xfId="0" applyFont="1" applyFill="1" applyBorder="1" applyAlignment="1">
      <alignment horizontal="center" vertical="center"/>
    </xf>
    <xf numFmtId="0" fontId="110" fillId="20" borderId="73" xfId="0" applyFont="1" applyFill="1" applyBorder="1" applyAlignment="1">
      <alignment horizontal="center" vertical="center"/>
    </xf>
    <xf numFmtId="0" fontId="111" fillId="19" borderId="52" xfId="0" applyFont="1" applyFill="1" applyBorder="1" applyAlignment="1">
      <alignment horizontal="center" vertical="center"/>
    </xf>
    <xf numFmtId="0" fontId="111" fillId="19" borderId="72" xfId="0" applyFont="1" applyFill="1" applyBorder="1" applyAlignment="1">
      <alignment horizontal="center" vertical="center"/>
    </xf>
    <xf numFmtId="0" fontId="111" fillId="19" borderId="73" xfId="0" applyFont="1" applyFill="1" applyBorder="1" applyAlignment="1">
      <alignment horizontal="center" vertical="center"/>
    </xf>
    <xf numFmtId="0" fontId="109" fillId="18" borderId="52" xfId="0" applyFont="1" applyFill="1" applyBorder="1" applyAlignment="1">
      <alignment horizontal="center" vertical="center"/>
    </xf>
    <xf numFmtId="0" fontId="109" fillId="18" borderId="72" xfId="0" applyFont="1" applyFill="1" applyBorder="1" applyAlignment="1">
      <alignment horizontal="center" vertical="center"/>
    </xf>
    <xf numFmtId="0" fontId="109" fillId="18" borderId="73" xfId="0" applyFont="1" applyFill="1" applyBorder="1" applyAlignment="1">
      <alignment horizontal="center" vertical="center"/>
    </xf>
    <xf numFmtId="0" fontId="135" fillId="15" borderId="3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/>
    </xf>
    <xf numFmtId="0" fontId="133" fillId="2" borderId="0" xfId="0" applyFont="1" applyFill="1" applyAlignment="1">
      <alignment horizontal="center" vertical="center"/>
    </xf>
    <xf numFmtId="0" fontId="119" fillId="2" borderId="0" xfId="0" applyFont="1" applyFill="1" applyAlignment="1">
      <alignment horizontal="center" vertical="center"/>
    </xf>
    <xf numFmtId="0" fontId="134" fillId="13" borderId="0" xfId="0" applyFont="1" applyFill="1" applyAlignment="1">
      <alignment horizontal="center" vertical="center"/>
    </xf>
    <xf numFmtId="0" fontId="129" fillId="2" borderId="0" xfId="0" applyFont="1" applyFill="1" applyAlignment="1">
      <alignment horizontal="center" vertical="center"/>
    </xf>
    <xf numFmtId="0" fontId="122" fillId="2" borderId="0" xfId="0" applyFont="1" applyFill="1" applyAlignment="1">
      <alignment horizontal="center" vertical="center"/>
    </xf>
    <xf numFmtId="0" fontId="107" fillId="2" borderId="0" xfId="0" applyFont="1" applyFill="1" applyAlignment="1">
      <alignment horizontal="center" vertical="center"/>
    </xf>
    <xf numFmtId="0" fontId="135" fillId="4" borderId="3" xfId="0" applyFont="1" applyFill="1" applyBorder="1" applyAlignment="1">
      <alignment horizontal="center" vertical="center"/>
    </xf>
    <xf numFmtId="0" fontId="135" fillId="24" borderId="3" xfId="0" applyFont="1" applyFill="1" applyBorder="1" applyAlignment="1">
      <alignment horizontal="center" vertical="center" wrapText="1"/>
    </xf>
    <xf numFmtId="0" fontId="135" fillId="13" borderId="52" xfId="0" applyFont="1" applyFill="1" applyBorder="1" applyAlignment="1">
      <alignment horizontal="center" vertical="center" wrapText="1"/>
    </xf>
    <xf numFmtId="0" fontId="135" fillId="13" borderId="72" xfId="0" applyFont="1" applyFill="1" applyBorder="1" applyAlignment="1">
      <alignment horizontal="center" vertical="center" wrapText="1"/>
    </xf>
    <xf numFmtId="0" fontId="135" fillId="13" borderId="73" xfId="0" applyFont="1" applyFill="1" applyBorder="1" applyAlignment="1">
      <alignment horizontal="center" vertical="center" wrapText="1"/>
    </xf>
    <xf numFmtId="0" fontId="2" fillId="23" borderId="68" xfId="0" applyFont="1" applyFill="1" applyBorder="1" applyAlignment="1">
      <alignment horizontal="center"/>
    </xf>
    <xf numFmtId="0" fontId="2" fillId="23" borderId="69" xfId="0" applyFont="1" applyFill="1" applyBorder="1" applyAlignment="1">
      <alignment horizontal="center"/>
    </xf>
    <xf numFmtId="0" fontId="2" fillId="23" borderId="71" xfId="0" applyFont="1" applyFill="1" applyBorder="1" applyAlignment="1">
      <alignment horizontal="center"/>
    </xf>
    <xf numFmtId="0" fontId="115" fillId="2" borderId="0" xfId="0" applyFont="1" applyFill="1" applyAlignment="1">
      <alignment horizontal="center" vertical="center"/>
    </xf>
    <xf numFmtId="0" fontId="114" fillId="2" borderId="0" xfId="0" applyFont="1" applyFill="1" applyAlignment="1">
      <alignment horizontal="center" vertical="center"/>
    </xf>
    <xf numFmtId="0" fontId="2" fillId="4" borderId="68" xfId="0" applyFont="1" applyFill="1" applyBorder="1" applyAlignment="1">
      <alignment horizontal="center"/>
    </xf>
    <xf numFmtId="0" fontId="2" fillId="4" borderId="69" xfId="0" applyFont="1" applyFill="1" applyBorder="1" applyAlignment="1">
      <alignment horizontal="center"/>
    </xf>
    <xf numFmtId="0" fontId="2" fillId="4" borderId="71" xfId="0" applyFont="1" applyFill="1" applyBorder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06" fillId="2" borderId="0" xfId="0" applyFont="1" applyFill="1" applyAlignment="1">
      <alignment horizontal="center" vertical="center"/>
    </xf>
    <xf numFmtId="0" fontId="59" fillId="14" borderId="3" xfId="0" applyFont="1" applyFill="1" applyBorder="1" applyAlignment="1">
      <alignment horizontal="center" vertical="center"/>
    </xf>
    <xf numFmtId="0" fontId="59" fillId="13" borderId="52" xfId="0" applyFont="1" applyFill="1" applyBorder="1" applyAlignment="1">
      <alignment horizontal="center" vertical="center" wrapText="1"/>
    </xf>
    <xf numFmtId="0" fontId="59" fillId="13" borderId="72" xfId="0" applyFont="1" applyFill="1" applyBorder="1" applyAlignment="1">
      <alignment horizontal="center" vertical="center" wrapText="1"/>
    </xf>
    <xf numFmtId="0" fontId="59" fillId="13" borderId="7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9" fillId="15" borderId="3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 wrapText="1"/>
    </xf>
    <xf numFmtId="0" fontId="2" fillId="10" borderId="69" xfId="0" applyFont="1" applyFill="1" applyBorder="1" applyAlignment="1">
      <alignment horizontal="center" vertical="center" wrapText="1"/>
    </xf>
    <xf numFmtId="0" fontId="2" fillId="10" borderId="71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/>
    </xf>
    <xf numFmtId="0" fontId="2" fillId="10" borderId="71" xfId="0" applyFont="1" applyFill="1" applyBorder="1" applyAlignment="1">
      <alignment horizontal="center" vertical="center"/>
    </xf>
    <xf numFmtId="0" fontId="59" fillId="22" borderId="3" xfId="0" applyFont="1" applyFill="1" applyBorder="1" applyAlignment="1">
      <alignment horizontal="center" vertical="center" wrapText="1"/>
    </xf>
    <xf numFmtId="0" fontId="122" fillId="2" borderId="82" xfId="0" applyFont="1" applyFill="1" applyBorder="1" applyAlignment="1">
      <alignment horizontal="center" vertical="center" wrapText="1"/>
    </xf>
    <xf numFmtId="0" fontId="122" fillId="2" borderId="83" xfId="0" applyFont="1" applyFill="1" applyBorder="1" applyAlignment="1">
      <alignment horizontal="center" vertical="center" wrapText="1"/>
    </xf>
    <xf numFmtId="0" fontId="122" fillId="2" borderId="84" xfId="0" applyFont="1" applyFill="1" applyBorder="1" applyAlignment="1">
      <alignment horizontal="center" vertical="center" wrapText="1"/>
    </xf>
    <xf numFmtId="0" fontId="122" fillId="2" borderId="80" xfId="0" applyFont="1" applyFill="1" applyBorder="1" applyAlignment="1">
      <alignment horizontal="center" vertical="center" wrapText="1"/>
    </xf>
    <xf numFmtId="0" fontId="122" fillId="2" borderId="39" xfId="0" applyFont="1" applyFill="1" applyBorder="1" applyAlignment="1">
      <alignment horizontal="center" vertical="center" wrapText="1"/>
    </xf>
    <xf numFmtId="0" fontId="122" fillId="2" borderId="37" xfId="0" applyFont="1" applyFill="1" applyBorder="1" applyAlignment="1">
      <alignment horizontal="center" vertical="center" wrapText="1"/>
    </xf>
    <xf numFmtId="0" fontId="2" fillId="21" borderId="68" xfId="0" applyFont="1" applyFill="1" applyBorder="1" applyAlignment="1">
      <alignment horizontal="center" vertical="center" wrapText="1"/>
    </xf>
    <xf numFmtId="0" fontId="2" fillId="21" borderId="69" xfId="0" applyFont="1" applyFill="1" applyBorder="1" applyAlignment="1">
      <alignment horizontal="center" vertical="center" wrapText="1"/>
    </xf>
    <xf numFmtId="0" fontId="2" fillId="21" borderId="71" xfId="0" applyFont="1" applyFill="1" applyBorder="1" applyAlignment="1">
      <alignment horizontal="center" vertical="center" wrapText="1"/>
    </xf>
    <xf numFmtId="0" fontId="130" fillId="13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402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6600"/>
      <color rgb="FF0033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9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617220</xdr:colOff>
      <xdr:row>1</xdr:row>
      <xdr:rowOff>41655</xdr:rowOff>
    </xdr:from>
    <xdr:to>
      <xdr:col>2</xdr:col>
      <xdr:colOff>1635275</xdr:colOff>
      <xdr:row>4</xdr:row>
      <xdr:rowOff>30480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127760" y="613155"/>
          <a:ext cx="1018055" cy="1131825"/>
        </a:xfrm>
        <a:prstGeom prst="rect">
          <a:avLst/>
        </a:prstGeom>
      </xdr:spPr>
    </xdr:pic>
    <xdr:clientData/>
  </xdr:twoCellAnchor>
  <xdr:twoCellAnchor editAs="oneCell">
    <xdr:from>
      <xdr:col>8</xdr:col>
      <xdr:colOff>617689</xdr:colOff>
      <xdr:row>0</xdr:row>
      <xdr:rowOff>457201</xdr:rowOff>
    </xdr:from>
    <xdr:to>
      <xdr:col>8</xdr:col>
      <xdr:colOff>1855545</xdr:colOff>
      <xdr:row>5</xdr:row>
      <xdr:rowOff>60961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7666189" y="457201"/>
          <a:ext cx="1237856" cy="147828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9</xdr:row>
      <xdr:rowOff>76200</xdr:rowOff>
    </xdr:from>
    <xdr:to>
      <xdr:col>6</xdr:col>
      <xdr:colOff>1361497</xdr:colOff>
      <xdr:row>12</xdr:row>
      <xdr:rowOff>236220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1DB0C-2A0C-46C9-06D3-D51972F08D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098"/>
        <a:stretch/>
      </xdr:blipFill>
      <xdr:spPr>
        <a:xfrm>
          <a:off x="2476500" y="4564380"/>
          <a:ext cx="3777037" cy="1059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317517</xdr:colOff>
      <xdr:row>30</xdr:row>
      <xdr:rowOff>222307</xdr:rowOff>
    </xdr:from>
    <xdr:to>
      <xdr:col>23</xdr:col>
      <xdr:colOff>317514</xdr:colOff>
      <xdr:row>35</xdr:row>
      <xdr:rowOff>10640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34" y="4191057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317483</xdr:colOff>
      <xdr:row>30</xdr:row>
      <xdr:rowOff>211687</xdr:rowOff>
    </xdr:from>
    <xdr:to>
      <xdr:col>23</xdr:col>
      <xdr:colOff>317505</xdr:colOff>
      <xdr:row>35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0" y="4191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317492</xdr:colOff>
      <xdr:row>30</xdr:row>
      <xdr:rowOff>211670</xdr:rowOff>
    </xdr:from>
    <xdr:to>
      <xdr:col>23</xdr:col>
      <xdr:colOff>317514</xdr:colOff>
      <xdr:row>35</xdr:row>
      <xdr:rowOff>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9" y="4191003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1710270</xdr:colOff>
      <xdr:row>0</xdr:row>
      <xdr:rowOff>194734</xdr:rowOff>
    </xdr:from>
    <xdr:to>
      <xdr:col>13</xdr:col>
      <xdr:colOff>32213</xdr:colOff>
      <xdr:row>4</xdr:row>
      <xdr:rowOff>48479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0" y="194734"/>
          <a:ext cx="1386876" cy="14285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1710271</xdr:colOff>
      <xdr:row>0</xdr:row>
      <xdr:rowOff>194732</xdr:rowOff>
    </xdr:from>
    <xdr:to>
      <xdr:col>13</xdr:col>
      <xdr:colOff>32214</xdr:colOff>
      <xdr:row>4</xdr:row>
      <xdr:rowOff>48477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1" y="194732"/>
          <a:ext cx="1386876" cy="1428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50</xdr:row>
      <xdr:rowOff>133350</xdr:rowOff>
    </xdr:from>
    <xdr:to>
      <xdr:col>12</xdr:col>
      <xdr:colOff>1269904</xdr:colOff>
      <xdr:row>57</xdr:row>
      <xdr:rowOff>171450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67900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315712</xdr:colOff>
      <xdr:row>0</xdr:row>
      <xdr:rowOff>228599</xdr:rowOff>
    </xdr:from>
    <xdr:to>
      <xdr:col>3</xdr:col>
      <xdr:colOff>354399</xdr:colOff>
      <xdr:row>3</xdr:row>
      <xdr:rowOff>342719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66232" y="228599"/>
          <a:ext cx="1311227" cy="14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0</xdr:row>
      <xdr:rowOff>38100</xdr:rowOff>
    </xdr:from>
    <xdr:to>
      <xdr:col>17</xdr:col>
      <xdr:colOff>152400</xdr:colOff>
      <xdr:row>6</xdr:row>
      <xdr:rowOff>55220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8702040" y="38100"/>
          <a:ext cx="2049780" cy="2447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346711</xdr:colOff>
      <xdr:row>0</xdr:row>
      <xdr:rowOff>60960</xdr:rowOff>
    </xdr:from>
    <xdr:to>
      <xdr:col>3</xdr:col>
      <xdr:colOff>243752</xdr:colOff>
      <xdr:row>4</xdr:row>
      <xdr:rowOff>53160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7231" y="60960"/>
          <a:ext cx="1367701" cy="14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177801</xdr:colOff>
      <xdr:row>0</xdr:row>
      <xdr:rowOff>76200</xdr:rowOff>
    </xdr:from>
    <xdr:to>
      <xdr:col>16</xdr:col>
      <xdr:colOff>1761067</xdr:colOff>
      <xdr:row>6</xdr:row>
      <xdr:rowOff>77233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8441268" y="76200"/>
          <a:ext cx="1777999" cy="211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990600</xdr:colOff>
      <xdr:row>0</xdr:row>
      <xdr:rowOff>0</xdr:rowOff>
    </xdr:from>
    <xdr:to>
      <xdr:col>8</xdr:col>
      <xdr:colOff>952500</xdr:colOff>
      <xdr:row>4</xdr:row>
      <xdr:rowOff>25035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1001375" y="0"/>
          <a:ext cx="1609725" cy="188241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0</xdr:row>
      <xdr:rowOff>0</xdr:rowOff>
    </xdr:from>
    <xdr:to>
      <xdr:col>19</xdr:col>
      <xdr:colOff>9525</xdr:colOff>
      <xdr:row>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C4D390-3949-423C-99BA-7D66A9C57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7" b="66533"/>
        <a:stretch/>
      </xdr:blipFill>
      <xdr:spPr>
        <a:xfrm>
          <a:off x="13554075" y="0"/>
          <a:ext cx="6353175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190500</xdr:rowOff>
    </xdr:from>
    <xdr:to>
      <xdr:col>1</xdr:col>
      <xdr:colOff>1143000</xdr:colOff>
      <xdr:row>5</xdr:row>
      <xdr:rowOff>95617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C1636B-5C21-497A-B29A-386EBE9B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90500"/>
          <a:ext cx="1819275" cy="202919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307300" cy="146143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0</xdr:row>
      <xdr:rowOff>19050</xdr:rowOff>
    </xdr:from>
    <xdr:to>
      <xdr:col>8</xdr:col>
      <xdr:colOff>838200</xdr:colOff>
      <xdr:row>5</xdr:row>
      <xdr:rowOff>225060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7269480" y="19050"/>
          <a:ext cx="1607820" cy="188241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47624</xdr:colOff>
      <xdr:row>0</xdr:row>
      <xdr:rowOff>0</xdr:rowOff>
    </xdr:from>
    <xdr:to>
      <xdr:col>19</xdr:col>
      <xdr:colOff>314325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6" t="7821" r="4360" b="57175"/>
        <a:stretch/>
      </xdr:blipFill>
      <xdr:spPr>
        <a:xfrm>
          <a:off x="9008744" y="0"/>
          <a:ext cx="5105401" cy="1952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occermelgar@outlook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soccermelgar@outlook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N14"/>
  <sheetViews>
    <sheetView zoomScaleNormal="100" workbookViewId="0">
      <selection activeCell="C4" sqref="C4:I4"/>
    </sheetView>
  </sheetViews>
  <sheetFormatPr baseColWidth="10" defaultColWidth="11.44140625" defaultRowHeight="14.4" x14ac:dyDescent="0.3"/>
  <cols>
    <col min="1" max="1" width="3.88671875" style="3" customWidth="1"/>
    <col min="2" max="2" width="3.5546875" style="3" customWidth="1"/>
    <col min="3" max="3" width="28.5546875" style="3" customWidth="1"/>
    <col min="4" max="4" width="2.88671875" style="3" customWidth="1"/>
    <col min="5" max="5" width="29.5546875" style="3" customWidth="1"/>
    <col min="6" max="6" width="2.88671875" style="3" customWidth="1"/>
    <col min="7" max="7" width="28.5546875" style="3" customWidth="1"/>
    <col min="8" max="8" width="2.88671875" style="3" customWidth="1"/>
    <col min="9" max="9" width="28.5546875" style="3" customWidth="1"/>
    <col min="10" max="10" width="3.77734375" style="3" customWidth="1"/>
    <col min="11" max="11" width="12.44140625" style="3" bestFit="1" customWidth="1"/>
    <col min="12" max="12" width="15.6640625" style="3" customWidth="1"/>
    <col min="13" max="13" width="7.109375" style="3" customWidth="1"/>
    <col min="14" max="14" width="3.33203125" style="3" bestFit="1" customWidth="1"/>
    <col min="15" max="15" width="7.109375" style="3" customWidth="1"/>
    <col min="16" max="16" width="15.6640625" style="3" customWidth="1"/>
    <col min="17" max="17" width="13.6640625" style="3" customWidth="1"/>
    <col min="18" max="18" width="7.88671875" style="3" customWidth="1"/>
    <col min="19" max="19" width="8.6640625" style="3" customWidth="1"/>
    <col min="20" max="21" width="12.88671875" style="3" customWidth="1"/>
    <col min="22" max="22" width="17.88671875" style="3" bestFit="1" customWidth="1"/>
    <col min="23" max="23" width="3.33203125" style="3" bestFit="1" customWidth="1"/>
    <col min="24" max="24" width="17.88671875" style="3" customWidth="1"/>
    <col min="25" max="16384" width="11.44140625" style="3"/>
  </cols>
  <sheetData>
    <row r="1" spans="2:14" ht="45" customHeight="1" x14ac:dyDescent="0.3">
      <c r="B1" s="219"/>
      <c r="C1" s="276" t="s">
        <v>168</v>
      </c>
      <c r="D1" s="276"/>
      <c r="E1" s="276"/>
      <c r="F1" s="276"/>
      <c r="G1" s="276"/>
      <c r="H1" s="276"/>
      <c r="I1" s="276"/>
      <c r="K1" s="73"/>
      <c r="L1" s="73"/>
    </row>
    <row r="2" spans="2:14" ht="30" customHeight="1" x14ac:dyDescent="0.3">
      <c r="B2" s="220"/>
      <c r="C2" s="277" t="s">
        <v>155</v>
      </c>
      <c r="D2" s="277"/>
      <c r="E2" s="277"/>
      <c r="F2" s="277"/>
      <c r="G2" s="277"/>
      <c r="H2" s="277"/>
      <c r="I2" s="277"/>
      <c r="J2" s="73"/>
      <c r="K2" s="73"/>
      <c r="L2" s="73"/>
    </row>
    <row r="3" spans="2:14" ht="30" customHeight="1" x14ac:dyDescent="0.7">
      <c r="B3" s="221"/>
      <c r="C3" s="278" t="s">
        <v>181</v>
      </c>
      <c r="D3" s="278"/>
      <c r="E3" s="278"/>
      <c r="F3" s="278"/>
      <c r="G3" s="278"/>
      <c r="H3" s="278"/>
      <c r="I3" s="278"/>
      <c r="J3" s="73"/>
      <c r="K3" s="73"/>
      <c r="L3" s="73"/>
    </row>
    <row r="4" spans="2:14" ht="30" customHeight="1" x14ac:dyDescent="0.4">
      <c r="B4" s="222"/>
      <c r="C4" s="280" t="s">
        <v>169</v>
      </c>
      <c r="D4" s="280"/>
      <c r="E4" s="280"/>
      <c r="F4" s="280"/>
      <c r="G4" s="280"/>
      <c r="H4" s="280"/>
      <c r="I4" s="280"/>
      <c r="J4" s="73"/>
      <c r="K4" s="73"/>
      <c r="L4" s="73"/>
    </row>
    <row r="5" spans="2:14" ht="12.75" customHeight="1" thickBot="1" x14ac:dyDescent="0.4">
      <c r="C5" s="2"/>
      <c r="D5" s="2"/>
      <c r="E5" s="234" t="s">
        <v>117</v>
      </c>
      <c r="F5" s="2"/>
      <c r="G5" s="2"/>
      <c r="H5" s="2"/>
      <c r="I5" s="2"/>
      <c r="J5" s="2"/>
      <c r="K5" s="2"/>
    </row>
    <row r="6" spans="2:14" ht="25.8" thickTop="1" x14ac:dyDescent="0.45">
      <c r="C6" s="225" t="s">
        <v>0</v>
      </c>
      <c r="E6" s="226" t="s">
        <v>1</v>
      </c>
      <c r="F6" s="4"/>
      <c r="G6" s="227" t="s">
        <v>38</v>
      </c>
      <c r="H6" s="5"/>
      <c r="I6" s="228" t="s">
        <v>39</v>
      </c>
    </row>
    <row r="7" spans="2:14" ht="60" customHeight="1" x14ac:dyDescent="0.4">
      <c r="C7" s="238" t="s">
        <v>166</v>
      </c>
      <c r="D7" s="201"/>
      <c r="E7" s="238" t="s">
        <v>159</v>
      </c>
      <c r="F7" s="199"/>
      <c r="G7" s="200" t="s">
        <v>161</v>
      </c>
      <c r="H7" s="199"/>
      <c r="I7" s="238" t="s">
        <v>170</v>
      </c>
      <c r="K7" s="73"/>
      <c r="L7" s="73"/>
      <c r="M7" s="73"/>
      <c r="N7" s="73"/>
    </row>
    <row r="8" spans="2:14" ht="60" customHeight="1" x14ac:dyDescent="0.4">
      <c r="B8" s="239"/>
      <c r="C8" s="238" t="s">
        <v>165</v>
      </c>
      <c r="D8" s="201"/>
      <c r="E8" s="238" t="s">
        <v>158</v>
      </c>
      <c r="F8" s="199"/>
      <c r="G8" s="238" t="s">
        <v>163</v>
      </c>
      <c r="H8" s="199"/>
      <c r="I8" s="238" t="s">
        <v>162</v>
      </c>
      <c r="J8" s="74"/>
      <c r="K8" s="73"/>
      <c r="L8" s="73"/>
      <c r="M8" s="73"/>
      <c r="N8" s="73"/>
    </row>
    <row r="9" spans="2:14" ht="60" customHeight="1" x14ac:dyDescent="0.4">
      <c r="C9" s="238" t="s">
        <v>167</v>
      </c>
      <c r="D9" s="201"/>
      <c r="E9" s="238" t="s">
        <v>160</v>
      </c>
      <c r="F9" s="240"/>
      <c r="G9" s="119" t="s">
        <v>164</v>
      </c>
      <c r="H9" s="199"/>
      <c r="I9" s="272" t="s">
        <v>178</v>
      </c>
      <c r="K9" s="73"/>
      <c r="L9" s="73"/>
      <c r="M9" s="73"/>
      <c r="N9" s="73"/>
    </row>
    <row r="10" spans="2:14" ht="11.4" customHeight="1" thickBot="1" x14ac:dyDescent="1.1000000000000001">
      <c r="C10" s="279"/>
      <c r="D10" s="279"/>
      <c r="E10" s="279"/>
      <c r="F10" s="233"/>
      <c r="G10" s="233"/>
      <c r="H10" s="199"/>
      <c r="I10" s="224"/>
      <c r="K10" s="73"/>
      <c r="L10" s="73"/>
      <c r="M10" s="73"/>
      <c r="N10" s="73"/>
    </row>
    <row r="11" spans="2:14" ht="12.6" customHeight="1" x14ac:dyDescent="0.35">
      <c r="C11" s="2"/>
      <c r="D11" s="1"/>
      <c r="E11" s="1"/>
      <c r="G11" s="1"/>
      <c r="H11" s="2"/>
      <c r="I11" s="273">
        <v>2024</v>
      </c>
      <c r="J11" s="2"/>
      <c r="K11" s="2"/>
      <c r="L11" s="1"/>
      <c r="M11" s="1"/>
    </row>
    <row r="12" spans="2:14" ht="47.25" customHeight="1" x14ac:dyDescent="0.35">
      <c r="D12" s="1"/>
      <c r="H12" s="2"/>
      <c r="I12" s="274"/>
      <c r="J12" s="2"/>
      <c r="K12" s="2"/>
      <c r="L12" s="1"/>
      <c r="M12" s="1"/>
    </row>
    <row r="13" spans="2:14" ht="21.6" customHeight="1" thickBot="1" x14ac:dyDescent="0.9">
      <c r="D13" s="50"/>
      <c r="I13" s="275"/>
      <c r="K13" s="2"/>
    </row>
    <row r="14" spans="2:14" x14ac:dyDescent="0.3">
      <c r="L14" s="1"/>
      <c r="M14" s="1"/>
      <c r="N14" s="1"/>
    </row>
  </sheetData>
  <mergeCells count="6">
    <mergeCell ref="I11:I13"/>
    <mergeCell ref="C1:I1"/>
    <mergeCell ref="C2:I2"/>
    <mergeCell ref="C3:I3"/>
    <mergeCell ref="C10:E10"/>
    <mergeCell ref="C4:I4"/>
  </mergeCells>
  <hyperlinks>
    <hyperlink ref="C6" location="'GRUPO A'!A1" display="GRUPO A" xr:uid="{00000000-0004-0000-0000-000000000000}"/>
    <hyperlink ref="G6" location="'GRUPO C'!A1" display="GRUPO C" xr:uid="{00000000-0004-0000-0000-000001000000}"/>
    <hyperlink ref="E6" location="'GRUPO B'!A1" display="GRUPO B" xr:uid="{00000000-0004-0000-0000-000002000000}"/>
    <hyperlink ref="I6" location="'GRUPO D'!A1" display="GRUPO D" xr:uid="{00000000-0004-0000-0000-000003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0"/>
  <sheetViews>
    <sheetView topLeftCell="A7" zoomScale="90" zoomScaleNormal="90" workbookViewId="0">
      <selection activeCell="H20" sqref="H20:H21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5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33" t="str">
        <f>+'PRE BABY GRUPOS'!C1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1:38" s="3" customFormat="1" ht="24.6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38" s="3" customFormat="1" ht="34.799999999999997" x14ac:dyDescent="0.65">
      <c r="B3" s="335" t="e">
        <f>+'PRE BABY GRUPOS'!#REF!</f>
        <v>#REF!</v>
      </c>
      <c r="C3" s="335"/>
      <c r="D3" s="335"/>
      <c r="E3" s="335"/>
      <c r="F3" s="280" t="str">
        <f>+'PRE BABY GRUPOS'!C3</f>
        <v>NACIDOS 2012 2013</v>
      </c>
      <c r="G3" s="280"/>
      <c r="H3" s="280"/>
      <c r="I3" s="280"/>
      <c r="J3" s="280"/>
      <c r="K3" s="280"/>
      <c r="Y3" s="46"/>
    </row>
    <row r="4" spans="1:38" s="3" customFormat="1" ht="30.75" customHeight="1" x14ac:dyDescent="0.3">
      <c r="B4" s="321" t="str">
        <f>+'PRE BABY GRUPOS'!C6</f>
        <v>GRUPO A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Y4" s="47"/>
    </row>
    <row r="5" spans="1:38" s="3" customFormat="1" ht="15" customHeight="1" x14ac:dyDescent="0.3"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16"/>
      <c r="O5" s="16"/>
      <c r="S5" s="1"/>
    </row>
    <row r="6" spans="1:38" ht="21.75" customHeight="1" x14ac:dyDescent="0.45">
      <c r="A6" s="1"/>
      <c r="B6" s="339" t="s">
        <v>4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19"/>
      <c r="O6" s="19"/>
      <c r="P6" s="336" t="s">
        <v>14</v>
      </c>
      <c r="Q6" s="337"/>
      <c r="R6" s="337"/>
      <c r="S6" s="337"/>
      <c r="T6" s="337"/>
      <c r="U6" s="337"/>
      <c r="V6" s="337"/>
      <c r="W6" s="337"/>
      <c r="X6" s="337"/>
      <c r="Y6" s="33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9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5"/>
      <c r="B8" s="56">
        <v>42966</v>
      </c>
      <c r="C8" s="52" t="s">
        <v>99</v>
      </c>
      <c r="D8" s="298"/>
      <c r="E8" s="299" t="str">
        <f>+'PRE BABY GRUPOS'!C7</f>
        <v>COLEGIO NEIL ARMSTRONG</v>
      </c>
      <c r="F8" s="300" t="str">
        <f>IF(AND(G8&lt;&gt;"",I8&lt;&gt;""),IF(G8=I8,"E",IF(G8&gt;I8,"G","P")),"")</f>
        <v>G</v>
      </c>
      <c r="G8" s="284">
        <v>4</v>
      </c>
      <c r="H8" s="301" t="s">
        <v>15</v>
      </c>
      <c r="I8" s="284">
        <v>2</v>
      </c>
      <c r="J8" s="300" t="str">
        <f>IF(AND(I8&lt;&gt;"",G8&lt;&gt;""),IF(I8=G8,"E",IF(I8&gt;G8,"G","P")),"")</f>
        <v>P</v>
      </c>
      <c r="K8" s="299" t="str">
        <f>+'PRE BABY GRUPOS'!E7</f>
        <v>COLEGIO PRINCIPADO DE MONACO</v>
      </c>
      <c r="L8" s="302"/>
      <c r="M8" s="113" t="s">
        <v>93</v>
      </c>
      <c r="N8" s="117"/>
      <c r="O8" s="68"/>
      <c r="P8" s="315"/>
      <c r="Q8" s="317" t="s">
        <v>7</v>
      </c>
      <c r="R8" s="319" t="s">
        <v>16</v>
      </c>
      <c r="S8" s="309" t="s">
        <v>8</v>
      </c>
      <c r="T8" s="309" t="s">
        <v>9</v>
      </c>
      <c r="U8" s="309" t="s">
        <v>10</v>
      </c>
      <c r="V8" s="309" t="s">
        <v>11</v>
      </c>
      <c r="W8" s="309" t="s">
        <v>12</v>
      </c>
      <c r="X8" s="309" t="s">
        <v>13</v>
      </c>
      <c r="Y8" s="309" t="s">
        <v>35</v>
      </c>
      <c r="Z8" s="311"/>
      <c r="AA8" s="28"/>
      <c r="AB8" s="313"/>
      <c r="AC8" s="313"/>
      <c r="AD8" s="313"/>
      <c r="AE8" s="313"/>
      <c r="AF8" s="313"/>
      <c r="AG8" s="313"/>
      <c r="AH8" s="313"/>
      <c r="AI8" s="28"/>
      <c r="AJ8" s="313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66"/>
      <c r="B9" s="56"/>
      <c r="C9" s="52"/>
      <c r="D9" s="298"/>
      <c r="E9" s="299"/>
      <c r="F9" s="300"/>
      <c r="G9" s="285"/>
      <c r="H9" s="301"/>
      <c r="I9" s="285"/>
      <c r="J9" s="300"/>
      <c r="K9" s="299"/>
      <c r="L9" s="302"/>
      <c r="M9" s="54"/>
      <c r="N9" s="67"/>
      <c r="O9" s="67"/>
      <c r="P9" s="316"/>
      <c r="Q9" s="318"/>
      <c r="R9" s="320"/>
      <c r="S9" s="310"/>
      <c r="T9" s="310"/>
      <c r="U9" s="310"/>
      <c r="V9" s="310"/>
      <c r="W9" s="310"/>
      <c r="X9" s="310"/>
      <c r="Y9" s="310"/>
      <c r="Z9" s="312"/>
      <c r="AA9" s="28"/>
      <c r="AB9" s="314"/>
      <c r="AC9" s="314"/>
      <c r="AD9" s="314"/>
      <c r="AE9" s="314"/>
      <c r="AF9" s="314"/>
      <c r="AG9" s="314"/>
      <c r="AH9" s="314"/>
      <c r="AI9" s="28"/>
      <c r="AJ9" s="313"/>
      <c r="AK9" s="3"/>
      <c r="AL9" s="3"/>
    </row>
    <row r="10" spans="1:38" ht="22.5" customHeight="1" x14ac:dyDescent="0.3">
      <c r="A10" s="6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7"/>
      <c r="P10" s="303" t="str">
        <f>"  1)  " &amp; VLOOKUP(1,$Z$10:$AI$17,2,0)</f>
        <v xml:space="preserve">  1)  CLUB LOS PAPETICOS</v>
      </c>
      <c r="Q10" s="305">
        <f>VLOOKUP(1,$Z$10:$AI$17,3,0)</f>
        <v>7</v>
      </c>
      <c r="R10" s="307">
        <f>+SUM(S10:U11)</f>
        <v>3</v>
      </c>
      <c r="S10" s="294">
        <f>VLOOKUP(1,$Z$10:$AI$17,4,0)</f>
        <v>2</v>
      </c>
      <c r="T10" s="294">
        <f>VLOOKUP(1,$Z$10:$AI$17,5,0)</f>
        <v>1</v>
      </c>
      <c r="U10" s="294">
        <f>VLOOKUP(1,$Z$10:$AI$17,6,0)</f>
        <v>0</v>
      </c>
      <c r="V10" s="294">
        <f>VLOOKUP(1,$Z$10:$AI$17,7,0)-3</f>
        <v>10</v>
      </c>
      <c r="W10" s="294">
        <f>VLOOKUP(1,$Z$10:$AI$17,8,0)</f>
        <v>5</v>
      </c>
      <c r="X10" s="294">
        <f>VLOOKUP(1,$Z$10:$AH$17,9,0)</f>
        <v>8</v>
      </c>
      <c r="Y10" s="294">
        <f>VLOOKUP(1,$Z$10:$AI$17,10,0)</f>
        <v>0</v>
      </c>
      <c r="Z10" s="296">
        <f>RANK(AJ10,$AJ$10:$AJ$17,0)</f>
        <v>2</v>
      </c>
      <c r="AA10" s="289" t="str">
        <f>+'PRE BABY GRUPOS'!C7</f>
        <v>COLEGIO NEIL ARMSTRONG</v>
      </c>
      <c r="AB10" s="289">
        <f>(AC10*3)+AD10</f>
        <v>7</v>
      </c>
      <c r="AC10" s="289">
        <f>COUNTIF(Q58:T58,"G")</f>
        <v>2</v>
      </c>
      <c r="AD10" s="289">
        <f>COUNTIF(Q58:T58,"E")</f>
        <v>1</v>
      </c>
      <c r="AE10" s="289">
        <f>COUNTIF(Q58:T58,"P")</f>
        <v>0</v>
      </c>
      <c r="AF10" s="289">
        <f>+G8+G20+G17+G29</f>
        <v>9</v>
      </c>
      <c r="AG10" s="289">
        <f>+I8+I20+I17+I29</f>
        <v>4</v>
      </c>
      <c r="AH10" s="289">
        <f>AF10-AG10</f>
        <v>5</v>
      </c>
      <c r="AI10" s="291">
        <f>+A8+A20+A29+A17</f>
        <v>0</v>
      </c>
      <c r="AJ10" s="289">
        <f>(AB10*1000)+(AH10*100)+(AF10*10)-AI10+0.1</f>
        <v>7590.1</v>
      </c>
      <c r="AK10" s="292">
        <f>AJ10+X10</f>
        <v>7598.1</v>
      </c>
      <c r="AL10" s="3"/>
    </row>
    <row r="11" spans="1:38" ht="15.75" customHeight="1" x14ac:dyDescent="0.3">
      <c r="A11" s="116"/>
      <c r="B11" s="57">
        <v>42965</v>
      </c>
      <c r="C11" s="53" t="s">
        <v>90</v>
      </c>
      <c r="D11" s="288"/>
      <c r="E11" s="282" t="str">
        <f>+'PRE BABY GRUPOS'!C8</f>
        <v>CLUB LOS PAPETICOS</v>
      </c>
      <c r="F11" s="300" t="str">
        <f>IF(AND(G11&lt;&gt;"",I11&lt;&gt;""),IF(G11=I11,"E",IF(G11&gt;I11,"G","P")),"")</f>
        <v>G</v>
      </c>
      <c r="G11" s="284">
        <v>3</v>
      </c>
      <c r="H11" s="301" t="s">
        <v>15</v>
      </c>
      <c r="I11" s="284">
        <v>2</v>
      </c>
      <c r="J11" s="300" t="str">
        <f>IF(AND(I11&lt;&gt;"",G11&lt;&gt;""),IF(I11=G11,"E",IF(I11&gt;G11,"G","P")),"")</f>
        <v>P</v>
      </c>
      <c r="K11" s="282" t="str">
        <f>+'PRE BABY GRUPOS'!E8</f>
        <v>CLUB ARIEL ARMEL</v>
      </c>
      <c r="L11" s="281"/>
      <c r="M11" s="114" t="s">
        <v>91</v>
      </c>
      <c r="N11" s="118"/>
      <c r="O11" s="68"/>
      <c r="P11" s="304"/>
      <c r="Q11" s="306"/>
      <c r="R11" s="308"/>
      <c r="S11" s="295"/>
      <c r="T11" s="295"/>
      <c r="U11" s="295"/>
      <c r="V11" s="295"/>
      <c r="W11" s="295"/>
      <c r="X11" s="295"/>
      <c r="Y11" s="295"/>
      <c r="Z11" s="297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3"/>
      <c r="AL11" s="3"/>
    </row>
    <row r="12" spans="1:38" ht="15.75" customHeight="1" x14ac:dyDescent="0.3">
      <c r="A12" s="66"/>
      <c r="B12" s="57"/>
      <c r="C12" s="53"/>
      <c r="D12" s="288"/>
      <c r="E12" s="282"/>
      <c r="F12" s="300"/>
      <c r="G12" s="285"/>
      <c r="H12" s="301"/>
      <c r="I12" s="285"/>
      <c r="J12" s="300"/>
      <c r="K12" s="282"/>
      <c r="L12" s="281"/>
      <c r="M12" s="55"/>
      <c r="N12" s="67"/>
      <c r="O12" s="67"/>
      <c r="P12" s="303" t="str">
        <f>"  2)  " &amp; VLOOKUP(2,$Z$10:$AI$17,2,0)</f>
        <v xml:space="preserve">  2)  COLEGIO NEIL ARMSTRONG</v>
      </c>
      <c r="Q12" s="305">
        <f>VLOOKUP(2,$Z$10:$AI$17,3,0)</f>
        <v>7</v>
      </c>
      <c r="R12" s="307">
        <f>+SUM(S12:U13)</f>
        <v>3</v>
      </c>
      <c r="S12" s="294">
        <f>VLOOKUP(2,$Z$10:$AI$17,4,0)</f>
        <v>2</v>
      </c>
      <c r="T12" s="294">
        <f>VLOOKUP(2,$Z$10:$AI$17,5,0)</f>
        <v>1</v>
      </c>
      <c r="U12" s="294">
        <f>VLOOKUP(2,$Z$10:$AI$17,6,0)</f>
        <v>0</v>
      </c>
      <c r="V12" s="294">
        <f>VLOOKUP(2,$Z$10:$AI$17,7,0)</f>
        <v>9</v>
      </c>
      <c r="W12" s="294">
        <f>VLOOKUP(2,$Z$10:$AI$17,8,0)</f>
        <v>4</v>
      </c>
      <c r="X12" s="294">
        <f>VLOOKUP(2,$Z$10:$AH$17,9,0)</f>
        <v>5</v>
      </c>
      <c r="Y12" s="294">
        <f>VLOOKUP(2,$Z$10:$AI$17,10,0)</f>
        <v>0</v>
      </c>
      <c r="Z12" s="296">
        <f>RANK(AJ12,$AJ$10:$AJ$17,0)</f>
        <v>1</v>
      </c>
      <c r="AA12" s="289" t="str">
        <f>+'PRE BABY GRUPOS'!C8</f>
        <v>CLUB LOS PAPETICOS</v>
      </c>
      <c r="AB12" s="289">
        <f>(AC12*3)+AD12</f>
        <v>7</v>
      </c>
      <c r="AC12" s="289">
        <f>COUNTIF(Q59:T59,"G")</f>
        <v>2</v>
      </c>
      <c r="AD12" s="289">
        <f>COUNTIF(Q59:T59,"E")</f>
        <v>1</v>
      </c>
      <c r="AE12" s="289">
        <f>COUNTIF(Q59:T59,"P")</f>
        <v>0</v>
      </c>
      <c r="AF12" s="289">
        <f>+G11+I17+G23+G32</f>
        <v>13</v>
      </c>
      <c r="AG12" s="289">
        <f>+I11+I23+G17+I32</f>
        <v>5</v>
      </c>
      <c r="AH12" s="289">
        <f>AF12-AG12</f>
        <v>8</v>
      </c>
      <c r="AI12" s="291">
        <f>+A23+A11+N17+A32</f>
        <v>0</v>
      </c>
      <c r="AJ12" s="289">
        <f>(AB12*1000)+(AH12*100)+(AF12*10)-AI12+0.2</f>
        <v>7930.2</v>
      </c>
      <c r="AK12" s="292">
        <f>AJ12+X12</f>
        <v>7935.2</v>
      </c>
      <c r="AL12" s="3"/>
    </row>
    <row r="13" spans="1:38" ht="22.5" customHeight="1" x14ac:dyDescent="0.3">
      <c r="A13" s="6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7"/>
      <c r="P13" s="304"/>
      <c r="Q13" s="306"/>
      <c r="R13" s="308"/>
      <c r="S13" s="295"/>
      <c r="T13" s="295"/>
      <c r="U13" s="295"/>
      <c r="V13" s="295"/>
      <c r="W13" s="295"/>
      <c r="X13" s="295"/>
      <c r="Y13" s="295"/>
      <c r="Z13" s="297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3"/>
      <c r="AL13" s="3"/>
    </row>
    <row r="14" spans="1:38" ht="15" customHeight="1" x14ac:dyDescent="0.3">
      <c r="A14" s="115"/>
      <c r="B14" s="56">
        <v>42967</v>
      </c>
      <c r="C14" s="52" t="s">
        <v>104</v>
      </c>
      <c r="D14" s="298"/>
      <c r="E14" s="299" t="str">
        <f>+'PRE BABY GRUPOS'!C9</f>
        <v>CLUB CAMPESTRE IBAGUE UNO</v>
      </c>
      <c r="F14" s="300" t="str">
        <f>IF(AND(G14&lt;&gt;"",I14&lt;&gt;""),IF(G14=I14,"E",IF(G14&gt;I14,"G","P")),"")</f>
        <v>G</v>
      </c>
      <c r="G14" s="284">
        <v>3</v>
      </c>
      <c r="H14" s="301" t="s">
        <v>15</v>
      </c>
      <c r="I14" s="284">
        <v>0</v>
      </c>
      <c r="J14" s="300" t="str">
        <f>IF(AND(I14&lt;&gt;"",G14&lt;&gt;""),IF(I14=G14,"E",IF(I14&gt;G14,"G","P")),"")</f>
        <v>P</v>
      </c>
      <c r="K14" s="299" t="str">
        <f>+'PRE BABY GRUPOS'!E9</f>
        <v>CENTAUROS DEL ARIARI</v>
      </c>
      <c r="L14" s="302"/>
      <c r="M14" s="113" t="s">
        <v>96</v>
      </c>
      <c r="N14" s="117"/>
      <c r="O14" s="68"/>
      <c r="P14" s="303" t="str">
        <f>"  3)  " &amp; VLOOKUP(3,$Z$10:$AI$17,2,0)</f>
        <v xml:space="preserve">  3)  CLUB CAMPESTRE IBAGUE UNO</v>
      </c>
      <c r="Q14" s="305">
        <f>VLOOKUP(3,$Z$10:$AI$17,3,0)</f>
        <v>3</v>
      </c>
      <c r="R14" s="307">
        <f>+SUM(S14:U15)</f>
        <v>3</v>
      </c>
      <c r="S14" s="294">
        <f>VLOOKUP(3,$Z$10:$AI$17,4,0)</f>
        <v>1</v>
      </c>
      <c r="T14" s="294">
        <f>VLOOKUP(3,$Z$10:$AI$17,5,0)</f>
        <v>0</v>
      </c>
      <c r="U14" s="294">
        <f>VLOOKUP(3,$Z$10:$AI$17,6,0)</f>
        <v>2</v>
      </c>
      <c r="V14" s="294">
        <f>VLOOKUP(3,$Z$10:$AI$17,7,0)</f>
        <v>3</v>
      </c>
      <c r="W14" s="294">
        <f>VLOOKUP(3,$Z$10:$AI$17,8,0)</f>
        <v>13</v>
      </c>
      <c r="X14" s="294">
        <f>VLOOKUP(3,$Z$10:$AI$17,9,0)</f>
        <v>-10</v>
      </c>
      <c r="Y14" s="294">
        <f>VLOOKUP(3,$Z$10:$AI$17,10,0)</f>
        <v>0</v>
      </c>
      <c r="Z14" s="296">
        <f>RANK(AJ14,$AJ$10:$AJ$17,0)</f>
        <v>3</v>
      </c>
      <c r="AA14" s="289" t="str">
        <f>+'PRE BABY GRUPOS'!C9</f>
        <v>CLUB CAMPESTRE IBAGUE UNO</v>
      </c>
      <c r="AB14" s="289">
        <f>(AC14*3)+AD14</f>
        <v>3</v>
      </c>
      <c r="AC14" s="289">
        <f>COUNTIF(Q60:T60,"G")</f>
        <v>1</v>
      </c>
      <c r="AD14" s="289">
        <f>COUNTIF(Q60:T60,"E")</f>
        <v>0</v>
      </c>
      <c r="AE14" s="289">
        <f>COUNTIF(Q60:T60,"P")</f>
        <v>2</v>
      </c>
      <c r="AF14" s="289">
        <f>+G14+I29+G26+I32-3</f>
        <v>3</v>
      </c>
      <c r="AG14" s="289">
        <f>+G29+I14+I26+G32</f>
        <v>13</v>
      </c>
      <c r="AH14" s="289">
        <f>AF14-AG14</f>
        <v>-10</v>
      </c>
      <c r="AI14" s="291">
        <f>+A14+A26+N29+N32</f>
        <v>0</v>
      </c>
      <c r="AJ14" s="289">
        <f>(AB14*1000)+(AH14*100)+(AF14*10)-AI14+0.3</f>
        <v>2030.3</v>
      </c>
      <c r="AK14" s="292">
        <f>+X14</f>
        <v>-10</v>
      </c>
      <c r="AL14" s="3"/>
    </row>
    <row r="15" spans="1:38" ht="15" customHeight="1" x14ac:dyDescent="0.3">
      <c r="A15" s="66"/>
      <c r="B15" s="56"/>
      <c r="C15" s="52"/>
      <c r="D15" s="298"/>
      <c r="E15" s="299"/>
      <c r="F15" s="300"/>
      <c r="G15" s="285"/>
      <c r="H15" s="301"/>
      <c r="I15" s="285"/>
      <c r="J15" s="300"/>
      <c r="K15" s="299"/>
      <c r="L15" s="302"/>
      <c r="M15" s="54"/>
      <c r="N15" s="67"/>
      <c r="O15" s="67"/>
      <c r="P15" s="304"/>
      <c r="Q15" s="306"/>
      <c r="R15" s="308"/>
      <c r="S15" s="295"/>
      <c r="T15" s="295"/>
      <c r="U15" s="295"/>
      <c r="V15" s="295"/>
      <c r="W15" s="295"/>
      <c r="X15" s="295"/>
      <c r="Y15" s="295"/>
      <c r="Z15" s="297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3"/>
      <c r="AL15" s="3"/>
    </row>
    <row r="16" spans="1:38" ht="21.75" customHeight="1" x14ac:dyDescent="0.3">
      <c r="A16" s="6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7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</row>
    <row r="17" spans="1:38" ht="15" customHeight="1" x14ac:dyDescent="0.3">
      <c r="A17" s="116"/>
      <c r="B17" s="57">
        <v>42967</v>
      </c>
      <c r="C17" s="53" t="s">
        <v>102</v>
      </c>
      <c r="D17" s="288"/>
      <c r="E17" s="282" t="str">
        <f>+'PRE BABY GRUPOS'!C7</f>
        <v>COLEGIO NEIL ARMSTRONG</v>
      </c>
      <c r="F17" s="287" t="str">
        <f>IF(AND(G17&lt;&gt;"",I17&lt;&gt;""),IF(G17=I17,"E",IF(G17&gt;I17,"G","P")),"")</f>
        <v>E</v>
      </c>
      <c r="G17" s="284">
        <v>1</v>
      </c>
      <c r="H17" s="286" t="s">
        <v>15</v>
      </c>
      <c r="I17" s="284">
        <v>1</v>
      </c>
      <c r="J17" s="283" t="str">
        <f>IF(AND(I17&lt;&gt;"",G17&lt;&gt;""),IF(I17=G17,"E",IF(I17&gt;G17,"G","P")),"")</f>
        <v>E</v>
      </c>
      <c r="K17" s="282" t="str">
        <f>+'PRE BABY GRUPOS'!C8</f>
        <v>CLUB LOS PAPETICOS</v>
      </c>
      <c r="L17" s="281"/>
      <c r="M17" s="114" t="s">
        <v>91</v>
      </c>
      <c r="N17" s="118"/>
      <c r="O17" s="6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</row>
    <row r="18" spans="1:38" ht="15" customHeight="1" x14ac:dyDescent="0.3">
      <c r="A18" s="66"/>
      <c r="B18" s="57"/>
      <c r="C18" s="53"/>
      <c r="D18" s="288"/>
      <c r="E18" s="282"/>
      <c r="F18" s="287"/>
      <c r="G18" s="285"/>
      <c r="H18" s="286"/>
      <c r="I18" s="285"/>
      <c r="J18" s="283"/>
      <c r="K18" s="282"/>
      <c r="L18" s="281"/>
      <c r="M18" s="55"/>
      <c r="N18" s="67"/>
      <c r="O18" s="67"/>
      <c r="P18" s="79"/>
      <c r="Q18" s="76"/>
      <c r="R18" s="76"/>
      <c r="S18" s="77"/>
      <c r="T18" s="77"/>
      <c r="U18" s="77"/>
      <c r="V18" s="77"/>
      <c r="W18" s="77"/>
      <c r="X18" s="77"/>
      <c r="Y18" s="77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28"/>
    </row>
    <row r="19" spans="1:38" s="3" customFormat="1" ht="15" customHeight="1" x14ac:dyDescent="0.3">
      <c r="A19" s="66"/>
      <c r="B19" s="208"/>
      <c r="C19" s="209"/>
      <c r="D19" s="210"/>
      <c r="E19" s="211"/>
      <c r="F19" s="212"/>
      <c r="J19" s="212"/>
      <c r="K19" s="211"/>
      <c r="L19" s="213"/>
      <c r="M19" s="186"/>
      <c r="N19" s="67"/>
      <c r="O19" s="67"/>
      <c r="P19" s="79"/>
      <c r="Q19" s="76"/>
      <c r="R19" s="76"/>
      <c r="S19" s="77"/>
      <c r="T19" s="77"/>
      <c r="U19" s="77"/>
      <c r="V19" s="77"/>
      <c r="W19" s="77"/>
      <c r="X19" s="77"/>
      <c r="Y19" s="77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28"/>
    </row>
    <row r="20" spans="1:38" ht="15" customHeight="1" x14ac:dyDescent="0.3">
      <c r="A20" s="115"/>
      <c r="B20" s="56">
        <v>42966</v>
      </c>
      <c r="C20" s="52" t="s">
        <v>95</v>
      </c>
      <c r="D20" s="298"/>
      <c r="E20" s="299"/>
      <c r="F20" s="300" t="str">
        <f>IF(AND(G20&lt;&gt;"",I20&lt;&gt;""),IF(G20=I20,"E",IF(G20&gt;I20,"G","P")),"")</f>
        <v/>
      </c>
      <c r="G20" s="284"/>
      <c r="H20" s="301" t="s">
        <v>15</v>
      </c>
      <c r="I20" s="284"/>
      <c r="J20" s="300" t="str">
        <f>IF(AND(I20&lt;&gt;"",G20&lt;&gt;""),IF(I20=G20,"E",IF(I20&gt;G20,"G","P")),"")</f>
        <v/>
      </c>
      <c r="K20" s="299"/>
      <c r="L20" s="302"/>
      <c r="M20" s="113" t="s">
        <v>91</v>
      </c>
      <c r="N20" s="117"/>
      <c r="O20" s="68"/>
      <c r="P20" s="332"/>
      <c r="Q20" s="331"/>
      <c r="R20" s="324"/>
      <c r="S20" s="330"/>
      <c r="T20" s="330"/>
      <c r="U20" s="330"/>
      <c r="V20" s="330"/>
      <c r="W20" s="330"/>
      <c r="X20" s="330"/>
      <c r="Y20" s="330"/>
      <c r="Z20" s="313"/>
      <c r="AA20" s="28"/>
      <c r="AB20" s="313"/>
      <c r="AC20" s="313"/>
      <c r="AD20" s="313"/>
      <c r="AE20" s="313"/>
      <c r="AF20" s="313"/>
      <c r="AG20" s="313"/>
      <c r="AH20" s="313"/>
      <c r="AI20" s="28"/>
      <c r="AJ20" s="3"/>
      <c r="AK20" s="3"/>
      <c r="AL20" s="3"/>
    </row>
    <row r="21" spans="1:38" ht="15" customHeight="1" x14ac:dyDescent="0.3">
      <c r="A21" s="66"/>
      <c r="B21" s="56"/>
      <c r="C21" s="52"/>
      <c r="D21" s="298"/>
      <c r="E21" s="299"/>
      <c r="F21" s="300"/>
      <c r="G21" s="285"/>
      <c r="H21" s="301"/>
      <c r="I21" s="285"/>
      <c r="J21" s="300"/>
      <c r="K21" s="299"/>
      <c r="L21" s="302"/>
      <c r="M21" s="54"/>
      <c r="N21" s="67"/>
      <c r="O21" s="67"/>
      <c r="P21" s="332"/>
      <c r="Q21" s="331"/>
      <c r="R21" s="324"/>
      <c r="S21" s="330"/>
      <c r="T21" s="330"/>
      <c r="U21" s="330"/>
      <c r="V21" s="330"/>
      <c r="W21" s="330"/>
      <c r="X21" s="330"/>
      <c r="Y21" s="330"/>
      <c r="Z21" s="313"/>
      <c r="AA21" s="28"/>
      <c r="AB21" s="313"/>
      <c r="AC21" s="313"/>
      <c r="AD21" s="313"/>
      <c r="AE21" s="313"/>
      <c r="AF21" s="313"/>
      <c r="AG21" s="313"/>
      <c r="AH21" s="313"/>
      <c r="AI21" s="28"/>
      <c r="AJ21" s="3"/>
      <c r="AK21" s="3"/>
      <c r="AL21" s="3"/>
    </row>
    <row r="22" spans="1:38" ht="22.5" customHeight="1" x14ac:dyDescent="0.3">
      <c r="A22" s="6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7"/>
      <c r="P22" s="326"/>
      <c r="Q22" s="327"/>
      <c r="R22" s="325"/>
      <c r="S22" s="328"/>
      <c r="T22" s="328"/>
      <c r="U22" s="328"/>
      <c r="V22" s="328"/>
      <c r="W22" s="328"/>
      <c r="X22" s="328"/>
      <c r="Y22" s="328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38"/>
      <c r="AL22" s="3"/>
    </row>
    <row r="23" spans="1:38" ht="15.75" customHeight="1" x14ac:dyDescent="0.3">
      <c r="A23" s="116"/>
      <c r="B23" s="57">
        <v>42966</v>
      </c>
      <c r="C23" s="53" t="s">
        <v>95</v>
      </c>
      <c r="D23" s="288"/>
      <c r="E23" s="282"/>
      <c r="F23" s="300" t="str">
        <f>IF(AND(G23&lt;&gt;"",I23&lt;&gt;""),IF(G23=I23,"E",IF(G23&gt;I23,"G","P")),"")</f>
        <v/>
      </c>
      <c r="G23" s="284"/>
      <c r="H23" s="301" t="s">
        <v>15</v>
      </c>
      <c r="I23" s="284"/>
      <c r="J23" s="300" t="str">
        <f>IF(AND(I23&lt;&gt;"",G23&lt;&gt;""),IF(I23=G23,"E",IF(I23&gt;G23,"G","P")),"")</f>
        <v/>
      </c>
      <c r="K23" s="282"/>
      <c r="L23" s="281"/>
      <c r="M23" s="114" t="s">
        <v>96</v>
      </c>
      <c r="N23" s="118"/>
      <c r="O23" s="68"/>
      <c r="P23" s="326"/>
      <c r="Q23" s="327"/>
      <c r="R23" s="325"/>
      <c r="S23" s="328"/>
      <c r="T23" s="328"/>
      <c r="U23" s="328"/>
      <c r="V23" s="328"/>
      <c r="W23" s="328"/>
      <c r="X23" s="328"/>
      <c r="Y23" s="328"/>
      <c r="Z23" s="329"/>
      <c r="AA23" s="329"/>
      <c r="AB23" s="329"/>
      <c r="AC23" s="329"/>
      <c r="AD23" s="329"/>
      <c r="AE23" s="329"/>
      <c r="AF23" s="329"/>
      <c r="AG23" s="329"/>
      <c r="AH23" s="329"/>
      <c r="AI23" s="329"/>
      <c r="AJ23" s="329"/>
      <c r="AK23" s="338"/>
      <c r="AL23" s="3"/>
    </row>
    <row r="24" spans="1:38" ht="15.75" customHeight="1" x14ac:dyDescent="0.3">
      <c r="A24" s="66"/>
      <c r="B24" s="57"/>
      <c r="C24" s="53"/>
      <c r="D24" s="288"/>
      <c r="E24" s="282"/>
      <c r="F24" s="300"/>
      <c r="G24" s="285"/>
      <c r="H24" s="301"/>
      <c r="I24" s="285"/>
      <c r="J24" s="300"/>
      <c r="K24" s="282"/>
      <c r="L24" s="281"/>
      <c r="M24" s="55"/>
      <c r="N24" s="67"/>
      <c r="O24" s="67"/>
      <c r="P24" s="326"/>
      <c r="Q24" s="327"/>
      <c r="R24" s="325"/>
      <c r="S24" s="328"/>
      <c r="T24" s="328"/>
      <c r="U24" s="328"/>
      <c r="V24" s="328"/>
      <c r="W24" s="328"/>
      <c r="X24" s="328"/>
      <c r="Y24" s="328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38"/>
      <c r="AL24" s="3"/>
    </row>
    <row r="25" spans="1:38" ht="22.5" customHeight="1" x14ac:dyDescent="0.3">
      <c r="A25" s="6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7"/>
      <c r="P25" s="326"/>
      <c r="Q25" s="327"/>
      <c r="R25" s="325"/>
      <c r="S25" s="328"/>
      <c r="T25" s="328"/>
      <c r="U25" s="328"/>
      <c r="V25" s="328"/>
      <c r="W25" s="328"/>
      <c r="X25" s="328"/>
      <c r="Y25" s="328"/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38"/>
      <c r="AL25" s="3"/>
    </row>
    <row r="26" spans="1:38" ht="15" customHeight="1" x14ac:dyDescent="0.3">
      <c r="A26" s="115"/>
      <c r="B26" s="56">
        <v>42966</v>
      </c>
      <c r="C26" s="52" t="s">
        <v>97</v>
      </c>
      <c r="D26" s="298"/>
      <c r="E26" s="299"/>
      <c r="F26" s="300" t="str">
        <f>IF(AND(G26&lt;&gt;"",I26&lt;&gt;""),IF(G26=I26,"E",IF(G26&gt;I26,"G","P")),"")</f>
        <v/>
      </c>
      <c r="G26" s="284"/>
      <c r="H26" s="301" t="s">
        <v>15</v>
      </c>
      <c r="I26" s="284"/>
      <c r="J26" s="300" t="str">
        <f>IF(AND(I26&lt;&gt;"",G26&lt;&gt;""),IF(I26=G26,"E",IF(I26&gt;G26,"G","P")),"")</f>
        <v/>
      </c>
      <c r="K26" s="299"/>
      <c r="L26" s="302"/>
      <c r="M26" s="113" t="s">
        <v>93</v>
      </c>
      <c r="N26" s="117"/>
      <c r="O26" s="68"/>
      <c r="P26" s="326"/>
      <c r="Q26" s="327"/>
      <c r="R26" s="325"/>
      <c r="S26" s="328"/>
      <c r="T26" s="328"/>
      <c r="U26" s="328"/>
      <c r="V26" s="328"/>
      <c r="W26" s="328"/>
      <c r="X26" s="328"/>
      <c r="Y26" s="328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38"/>
      <c r="AL26" s="3"/>
    </row>
    <row r="27" spans="1:38" ht="15" customHeight="1" x14ac:dyDescent="0.3">
      <c r="A27" s="66"/>
      <c r="B27" s="56"/>
      <c r="C27" s="52"/>
      <c r="D27" s="298"/>
      <c r="E27" s="299"/>
      <c r="F27" s="300"/>
      <c r="G27" s="285"/>
      <c r="H27" s="301"/>
      <c r="I27" s="285"/>
      <c r="J27" s="300"/>
      <c r="K27" s="299"/>
      <c r="L27" s="302"/>
      <c r="M27" s="54"/>
      <c r="N27" s="67"/>
      <c r="O27" s="67"/>
      <c r="P27" s="326"/>
      <c r="Q27" s="327"/>
      <c r="R27" s="325"/>
      <c r="S27" s="328"/>
      <c r="T27" s="328"/>
      <c r="U27" s="328"/>
      <c r="V27" s="328"/>
      <c r="W27" s="328"/>
      <c r="X27" s="328"/>
      <c r="Y27" s="328"/>
      <c r="Z27" s="329"/>
      <c r="AA27" s="329"/>
      <c r="AB27" s="329"/>
      <c r="AC27" s="329"/>
      <c r="AD27" s="329"/>
      <c r="AE27" s="329"/>
      <c r="AF27" s="329"/>
      <c r="AG27" s="329"/>
      <c r="AH27" s="329"/>
      <c r="AI27" s="329"/>
      <c r="AJ27" s="329"/>
      <c r="AK27" s="338"/>
      <c r="AL27" s="3"/>
    </row>
    <row r="28" spans="1:38" ht="21.75" customHeight="1" x14ac:dyDescent="0.3">
      <c r="A28" s="6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7"/>
      <c r="P28" s="326"/>
      <c r="Q28" s="327"/>
      <c r="R28" s="325"/>
      <c r="S28" s="328"/>
      <c r="T28" s="328"/>
      <c r="U28" s="328"/>
      <c r="V28" s="328"/>
      <c r="W28" s="328"/>
      <c r="X28" s="328"/>
      <c r="Y28" s="328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38"/>
      <c r="AL28" s="3"/>
    </row>
    <row r="29" spans="1:38" ht="15" customHeight="1" x14ac:dyDescent="0.3">
      <c r="A29" s="116"/>
      <c r="B29" s="57">
        <v>42965</v>
      </c>
      <c r="C29" s="53" t="s">
        <v>92</v>
      </c>
      <c r="D29" s="288"/>
      <c r="E29" s="282" t="str">
        <f>+'PRE BABY GRUPOS'!C7</f>
        <v>COLEGIO NEIL ARMSTRONG</v>
      </c>
      <c r="F29" s="300" t="str">
        <f>IF(AND(G29&lt;&gt;"",I29&lt;&gt;""),IF(G29=I29,"E",IF(G29&gt;I29,"G","P")),"")</f>
        <v>G</v>
      </c>
      <c r="G29" s="284">
        <v>4</v>
      </c>
      <c r="H29" s="301" t="s">
        <v>15</v>
      </c>
      <c r="I29" s="284">
        <v>1</v>
      </c>
      <c r="J29" s="300" t="str">
        <f>IF(AND(I29&lt;&gt;"",G29&lt;&gt;""),IF(I29=G29,"E",IF(I29&gt;G29,"G","P")),"")</f>
        <v>P</v>
      </c>
      <c r="K29" s="282" t="str">
        <f>+'PRE BABY GRUPOS'!C9</f>
        <v>CLUB CAMPESTRE IBAGUE UNO</v>
      </c>
      <c r="L29" s="281"/>
      <c r="M29" s="114" t="s">
        <v>93</v>
      </c>
      <c r="N29" s="118"/>
      <c r="O29" s="68"/>
      <c r="P29" s="326"/>
      <c r="Q29" s="327"/>
      <c r="R29" s="325"/>
      <c r="S29" s="328"/>
      <c r="T29" s="328"/>
      <c r="U29" s="328"/>
      <c r="V29" s="328"/>
      <c r="W29" s="328"/>
      <c r="X29" s="328"/>
      <c r="Y29" s="328"/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38"/>
      <c r="AL29" s="3"/>
    </row>
    <row r="30" spans="1:38" ht="15" customHeight="1" x14ac:dyDescent="0.3">
      <c r="A30" s="66"/>
      <c r="B30" s="57"/>
      <c r="C30" s="53"/>
      <c r="D30" s="288"/>
      <c r="E30" s="282"/>
      <c r="F30" s="300"/>
      <c r="G30" s="285"/>
      <c r="H30" s="301"/>
      <c r="I30" s="285"/>
      <c r="J30" s="300"/>
      <c r="K30" s="282"/>
      <c r="L30" s="281"/>
      <c r="M30" s="55"/>
      <c r="N30" s="67"/>
      <c r="O30" s="67"/>
      <c r="P30" s="79"/>
      <c r="Q30" s="76"/>
      <c r="R30" s="76"/>
      <c r="S30" s="77"/>
      <c r="T30" s="77"/>
      <c r="U30" s="77"/>
      <c r="V30" s="77"/>
      <c r="W30" s="77"/>
      <c r="X30" s="77"/>
      <c r="Y30" s="77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28"/>
    </row>
    <row r="31" spans="1:38" ht="22.5" customHeight="1" x14ac:dyDescent="0.3">
      <c r="A31" s="6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7"/>
      <c r="P31" s="75"/>
      <c r="Q31" s="76"/>
      <c r="R31" s="76"/>
      <c r="S31" s="77"/>
      <c r="T31" s="77"/>
      <c r="U31" s="77"/>
      <c r="V31" s="77"/>
      <c r="W31" s="77"/>
      <c r="X31" s="77"/>
      <c r="Y31" s="77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28"/>
    </row>
    <row r="32" spans="1:38" ht="15" customHeight="1" x14ac:dyDescent="0.3">
      <c r="A32" s="115"/>
      <c r="B32" s="56">
        <v>42967</v>
      </c>
      <c r="C32" s="52" t="s">
        <v>101</v>
      </c>
      <c r="D32" s="298"/>
      <c r="E32" s="299" t="str">
        <f>+'PRE BABY GRUPOS'!C8</f>
        <v>CLUB LOS PAPETICOS</v>
      </c>
      <c r="F32" s="300" t="str">
        <f>IF(AND(G32&lt;&gt;"",I32&lt;&gt;""),IF(G32=I32,"E",IF(G32&gt;I32,"G","P")),"")</f>
        <v>G</v>
      </c>
      <c r="G32" s="284">
        <v>9</v>
      </c>
      <c r="H32" s="301" t="s">
        <v>15</v>
      </c>
      <c r="I32" s="284">
        <v>2</v>
      </c>
      <c r="J32" s="300" t="str">
        <f>IF(AND(I32&lt;&gt;"",G32&lt;&gt;""),IF(I32=G32,"E",IF(I32&gt;G32,"G","P")),"")</f>
        <v>P</v>
      </c>
      <c r="K32" s="299" t="str">
        <f>+'PRE BABY GRUPOS'!C9</f>
        <v>CLUB CAMPESTRE IBAGUE UNO</v>
      </c>
      <c r="L32" s="302"/>
      <c r="M32" s="113" t="s">
        <v>91</v>
      </c>
      <c r="N32" s="117"/>
      <c r="O32" s="68"/>
      <c r="P32" s="79"/>
      <c r="Q32" s="76"/>
      <c r="R32" s="76"/>
      <c r="S32" s="77"/>
      <c r="T32" s="77"/>
      <c r="U32" s="77"/>
      <c r="V32" s="77"/>
      <c r="W32" s="77"/>
      <c r="X32" s="77"/>
      <c r="Y32" s="77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28"/>
    </row>
    <row r="33" spans="1:38" ht="15" customHeight="1" x14ac:dyDescent="0.3">
      <c r="A33" s="66"/>
      <c r="B33" s="56"/>
      <c r="C33" s="52"/>
      <c r="D33" s="298"/>
      <c r="E33" s="299"/>
      <c r="F33" s="300"/>
      <c r="G33" s="285"/>
      <c r="H33" s="301"/>
      <c r="I33" s="285"/>
      <c r="J33" s="300"/>
      <c r="K33" s="299"/>
      <c r="L33" s="302"/>
      <c r="M33" s="54"/>
      <c r="N33" s="67"/>
      <c r="O33" s="67"/>
      <c r="P33" s="323"/>
      <c r="Q33" s="323"/>
      <c r="R33" s="323"/>
      <c r="S33" s="323"/>
      <c r="T33" s="323"/>
      <c r="U33" s="28"/>
      <c r="V33" s="28"/>
      <c r="W33" s="28"/>
      <c r="X33" s="28"/>
      <c r="Y33" s="28"/>
      <c r="Z33" s="7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1:38" ht="22.5" customHeight="1" x14ac:dyDescent="0.3">
      <c r="A34" s="6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6"/>
      <c r="P34" s="28"/>
      <c r="Q34" s="28"/>
      <c r="R34" s="28"/>
      <c r="S34" s="28"/>
      <c r="T34" s="28"/>
      <c r="U34" s="28"/>
      <c r="V34" s="28"/>
      <c r="W34" s="28" t="e">
        <f>IF(AJ8=1,IF(P33="","",P33),IF(SUM(Q10:Q17)&gt;0,VLOOKUP(1,Z10:AA17,2,0),""))</f>
        <v>#N/A</v>
      </c>
      <c r="X34" s="28"/>
      <c r="Y34" s="28"/>
      <c r="Z34" s="78"/>
      <c r="AA34" s="28"/>
      <c r="AB34" s="28"/>
      <c r="AC34" s="78"/>
      <c r="AD34" s="78"/>
      <c r="AE34" s="78"/>
      <c r="AF34" s="78"/>
      <c r="AG34" s="78"/>
      <c r="AH34" s="78"/>
      <c r="AI34" s="28"/>
      <c r="AJ34" s="78"/>
      <c r="AK34" s="78"/>
      <c r="AL34" s="28"/>
    </row>
    <row r="35" spans="1:38" ht="15" customHeight="1" x14ac:dyDescent="0.3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8"/>
      <c r="P35" s="28"/>
      <c r="Q35" s="28"/>
      <c r="R35" s="28"/>
      <c r="S35" s="28"/>
      <c r="T35" s="28"/>
      <c r="U35" s="28"/>
      <c r="V35" s="28"/>
      <c r="W35" s="28" t="e">
        <f>IF(AJ8=1,IF(P36="","",P36),IF(SUM(Q22:Q29)&gt;0,VLOOKUP(2,Z22:AA29,2,0),""))</f>
        <v>#N/A</v>
      </c>
      <c r="X35" s="28"/>
      <c r="Y35" s="28"/>
      <c r="Z35" s="78"/>
      <c r="AA35" s="28"/>
      <c r="AB35" s="28"/>
      <c r="AC35" s="78"/>
      <c r="AD35" s="78"/>
      <c r="AE35" s="78"/>
      <c r="AF35" s="78"/>
      <c r="AG35" s="78"/>
      <c r="AH35" s="78"/>
      <c r="AI35" s="28"/>
      <c r="AJ35" s="78"/>
      <c r="AK35" s="78"/>
      <c r="AL35" s="28"/>
    </row>
    <row r="36" spans="1:38" ht="15" customHeight="1" x14ac:dyDescent="0.3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323"/>
      <c r="Q36" s="323"/>
      <c r="R36" s="323"/>
      <c r="S36" s="323"/>
      <c r="T36" s="323"/>
      <c r="U36" s="28"/>
      <c r="V36" s="28"/>
      <c r="W36" s="28"/>
      <c r="X36" s="28"/>
      <c r="Y36" s="28"/>
      <c r="Z36" s="78"/>
      <c r="AA36" s="28"/>
      <c r="AB36" s="28"/>
      <c r="AC36" s="78"/>
      <c r="AD36" s="78"/>
      <c r="AE36" s="78"/>
      <c r="AF36" s="78"/>
      <c r="AG36" s="78"/>
      <c r="AH36" s="78"/>
      <c r="AI36" s="28"/>
      <c r="AJ36" s="78"/>
      <c r="AK36" s="78"/>
      <c r="AL36" s="28"/>
    </row>
    <row r="37" spans="1:38" x14ac:dyDescent="0.3">
      <c r="A37" s="6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0"/>
      <c r="O37" s="16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7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 spans="1:38" x14ac:dyDescent="0.3">
      <c r="A38" s="6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 spans="1:38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8"/>
      <c r="Q39" s="80"/>
      <c r="R39" s="80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 spans="1:38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16"/>
      <c r="AD40" s="16"/>
      <c r="AE40" s="16"/>
      <c r="AF40" s="16"/>
      <c r="AG40" s="16"/>
      <c r="AH40" s="16"/>
      <c r="AI40" s="16"/>
      <c r="AJ40" s="16"/>
      <c r="AK40" s="16"/>
      <c r="AL40" s="29"/>
    </row>
    <row r="41" spans="1:38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16"/>
      <c r="AD41" s="16"/>
      <c r="AE41" s="16"/>
      <c r="AF41" s="16"/>
      <c r="AG41" s="16"/>
      <c r="AH41" s="16"/>
      <c r="AI41" s="16"/>
      <c r="AJ41" s="16"/>
      <c r="AK41" s="16"/>
      <c r="AL41" s="29"/>
    </row>
    <row r="42" spans="1:38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16"/>
      <c r="AD42" s="16"/>
      <c r="AE42" s="16"/>
      <c r="AF42" s="16"/>
      <c r="AG42" s="16"/>
      <c r="AH42" s="16"/>
      <c r="AI42" s="16"/>
      <c r="AJ42" s="16"/>
      <c r="AK42" s="16"/>
      <c r="AL42" s="29"/>
    </row>
    <row r="43" spans="1:38" x14ac:dyDescent="0.3">
      <c r="B43" s="16"/>
      <c r="C43" s="16"/>
      <c r="D43" s="16"/>
      <c r="E43" s="16"/>
      <c r="F43" s="16"/>
      <c r="G43" s="16"/>
      <c r="H43" s="16"/>
      <c r="I43" s="16"/>
      <c r="J43" s="26" t="str">
        <f>IF(AG20=1,"Indique el primero y segundo equipos clasificados de la serie:","")</f>
        <v/>
      </c>
      <c r="K43" s="16"/>
      <c r="L43" s="26" t="str">
        <f>IF(AG20=1,"Primero:","")</f>
        <v/>
      </c>
      <c r="M43" s="16"/>
      <c r="N43" s="25"/>
      <c r="O43" s="25"/>
      <c r="P43" s="8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16"/>
      <c r="AD43" s="16"/>
      <c r="AE43" s="16"/>
      <c r="AF43" s="16"/>
      <c r="AG43" s="16"/>
      <c r="AH43" s="16"/>
      <c r="AI43" s="16"/>
      <c r="AJ43" s="16"/>
      <c r="AK43" s="16"/>
      <c r="AL43" s="29"/>
    </row>
    <row r="44" spans="1:38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2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29"/>
    </row>
    <row r="45" spans="1:38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29"/>
    </row>
    <row r="46" spans="1:38" x14ac:dyDescent="0.3">
      <c r="B46" s="16"/>
      <c r="C46" s="16"/>
      <c r="D46" s="16"/>
      <c r="E46" s="16"/>
      <c r="F46" s="16"/>
      <c r="G46" s="16"/>
      <c r="H46" s="16"/>
      <c r="I46" s="16"/>
      <c r="J46" s="27" t="str">
        <f>IF(AG20=1,"(Debido a la paridad de los resultados, no pueden deducirse de forma automática.)","")</f>
        <v/>
      </c>
      <c r="K46" s="16"/>
      <c r="L46" s="26" t="str">
        <f>IF(AG20=1,"Segundo:","")</f>
        <v/>
      </c>
      <c r="M46" s="16"/>
      <c r="N46" s="25"/>
      <c r="O46" s="25"/>
      <c r="P46" s="25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29"/>
    </row>
    <row r="58" spans="16:20" x14ac:dyDescent="0.3">
      <c r="P58" s="136" t="str">
        <f>+'PRE BABY GRUPOS'!C7</f>
        <v>COLEGIO NEIL ARMSTRONG</v>
      </c>
      <c r="Q58" s="135" t="str">
        <f>+F8</f>
        <v>G</v>
      </c>
      <c r="R58" s="135" t="str">
        <f>+F17</f>
        <v>E</v>
      </c>
      <c r="S58" s="135" t="str">
        <f>+F20</f>
        <v/>
      </c>
      <c r="T58" s="135" t="str">
        <f>+F29</f>
        <v>G</v>
      </c>
    </row>
    <row r="59" spans="16:20" x14ac:dyDescent="0.3">
      <c r="P59" s="136" t="str">
        <f>+'PRE BABY GRUPOS'!C8</f>
        <v>CLUB LOS PAPETICOS</v>
      </c>
      <c r="Q59" s="135" t="str">
        <f>+F11</f>
        <v>G</v>
      </c>
      <c r="R59" s="135" t="str">
        <f>+J17</f>
        <v>E</v>
      </c>
      <c r="S59" s="135" t="str">
        <f>+F23</f>
        <v/>
      </c>
      <c r="T59" s="135" t="str">
        <f>+F32</f>
        <v>G</v>
      </c>
    </row>
    <row r="60" spans="16:20" x14ac:dyDescent="0.3">
      <c r="P60" s="136" t="str">
        <f>+'PRE BABY GRUPOS'!C9</f>
        <v>CLUB CAMPESTRE IBAGUE UNO</v>
      </c>
      <c r="Q60" s="135" t="str">
        <f>+F14</f>
        <v>G</v>
      </c>
      <c r="R60" s="135" t="str">
        <f>+F26</f>
        <v/>
      </c>
      <c r="S60" s="135" t="str">
        <f>+J29</f>
        <v>P</v>
      </c>
      <c r="T60" s="135" t="str">
        <f>+J32</f>
        <v>P</v>
      </c>
    </row>
  </sheetData>
  <mergeCells count="281"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  <mergeCell ref="K20:K21"/>
    <mergeCell ref="K23:K24"/>
    <mergeCell ref="K26:K27"/>
    <mergeCell ref="K29:K30"/>
    <mergeCell ref="K32:K33"/>
    <mergeCell ref="P20:P21"/>
    <mergeCell ref="J32:J33"/>
    <mergeCell ref="L32:L33"/>
    <mergeCell ref="L26:L27"/>
    <mergeCell ref="J26:J27"/>
    <mergeCell ref="J23:J24"/>
    <mergeCell ref="L23:L24"/>
    <mergeCell ref="J29:J30"/>
    <mergeCell ref="L29:L30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AD20:AD21"/>
    <mergeCell ref="AE20:AE21"/>
    <mergeCell ref="AF20:AF21"/>
    <mergeCell ref="AC26:AC27"/>
    <mergeCell ref="AD26:AD27"/>
    <mergeCell ref="AE26:AE27"/>
    <mergeCell ref="AD24:AD25"/>
    <mergeCell ref="AE24:AE25"/>
    <mergeCell ref="AF24:AF25"/>
    <mergeCell ref="D32:D33"/>
    <mergeCell ref="F32:F33"/>
    <mergeCell ref="G32:G33"/>
    <mergeCell ref="H32:H33"/>
    <mergeCell ref="I32:I33"/>
    <mergeCell ref="E32:E33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H29:H30"/>
    <mergeCell ref="I29:I30"/>
    <mergeCell ref="I26:I27"/>
    <mergeCell ref="G26:G27"/>
    <mergeCell ref="H26:H27"/>
    <mergeCell ref="G23:G24"/>
    <mergeCell ref="H23:H24"/>
    <mergeCell ref="I23:I24"/>
    <mergeCell ref="AH22:AH23"/>
    <mergeCell ref="AH28:AH29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F23:F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AF14:AF15"/>
    <mergeCell ref="AG14:AG15"/>
    <mergeCell ref="AH14:AH15"/>
    <mergeCell ref="AI14:AI15"/>
    <mergeCell ref="AJ14:AJ15"/>
    <mergeCell ref="AK14:AK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L17:L18"/>
    <mergeCell ref="K17:K18"/>
    <mergeCell ref="J17:J18"/>
    <mergeCell ref="I17:I18"/>
    <mergeCell ref="H17:H18"/>
    <mergeCell ref="G17:G18"/>
    <mergeCell ref="F17:F18"/>
    <mergeCell ref="E17:E18"/>
    <mergeCell ref="D17:D18"/>
  </mergeCells>
  <conditionalFormatting sqref="G8:G9">
    <cfRule type="expression" dxfId="401" priority="22" stopIfTrue="1">
      <formula>F8="P"</formula>
    </cfRule>
    <cfRule type="expression" dxfId="400" priority="23" stopIfTrue="1">
      <formula>F8="E"</formula>
    </cfRule>
    <cfRule type="expression" dxfId="399" priority="24" stopIfTrue="1">
      <formula>F8="G"</formula>
    </cfRule>
  </conditionalFormatting>
  <conditionalFormatting sqref="G11:G12">
    <cfRule type="expression" dxfId="398" priority="7" stopIfTrue="1">
      <formula>F11="P"</formula>
    </cfRule>
    <cfRule type="expression" dxfId="397" priority="8" stopIfTrue="1">
      <formula>F11="E"</formula>
    </cfRule>
    <cfRule type="expression" dxfId="396" priority="9" stopIfTrue="1">
      <formula>F11="G"</formula>
    </cfRule>
  </conditionalFormatting>
  <conditionalFormatting sqref="G14:G15">
    <cfRule type="expression" dxfId="395" priority="4" stopIfTrue="1">
      <formula>F14="P"</formula>
    </cfRule>
    <cfRule type="expression" dxfId="394" priority="5" stopIfTrue="1">
      <formula>F14="E"</formula>
    </cfRule>
    <cfRule type="expression" dxfId="393" priority="6" stopIfTrue="1">
      <formula>F14="G"</formula>
    </cfRule>
  </conditionalFormatting>
  <conditionalFormatting sqref="G17:G18">
    <cfRule type="expression" dxfId="392" priority="2" stopIfTrue="1">
      <formula>F17="E"</formula>
    </cfRule>
    <cfRule type="expression" dxfId="391" priority="3" stopIfTrue="1">
      <formula>F17="G"</formula>
    </cfRule>
    <cfRule type="expression" dxfId="390" priority="1" stopIfTrue="1">
      <formula>F17="P"</formula>
    </cfRule>
  </conditionalFormatting>
  <conditionalFormatting sqref="G20:G21">
    <cfRule type="expression" dxfId="389" priority="59" stopIfTrue="1">
      <formula>F20="E"</formula>
    </cfRule>
    <cfRule type="expression" dxfId="388" priority="58" stopIfTrue="1">
      <formula>F20="P"</formula>
    </cfRule>
    <cfRule type="expression" dxfId="387" priority="60" stopIfTrue="1">
      <formula>F20="G"</formula>
    </cfRule>
  </conditionalFormatting>
  <conditionalFormatting sqref="G23:G24">
    <cfRule type="expression" dxfId="386" priority="37" stopIfTrue="1">
      <formula>F23="P"</formula>
    </cfRule>
    <cfRule type="expression" dxfId="385" priority="38" stopIfTrue="1">
      <formula>F23="E"</formula>
    </cfRule>
    <cfRule type="expression" dxfId="384" priority="39" stopIfTrue="1">
      <formula>F23="G"</formula>
    </cfRule>
  </conditionalFormatting>
  <conditionalFormatting sqref="G26:G27">
    <cfRule type="expression" dxfId="383" priority="34" stopIfTrue="1">
      <formula>F26="P"</formula>
    </cfRule>
    <cfRule type="expression" dxfId="382" priority="35" stopIfTrue="1">
      <formula>F26="E"</formula>
    </cfRule>
    <cfRule type="expression" dxfId="381" priority="36" stopIfTrue="1">
      <formula>F26="G"</formula>
    </cfRule>
  </conditionalFormatting>
  <conditionalFormatting sqref="G29:G30">
    <cfRule type="expression" dxfId="380" priority="31" stopIfTrue="1">
      <formula>F29="P"</formula>
    </cfRule>
    <cfRule type="expression" dxfId="379" priority="32" stopIfTrue="1">
      <formula>F29="E"</formula>
    </cfRule>
    <cfRule type="expression" dxfId="378" priority="33" stopIfTrue="1">
      <formula>F29="G"</formula>
    </cfRule>
  </conditionalFormatting>
  <conditionalFormatting sqref="G32:G33">
    <cfRule type="expression" dxfId="377" priority="30" stopIfTrue="1">
      <formula>F32="G"</formula>
    </cfRule>
    <cfRule type="expression" dxfId="376" priority="29" stopIfTrue="1">
      <formula>F32="E"</formula>
    </cfRule>
    <cfRule type="expression" dxfId="375" priority="28" stopIfTrue="1">
      <formula>F32="P"</formula>
    </cfRule>
  </conditionalFormatting>
  <conditionalFormatting sqref="I8:I9">
    <cfRule type="expression" dxfId="374" priority="10" stopIfTrue="1">
      <formula>J8="P"</formula>
    </cfRule>
    <cfRule type="expression" dxfId="373" priority="11" stopIfTrue="1">
      <formula>J8="E"</formula>
    </cfRule>
    <cfRule type="expression" dxfId="372" priority="12" stopIfTrue="1">
      <formula>J8="G"</formula>
    </cfRule>
  </conditionalFormatting>
  <conditionalFormatting sqref="I11:I12">
    <cfRule type="expression" dxfId="371" priority="13" stopIfTrue="1">
      <formula>J11="P"</formula>
    </cfRule>
    <cfRule type="expression" dxfId="370" priority="14" stopIfTrue="1">
      <formula>J11="E"</formula>
    </cfRule>
    <cfRule type="expression" dxfId="369" priority="15" stopIfTrue="1">
      <formula>J11="G"</formula>
    </cfRule>
  </conditionalFormatting>
  <conditionalFormatting sqref="I14:I15">
    <cfRule type="expression" dxfId="368" priority="16" stopIfTrue="1">
      <formula>J14="P"</formula>
    </cfRule>
    <cfRule type="expression" dxfId="367" priority="17" stopIfTrue="1">
      <formula>J14="E"</formula>
    </cfRule>
    <cfRule type="expression" dxfId="366" priority="18" stopIfTrue="1">
      <formula>J14="G"</formula>
    </cfRule>
  </conditionalFormatting>
  <conditionalFormatting sqref="I17:I18">
    <cfRule type="expression" dxfId="365" priority="19" stopIfTrue="1">
      <formula>J17="P"</formula>
    </cfRule>
    <cfRule type="expression" dxfId="364" priority="20" stopIfTrue="1">
      <formula>J17="E"</formula>
    </cfRule>
    <cfRule type="expression" dxfId="363" priority="21" stopIfTrue="1">
      <formula>J17="G"</formula>
    </cfRule>
  </conditionalFormatting>
  <conditionalFormatting sqref="I20:I21">
    <cfRule type="expression" dxfId="362" priority="43" stopIfTrue="1">
      <formula>J20="P"</formula>
    </cfRule>
    <cfRule type="expression" dxfId="361" priority="44" stopIfTrue="1">
      <formula>J20="E"</formula>
    </cfRule>
    <cfRule type="expression" dxfId="360" priority="45" stopIfTrue="1">
      <formula>J20="G"</formula>
    </cfRule>
  </conditionalFormatting>
  <conditionalFormatting sqref="I23:I24">
    <cfRule type="expression" dxfId="359" priority="48" stopIfTrue="1">
      <formula>J23="G"</formula>
    </cfRule>
    <cfRule type="expression" dxfId="358" priority="47" stopIfTrue="1">
      <formula>J23="E"</formula>
    </cfRule>
    <cfRule type="expression" dxfId="357" priority="46" stopIfTrue="1">
      <formula>J23="P"</formula>
    </cfRule>
  </conditionalFormatting>
  <conditionalFormatting sqref="I26:I27">
    <cfRule type="expression" dxfId="356" priority="49" stopIfTrue="1">
      <formula>J26="P"</formula>
    </cfRule>
    <cfRule type="expression" dxfId="355" priority="50" stopIfTrue="1">
      <formula>J26="E"</formula>
    </cfRule>
    <cfRule type="expression" dxfId="354" priority="51" stopIfTrue="1">
      <formula>J26="G"</formula>
    </cfRule>
  </conditionalFormatting>
  <conditionalFormatting sqref="I29:I30">
    <cfRule type="expression" dxfId="353" priority="52" stopIfTrue="1">
      <formula>J29="P"</formula>
    </cfRule>
    <cfRule type="expression" dxfId="352" priority="53" stopIfTrue="1">
      <formula>J29="E"</formula>
    </cfRule>
    <cfRule type="expression" dxfId="351" priority="54" stopIfTrue="1">
      <formula>J29="G"</formula>
    </cfRule>
  </conditionalFormatting>
  <conditionalFormatting sqref="I32:I33">
    <cfRule type="expression" dxfId="350" priority="55" stopIfTrue="1">
      <formula>J32="P"</formula>
    </cfRule>
    <cfRule type="expression" dxfId="349" priority="56" stopIfTrue="1">
      <formula>J32="E"</formula>
    </cfRule>
    <cfRule type="expression" dxfId="348" priority="57" stopIfTrue="1">
      <formula>J32="G"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0"/>
  <sheetViews>
    <sheetView topLeftCell="A12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5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33" t="str">
        <f>+'PRE BABY GRUPOS'!C1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1:38" s="3" customFormat="1" ht="24.6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38" s="3" customFormat="1" ht="34.5" customHeight="1" x14ac:dyDescent="0.65">
      <c r="B3" s="353" t="e">
        <f>+'PRE BABY GRUPOS'!#REF!</f>
        <v>#REF!</v>
      </c>
      <c r="C3" s="353"/>
      <c r="D3" s="353"/>
      <c r="E3" s="353"/>
      <c r="F3" s="280" t="str">
        <f>+'PRE BABY GRUPOS'!C3</f>
        <v>NACIDOS 2012 2013</v>
      </c>
      <c r="G3" s="280"/>
      <c r="H3" s="280"/>
      <c r="I3" s="280"/>
      <c r="J3" s="280"/>
      <c r="K3" s="280"/>
      <c r="Y3" s="65"/>
      <c r="Z3" s="46"/>
    </row>
    <row r="4" spans="1:38" s="3" customFormat="1" ht="30.6" customHeight="1" x14ac:dyDescent="0.3">
      <c r="B4" s="354" t="str">
        <f>+'PRE BABY GRUPOS'!E6</f>
        <v>GRUPO B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Y4" s="48"/>
      <c r="Z4" s="47"/>
    </row>
    <row r="5" spans="1:38" s="3" customFormat="1" ht="15" customHeight="1" x14ac:dyDescent="0.3"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S5" s="1"/>
    </row>
    <row r="6" spans="1:38" ht="21.75" customHeight="1" x14ac:dyDescent="0.45">
      <c r="A6" s="1"/>
      <c r="B6" s="339" t="s">
        <v>4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19"/>
      <c r="O6" s="19"/>
      <c r="P6" s="336" t="s">
        <v>14</v>
      </c>
      <c r="Q6" s="337"/>
      <c r="R6" s="337"/>
      <c r="S6" s="337"/>
      <c r="T6" s="337"/>
      <c r="U6" s="337"/>
      <c r="V6" s="337"/>
      <c r="W6" s="337"/>
      <c r="X6" s="337"/>
      <c r="Y6" s="33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9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5"/>
      <c r="B8" s="56">
        <f>+'GRUPO A'!B8</f>
        <v>42966</v>
      </c>
      <c r="C8" s="52" t="str">
        <f>+'GRUPO A'!C8</f>
        <v>04:40. p.m.</v>
      </c>
      <c r="D8" s="298"/>
      <c r="E8" s="299" t="str">
        <f>+'GRUPO A'!E8:E9</f>
        <v>COLEGIO NEIL ARMSTRONG</v>
      </c>
      <c r="F8" s="300" t="str">
        <f>IF(AND(G8&lt;&gt;"",I8&lt;&gt;""),IF(G8=I8,"E",IF(G8&gt;I8,"G","P")),"")</f>
        <v>G</v>
      </c>
      <c r="G8" s="341">
        <v>4</v>
      </c>
      <c r="H8" s="301" t="s">
        <v>15</v>
      </c>
      <c r="I8" s="341">
        <v>2</v>
      </c>
      <c r="J8" s="300" t="str">
        <f>IF(AND(I8&lt;&gt;"",G8&lt;&gt;""),IF(I8=G8,"E",IF(I8&gt;G8,"G","P")),"")</f>
        <v>P</v>
      </c>
      <c r="K8" s="299" t="str">
        <f>+'GRUPO A'!K8:K9</f>
        <v>COLEGIO PRINCIPADO DE MONACO</v>
      </c>
      <c r="L8" s="302"/>
      <c r="M8" s="113" t="str">
        <f>+'GRUPO A'!M8</f>
        <v>CANCHA 1 C</v>
      </c>
      <c r="N8" s="117"/>
      <c r="O8" s="68"/>
      <c r="P8" s="315"/>
      <c r="Q8" s="317" t="s">
        <v>7</v>
      </c>
      <c r="R8" s="319" t="s">
        <v>16</v>
      </c>
      <c r="S8" s="309" t="s">
        <v>8</v>
      </c>
      <c r="T8" s="309" t="s">
        <v>9</v>
      </c>
      <c r="U8" s="309" t="s">
        <v>10</v>
      </c>
      <c r="V8" s="309" t="s">
        <v>11</v>
      </c>
      <c r="W8" s="309" t="s">
        <v>12</v>
      </c>
      <c r="X8" s="309" t="s">
        <v>13</v>
      </c>
      <c r="Y8" s="309" t="s">
        <v>35</v>
      </c>
      <c r="Z8" s="311"/>
      <c r="AA8" s="28"/>
      <c r="AB8" s="313"/>
      <c r="AC8" s="313"/>
      <c r="AD8" s="313"/>
      <c r="AE8" s="313"/>
      <c r="AF8" s="313"/>
      <c r="AG8" s="313"/>
      <c r="AH8" s="313"/>
      <c r="AI8" s="28"/>
      <c r="AJ8" s="313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6"/>
      <c r="B9" s="56"/>
      <c r="C9" s="52"/>
      <c r="D9" s="298"/>
      <c r="E9" s="299"/>
      <c r="F9" s="300"/>
      <c r="G9" s="342"/>
      <c r="H9" s="301"/>
      <c r="I9" s="342"/>
      <c r="J9" s="300"/>
      <c r="K9" s="299"/>
      <c r="L9" s="302"/>
      <c r="M9" s="54"/>
      <c r="N9" s="67"/>
      <c r="O9" s="67"/>
      <c r="P9" s="316"/>
      <c r="Q9" s="318"/>
      <c r="R9" s="320"/>
      <c r="S9" s="310"/>
      <c r="T9" s="310"/>
      <c r="U9" s="310"/>
      <c r="V9" s="310"/>
      <c r="W9" s="310"/>
      <c r="X9" s="310"/>
      <c r="Y9" s="310"/>
      <c r="Z9" s="312"/>
      <c r="AA9" s="28"/>
      <c r="AB9" s="314"/>
      <c r="AC9" s="314"/>
      <c r="AD9" s="314"/>
      <c r="AE9" s="314"/>
      <c r="AF9" s="314"/>
      <c r="AG9" s="314"/>
      <c r="AH9" s="314"/>
      <c r="AI9" s="28"/>
      <c r="AJ9" s="314"/>
      <c r="AK9" s="3"/>
      <c r="AL9" s="3"/>
    </row>
    <row r="10" spans="1:38" ht="22.5" customHeight="1" x14ac:dyDescent="0.3">
      <c r="A10" s="6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7"/>
      <c r="P10" s="344" t="str">
        <f>"  1)  " &amp; VLOOKUP(1,$Z$10:$AI$17,2,0)</f>
        <v xml:space="preserve">  1)  CLUB ARIEL ARMEL</v>
      </c>
      <c r="Q10" s="305">
        <f>VLOOKUP(1,$Z$10:$AI$17,3,0)</f>
        <v>4</v>
      </c>
      <c r="R10" s="307">
        <f>+SUM(S10:U11)</f>
        <v>3</v>
      </c>
      <c r="S10" s="294">
        <f>VLOOKUP(1,$Z$10:$AI$17,4,0)</f>
        <v>1</v>
      </c>
      <c r="T10" s="294">
        <f>VLOOKUP(1,$Z$10:$AI$17,5,0)</f>
        <v>1</v>
      </c>
      <c r="U10" s="294">
        <f>VLOOKUP(1,$Z$10:$AI$17,6,0)</f>
        <v>1</v>
      </c>
      <c r="V10" s="351">
        <f>VLOOKUP(1,$Z$10:$AI$17,7,0)</f>
        <v>7</v>
      </c>
      <c r="W10" s="294">
        <f>VLOOKUP(1,$Z$10:$AI$17,8,0)</f>
        <v>4</v>
      </c>
      <c r="X10" s="294">
        <f>VLOOKUP(1,$Z$10:$AH$17,9,0)</f>
        <v>3</v>
      </c>
      <c r="Y10" s="294">
        <f>VLOOKUP(1,$Z$10:$AI$17,10,0)</f>
        <v>0</v>
      </c>
      <c r="Z10" s="296">
        <f>RANK(AJ10,$AJ$10:$AJ$17,0)</f>
        <v>3</v>
      </c>
      <c r="AA10" s="289" t="str">
        <f>+'PRE BABY GRUPOS'!E7</f>
        <v>COLEGIO PRINCIPADO DE MONACO</v>
      </c>
      <c r="AB10" s="289">
        <f>(AC10*3)+AD10</f>
        <v>1</v>
      </c>
      <c r="AC10" s="289">
        <f>COUNTIF(Q58:T58,"G")</f>
        <v>0</v>
      </c>
      <c r="AD10" s="289">
        <f>COUNTIF(Q58:T58,"E")</f>
        <v>1</v>
      </c>
      <c r="AE10" s="289">
        <f>COUNTIF(Q58:T58,"P")</f>
        <v>2</v>
      </c>
      <c r="AF10" s="289">
        <f>+I8+G20+G29+G17</f>
        <v>7</v>
      </c>
      <c r="AG10" s="289">
        <f>+I17+I20+I29+G8</f>
        <v>12</v>
      </c>
      <c r="AH10" s="289">
        <f>AF10-AG10</f>
        <v>-5</v>
      </c>
      <c r="AI10" s="291">
        <f>+A17+A20+A29+N8</f>
        <v>0</v>
      </c>
      <c r="AJ10" s="289">
        <f>(AB10*1000)+(AH10*100)+(AF10*10)-AI10+0.1</f>
        <v>570.1</v>
      </c>
      <c r="AK10" s="292">
        <f>AJ10+X10</f>
        <v>573.1</v>
      </c>
      <c r="AL10" s="3"/>
    </row>
    <row r="11" spans="1:38" ht="15.75" customHeight="1" x14ac:dyDescent="0.3">
      <c r="A11" s="116"/>
      <c r="B11" s="57">
        <f>+'GRUPO A'!B11</f>
        <v>42965</v>
      </c>
      <c r="C11" s="53" t="str">
        <f>+'GRUPO A'!C11</f>
        <v>11:55. a.m.</v>
      </c>
      <c r="D11" s="288"/>
      <c r="E11" s="282" t="str">
        <f>+'GRUPO A'!E11:E12</f>
        <v>CLUB LOS PAPETICOS</v>
      </c>
      <c r="F11" s="300" t="str">
        <f>IF(AND(G11&lt;&gt;"",I11&lt;&gt;""),IF(G11=I11,"E",IF(G11&gt;I11,"G","P")),"")</f>
        <v>G</v>
      </c>
      <c r="G11" s="341">
        <v>3</v>
      </c>
      <c r="H11" s="301" t="s">
        <v>15</v>
      </c>
      <c r="I11" s="341">
        <v>2</v>
      </c>
      <c r="J11" s="300" t="str">
        <f>IF(AND(I11&lt;&gt;"",G11&lt;&gt;""),IF(I11=G11,"E",IF(I11&gt;G11,"G","P")),"")</f>
        <v>P</v>
      </c>
      <c r="K11" s="282" t="str">
        <f>+'GRUPO A'!K11:K12</f>
        <v>CLUB ARIEL ARMEL</v>
      </c>
      <c r="L11" s="281"/>
      <c r="M11" s="114" t="str">
        <f>+'GRUPO A'!M11</f>
        <v>CANCHA 1 A</v>
      </c>
      <c r="N11" s="118"/>
      <c r="O11" s="68"/>
      <c r="P11" s="345"/>
      <c r="Q11" s="306"/>
      <c r="R11" s="308"/>
      <c r="S11" s="295"/>
      <c r="T11" s="295"/>
      <c r="U11" s="295"/>
      <c r="V11" s="352"/>
      <c r="W11" s="295"/>
      <c r="X11" s="295"/>
      <c r="Y11" s="295"/>
      <c r="Z11" s="297"/>
      <c r="AA11" s="290"/>
      <c r="AB11" s="290"/>
      <c r="AC11" s="290"/>
      <c r="AD11" s="290"/>
      <c r="AE11" s="290"/>
      <c r="AF11" s="290"/>
      <c r="AG11" s="290"/>
      <c r="AH11" s="290"/>
      <c r="AI11" s="346"/>
      <c r="AJ11" s="290"/>
      <c r="AK11" s="293"/>
      <c r="AL11" s="3"/>
    </row>
    <row r="12" spans="1:38" ht="15.75" customHeight="1" x14ac:dyDescent="0.3">
      <c r="A12" s="66"/>
      <c r="B12" s="57"/>
      <c r="C12" s="53"/>
      <c r="D12" s="288"/>
      <c r="E12" s="282"/>
      <c r="F12" s="300"/>
      <c r="G12" s="342"/>
      <c r="H12" s="301"/>
      <c r="I12" s="342"/>
      <c r="J12" s="300"/>
      <c r="K12" s="282"/>
      <c r="L12" s="281"/>
      <c r="M12" s="55"/>
      <c r="N12" s="67"/>
      <c r="O12" s="67"/>
      <c r="P12" s="344" t="str">
        <f>"  2)  " &amp; VLOOKUP(2,$Z$10:$AI$17,2,0)</f>
        <v xml:space="preserve">  2)  CENTAUROS DEL ARIARI</v>
      </c>
      <c r="Q12" s="305">
        <f>VLOOKUP(2,$Z$10:$AI$17,3,0)</f>
        <v>3</v>
      </c>
      <c r="R12" s="307">
        <f>+SUM(S12:U13)</f>
        <v>3</v>
      </c>
      <c r="S12" s="294">
        <f>VLOOKUP(2,$Z$10:$AI$17,4,0)</f>
        <v>1</v>
      </c>
      <c r="T12" s="294">
        <f>VLOOKUP(2,$Z$10:$AI$17,5,0)</f>
        <v>0</v>
      </c>
      <c r="U12" s="294">
        <f>VLOOKUP(2,$Z$10:$AI$17,6,0)</f>
        <v>2</v>
      </c>
      <c r="V12" s="294">
        <f>VLOOKUP(2,$Z$10:$AI$17,7,0)</f>
        <v>4</v>
      </c>
      <c r="W12" s="294">
        <f>VLOOKUP(2,$Z$10:$AI$17,8,0)</f>
        <v>5</v>
      </c>
      <c r="X12" s="294">
        <f>VLOOKUP(2,$Z$10:$AH$17,9,0)</f>
        <v>-1</v>
      </c>
      <c r="Y12" s="294">
        <f>VLOOKUP(2,$Z$10:$AI$17,10,0)</f>
        <v>0</v>
      </c>
      <c r="Z12" s="296">
        <f>RANK(AJ12,$AJ$10:$AJ$17,0)</f>
        <v>1</v>
      </c>
      <c r="AA12" s="289" t="str">
        <f>+'PRE BABY GRUPOS'!E8</f>
        <v>CLUB ARIEL ARMEL</v>
      </c>
      <c r="AB12" s="289">
        <f>(AC12*3)+AD12</f>
        <v>4</v>
      </c>
      <c r="AC12" s="289">
        <f>COUNTIF(Q59:T59,"G")</f>
        <v>1</v>
      </c>
      <c r="AD12" s="289">
        <f>COUNTIF(Q59:T59,"E")</f>
        <v>1</v>
      </c>
      <c r="AE12" s="289">
        <f>COUNTIF(Q59:T59,"P")</f>
        <v>1</v>
      </c>
      <c r="AF12" s="289">
        <f>+G23+I17+G32+I11</f>
        <v>7</v>
      </c>
      <c r="AG12" s="349">
        <f>+G17+I23+I32+G11-3</f>
        <v>4</v>
      </c>
      <c r="AH12" s="289">
        <f>AF12-AG12</f>
        <v>3</v>
      </c>
      <c r="AI12" s="291">
        <f>+N17+A23+A32+N11</f>
        <v>0</v>
      </c>
      <c r="AJ12" s="289">
        <f>(AB12*1000)+(AH12*100)+(AF12*10)-AI12+0.2</f>
        <v>4370.2</v>
      </c>
      <c r="AK12" s="292">
        <f>AJ12+X12</f>
        <v>4369.2</v>
      </c>
      <c r="AL12" s="3"/>
    </row>
    <row r="13" spans="1:38" ht="22.5" customHeight="1" x14ac:dyDescent="0.3">
      <c r="A13" s="6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7"/>
      <c r="P13" s="345"/>
      <c r="Q13" s="306"/>
      <c r="R13" s="308"/>
      <c r="S13" s="295"/>
      <c r="T13" s="295"/>
      <c r="U13" s="295"/>
      <c r="V13" s="295"/>
      <c r="W13" s="295"/>
      <c r="X13" s="295"/>
      <c r="Y13" s="295"/>
      <c r="Z13" s="297"/>
      <c r="AA13" s="290"/>
      <c r="AB13" s="290"/>
      <c r="AC13" s="290"/>
      <c r="AD13" s="290"/>
      <c r="AE13" s="290"/>
      <c r="AF13" s="290"/>
      <c r="AG13" s="350"/>
      <c r="AH13" s="290"/>
      <c r="AI13" s="346"/>
      <c r="AJ13" s="290"/>
      <c r="AK13" s="293"/>
      <c r="AL13" s="3"/>
    </row>
    <row r="14" spans="1:38" ht="15" customHeight="1" x14ac:dyDescent="0.3">
      <c r="A14" s="115"/>
      <c r="B14" s="56">
        <f>+'GRUPO A'!B14</f>
        <v>42967</v>
      </c>
      <c r="C14" s="52" t="str">
        <f>+'GRUPO A'!C14</f>
        <v>02:55. p.m.</v>
      </c>
      <c r="D14" s="298"/>
      <c r="E14" s="299" t="str">
        <f>+'GRUPO A'!E14:E15</f>
        <v>CLUB CAMPESTRE IBAGUE UNO</v>
      </c>
      <c r="F14" s="300" t="str">
        <f>IF(AND(G14&lt;&gt;"",I14&lt;&gt;""),IF(G14=I14,"E",IF(G14&gt;I14,"G","P")),"")</f>
        <v>G</v>
      </c>
      <c r="G14" s="341">
        <v>3</v>
      </c>
      <c r="H14" s="301" t="s">
        <v>15</v>
      </c>
      <c r="I14" s="341">
        <v>0</v>
      </c>
      <c r="J14" s="300" t="str">
        <f>IF(AND(I14&lt;&gt;"",G14&lt;&gt;""),IF(I14=G14,"E",IF(I14&gt;G14,"G","P")),"")</f>
        <v>P</v>
      </c>
      <c r="K14" s="299" t="str">
        <f>+'GRUPO A'!K14:K15</f>
        <v>CENTAUROS DEL ARIARI</v>
      </c>
      <c r="L14" s="302"/>
      <c r="M14" s="113" t="str">
        <f>+'GRUPO A'!M14</f>
        <v>CANCHA 1 B</v>
      </c>
      <c r="N14" s="117"/>
      <c r="O14" s="68"/>
      <c r="P14" s="344" t="str">
        <f>"  3)  " &amp; VLOOKUP(3,$Z$10:$AI$17,2,0)</f>
        <v xml:space="preserve">  3)  COLEGIO PRINCIPADO DE MONACO</v>
      </c>
      <c r="Q14" s="305">
        <f>VLOOKUP(3,$Z$10:$AI$17,3,0)</f>
        <v>1</v>
      </c>
      <c r="R14" s="307">
        <f>+SUM(S14:U15)</f>
        <v>3</v>
      </c>
      <c r="S14" s="294">
        <f>VLOOKUP(3,$Z$10:$AI$17,4,0)</f>
        <v>0</v>
      </c>
      <c r="T14" s="294">
        <f>VLOOKUP(3,$Z$10:$AI$17,5,0)</f>
        <v>1</v>
      </c>
      <c r="U14" s="294">
        <f>VLOOKUP(3,$Z$10:$AI$17,6,0)</f>
        <v>2</v>
      </c>
      <c r="V14" s="294">
        <f>VLOOKUP(3,$Z$10:$AI$17,7,0)</f>
        <v>7</v>
      </c>
      <c r="W14" s="347">
        <f>VLOOKUP(3,$Z$10:$AI$17,8,0)</f>
        <v>12</v>
      </c>
      <c r="X14" s="294">
        <f>VLOOKUP(3,$Z$10:$AI$17,9,0)</f>
        <v>-5</v>
      </c>
      <c r="Y14" s="294">
        <f>VLOOKUP(3,$Z$10:$AI$17,10,0)</f>
        <v>0</v>
      </c>
      <c r="Z14" s="296">
        <f>RANK(AJ14,$AJ$10:$AJ$17,0)</f>
        <v>2</v>
      </c>
      <c r="AA14" s="289" t="str">
        <f>+'PRE BABY GRUPOS'!E9</f>
        <v>CENTAUROS DEL ARIARI</v>
      </c>
      <c r="AB14" s="289">
        <f>(AC14*3)+AD14</f>
        <v>3</v>
      </c>
      <c r="AC14" s="289">
        <f>COUNTIF(Q60:T60,"G")</f>
        <v>1</v>
      </c>
      <c r="AD14" s="289">
        <f>COUNTIF(Q60:T60,"E")</f>
        <v>0</v>
      </c>
      <c r="AE14" s="289">
        <f>COUNTIF(Q60:T60,"P")</f>
        <v>2</v>
      </c>
      <c r="AF14" s="289">
        <f>+G26+I29+I32+I14</f>
        <v>4</v>
      </c>
      <c r="AG14" s="289">
        <f>+G29+I26+G32+G14</f>
        <v>5</v>
      </c>
      <c r="AH14" s="289">
        <f>AF14-AG14</f>
        <v>-1</v>
      </c>
      <c r="AI14" s="291">
        <f>+A26+N29+N32+N14</f>
        <v>0</v>
      </c>
      <c r="AJ14" s="289">
        <f>(AB14*1000)+(AH14*100)+(AF14*10)-AI14+0.3</f>
        <v>2940.3</v>
      </c>
      <c r="AK14" s="292">
        <f>+X14</f>
        <v>-5</v>
      </c>
      <c r="AL14" s="3"/>
    </row>
    <row r="15" spans="1:38" ht="15" customHeight="1" x14ac:dyDescent="0.3">
      <c r="A15" s="66"/>
      <c r="B15" s="56"/>
      <c r="C15" s="52"/>
      <c r="D15" s="298"/>
      <c r="E15" s="299"/>
      <c r="F15" s="300"/>
      <c r="G15" s="342"/>
      <c r="H15" s="301"/>
      <c r="I15" s="342"/>
      <c r="J15" s="300"/>
      <c r="K15" s="299"/>
      <c r="L15" s="302"/>
      <c r="M15" s="54"/>
      <c r="N15" s="67"/>
      <c r="O15" s="67"/>
      <c r="P15" s="345"/>
      <c r="Q15" s="306"/>
      <c r="R15" s="308"/>
      <c r="S15" s="295"/>
      <c r="T15" s="295"/>
      <c r="U15" s="295"/>
      <c r="V15" s="295"/>
      <c r="W15" s="348"/>
      <c r="X15" s="295"/>
      <c r="Y15" s="295"/>
      <c r="Z15" s="297"/>
      <c r="AA15" s="290"/>
      <c r="AB15" s="290"/>
      <c r="AC15" s="290"/>
      <c r="AD15" s="290"/>
      <c r="AE15" s="290"/>
      <c r="AF15" s="290"/>
      <c r="AG15" s="290"/>
      <c r="AH15" s="290"/>
      <c r="AI15" s="346"/>
      <c r="AJ15" s="290"/>
      <c r="AK15" s="293"/>
      <c r="AL15" s="3"/>
    </row>
    <row r="16" spans="1:38" ht="21.75" customHeight="1" x14ac:dyDescent="0.3">
      <c r="A16" s="6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7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</row>
    <row r="17" spans="1:38" ht="15" customHeight="1" x14ac:dyDescent="0.3">
      <c r="A17" s="116"/>
      <c r="B17" s="57">
        <v>42967</v>
      </c>
      <c r="C17" s="53" t="s">
        <v>76</v>
      </c>
      <c r="D17" s="288"/>
      <c r="E17" s="282" t="str">
        <f>+'PRE BABY GRUPOS'!E7</f>
        <v>COLEGIO PRINCIPADO DE MONACO</v>
      </c>
      <c r="F17" s="300" t="str">
        <f>IF(AND(G17&lt;&gt;"",I17&lt;&gt;""),IF(G17=I17,"E",IF(G17&gt;I17,"G","P")),"")</f>
        <v>E</v>
      </c>
      <c r="G17" s="341">
        <v>4</v>
      </c>
      <c r="H17" s="301" t="s">
        <v>15</v>
      </c>
      <c r="I17" s="341">
        <v>4</v>
      </c>
      <c r="J17" s="300" t="str">
        <f>IF(AND(I17&lt;&gt;"",G17&lt;&gt;""),IF(I17=G17,"E",IF(I17&gt;G17,"G","P")),"")</f>
        <v>E</v>
      </c>
      <c r="K17" s="282" t="str">
        <f>+'PRE BABY GRUPOS'!E8</f>
        <v>CLUB ARIEL ARMEL</v>
      </c>
      <c r="L17" s="281"/>
      <c r="M17" s="114" t="s">
        <v>91</v>
      </c>
      <c r="N17" s="118"/>
      <c r="O17" s="6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8" ht="15" customHeight="1" x14ac:dyDescent="0.3">
      <c r="A18" s="66"/>
      <c r="B18" s="57"/>
      <c r="C18" s="53"/>
      <c r="D18" s="288"/>
      <c r="E18" s="282"/>
      <c r="F18" s="300"/>
      <c r="G18" s="342"/>
      <c r="H18" s="301"/>
      <c r="I18" s="342"/>
      <c r="J18" s="300"/>
      <c r="K18" s="282"/>
      <c r="L18" s="281"/>
      <c r="M18" s="55"/>
      <c r="N18" s="67"/>
      <c r="O18" s="67"/>
      <c r="P18" s="79"/>
      <c r="Q18" s="76"/>
      <c r="R18" s="76"/>
      <c r="S18" s="77"/>
      <c r="T18" s="77"/>
      <c r="U18" s="77"/>
      <c r="V18" s="77"/>
      <c r="W18" s="77"/>
      <c r="X18" s="77"/>
      <c r="Y18" s="77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28"/>
    </row>
    <row r="19" spans="1:38" s="3" customFormat="1" ht="15" customHeight="1" x14ac:dyDescent="0.3">
      <c r="A19" s="66"/>
      <c r="B19" s="208"/>
      <c r="C19" s="209"/>
      <c r="D19" s="210"/>
      <c r="E19" s="211"/>
      <c r="F19" s="212"/>
      <c r="G19" s="211"/>
      <c r="H19" s="211"/>
      <c r="I19" s="211"/>
      <c r="J19" s="211"/>
      <c r="K19" s="211"/>
      <c r="L19" s="213"/>
      <c r="M19" s="186"/>
      <c r="N19" s="67"/>
      <c r="O19" s="67"/>
      <c r="P19" s="79"/>
      <c r="Q19" s="76"/>
      <c r="R19" s="76"/>
      <c r="S19" s="77"/>
      <c r="T19" s="77"/>
      <c r="U19" s="77"/>
      <c r="V19" s="77"/>
      <c r="W19" s="77"/>
      <c r="X19" s="77"/>
      <c r="Y19" s="77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28"/>
    </row>
    <row r="20" spans="1:38" ht="15" customHeight="1" x14ac:dyDescent="0.3">
      <c r="A20" s="115"/>
      <c r="B20" s="56">
        <v>42966</v>
      </c>
      <c r="C20" s="52" t="s">
        <v>95</v>
      </c>
      <c r="D20" s="298"/>
      <c r="E20" s="299"/>
      <c r="F20" s="287" t="str">
        <f>IF(AND(G20&lt;&gt;"",I20&lt;&gt;""),IF(G20=I20,"E",IF(G20&gt;I20,"G","P")),"")</f>
        <v/>
      </c>
      <c r="G20" s="284"/>
      <c r="H20" s="286" t="s">
        <v>15</v>
      </c>
      <c r="I20" s="284"/>
      <c r="J20" s="283" t="str">
        <f>IF(AND(I20&lt;&gt;"",G20&lt;&gt;""),IF(I20=G20,"E",IF(I20&gt;G20,"G","P")),"")</f>
        <v/>
      </c>
      <c r="K20" s="299"/>
      <c r="L20" s="302"/>
      <c r="M20" s="113" t="s">
        <v>93</v>
      </c>
      <c r="N20" s="115"/>
      <c r="O20" s="6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6"/>
      <c r="B21" s="56"/>
      <c r="C21" s="52"/>
      <c r="D21" s="298"/>
      <c r="E21" s="299"/>
      <c r="F21" s="287"/>
      <c r="G21" s="285"/>
      <c r="H21" s="286"/>
      <c r="I21" s="285"/>
      <c r="J21" s="283"/>
      <c r="K21" s="299"/>
      <c r="L21" s="302"/>
      <c r="M21" s="54"/>
      <c r="N21" s="71"/>
      <c r="O21" s="6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6"/>
      <c r="B23" s="57">
        <v>42966</v>
      </c>
      <c r="C23" s="53" t="s">
        <v>98</v>
      </c>
      <c r="D23" s="288"/>
      <c r="E23" s="282"/>
      <c r="F23" s="287" t="str">
        <f>IF(AND(G23&lt;&gt;"",I23&lt;&gt;""),IF(G23=I23,"E",IF(G23&gt;I23,"G","P")),"")</f>
        <v/>
      </c>
      <c r="G23" s="284"/>
      <c r="H23" s="286" t="s">
        <v>15</v>
      </c>
      <c r="I23" s="284"/>
      <c r="J23" s="283" t="str">
        <f>IF(AND(I23&lt;&gt;"",G23&lt;&gt;""),IF(I23=G23,"E",IF(I23&gt;G23,"G","P")),"")</f>
        <v/>
      </c>
      <c r="K23" s="282"/>
      <c r="L23" s="281"/>
      <c r="M23" s="114" t="s">
        <v>91</v>
      </c>
      <c r="N23" s="116"/>
      <c r="O23" s="6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6"/>
      <c r="B24" s="57"/>
      <c r="C24" s="53"/>
      <c r="D24" s="288"/>
      <c r="E24" s="282"/>
      <c r="F24" s="287"/>
      <c r="G24" s="285"/>
      <c r="H24" s="286"/>
      <c r="I24" s="285"/>
      <c r="J24" s="283"/>
      <c r="K24" s="282"/>
      <c r="L24" s="281"/>
      <c r="M24" s="55"/>
      <c r="N24" s="71"/>
      <c r="O24" s="6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5"/>
      <c r="B26" s="56">
        <v>42966</v>
      </c>
      <c r="C26" s="52" t="s">
        <v>99</v>
      </c>
      <c r="D26" s="298"/>
      <c r="E26" s="299"/>
      <c r="F26" s="287" t="str">
        <f>IF(AND(G26&lt;&gt;"",I26&lt;&gt;""),IF(G26=I26,"E",IF(G26&gt;I26,"G","P")),"")</f>
        <v/>
      </c>
      <c r="G26" s="284"/>
      <c r="H26" s="286" t="s">
        <v>15</v>
      </c>
      <c r="I26" s="284"/>
      <c r="J26" s="283" t="str">
        <f>IF(AND(I26&lt;&gt;"",G26&lt;&gt;""),IF(I26=G26,"E",IF(I26&gt;G26,"G","P")),"")</f>
        <v/>
      </c>
      <c r="K26" s="299"/>
      <c r="L26" s="302"/>
      <c r="M26" s="113" t="s">
        <v>96</v>
      </c>
      <c r="N26" s="115"/>
      <c r="O26" s="6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6"/>
      <c r="B27" s="56"/>
      <c r="C27" s="52"/>
      <c r="D27" s="298"/>
      <c r="E27" s="299"/>
      <c r="F27" s="287"/>
      <c r="G27" s="285"/>
      <c r="H27" s="286"/>
      <c r="I27" s="285"/>
      <c r="J27" s="283"/>
      <c r="K27" s="299"/>
      <c r="L27" s="302"/>
      <c r="M27" s="54"/>
      <c r="N27" s="71"/>
      <c r="O27" s="6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6"/>
      <c r="B29" s="57">
        <v>42967</v>
      </c>
      <c r="C29" s="53" t="s">
        <v>100</v>
      </c>
      <c r="D29" s="288"/>
      <c r="E29" s="282" t="str">
        <f>+'PRE BABY GRUPOS'!E7</f>
        <v>COLEGIO PRINCIPADO DE MONACO</v>
      </c>
      <c r="F29" s="287" t="str">
        <f>IF(AND(G29&lt;&gt;"",I29&lt;&gt;""),IF(G29=I29,"E",IF(G29&gt;I29,"G","P")),"")</f>
        <v>P</v>
      </c>
      <c r="G29" s="284">
        <v>1</v>
      </c>
      <c r="H29" s="286" t="s">
        <v>15</v>
      </c>
      <c r="I29" s="284">
        <v>4</v>
      </c>
      <c r="J29" s="283" t="str">
        <f>IF(AND(I29&lt;&gt;"",G29&lt;&gt;""),IF(I29=G29,"E",IF(I29&gt;G29,"G","P")),"")</f>
        <v>G</v>
      </c>
      <c r="K29" s="282" t="str">
        <f>+'PRE BABY GRUPOS'!E9</f>
        <v>CENTAUROS DEL ARIARI</v>
      </c>
      <c r="L29" s="281"/>
      <c r="M29" s="114" t="s">
        <v>91</v>
      </c>
      <c r="N29" s="116"/>
      <c r="O29" s="6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6"/>
      <c r="B30" s="57"/>
      <c r="C30" s="53"/>
      <c r="D30" s="288"/>
      <c r="E30" s="282"/>
      <c r="F30" s="287"/>
      <c r="G30" s="285"/>
      <c r="H30" s="286"/>
      <c r="I30" s="285"/>
      <c r="J30" s="283"/>
      <c r="K30" s="282"/>
      <c r="L30" s="281"/>
      <c r="M30" s="55"/>
      <c r="N30" s="71"/>
      <c r="O30" s="67"/>
      <c r="P30" s="20"/>
      <c r="Q30" s="21"/>
      <c r="R30" s="21"/>
      <c r="S30" s="22"/>
      <c r="T30" s="22"/>
      <c r="U30" s="22"/>
      <c r="V30" s="22"/>
      <c r="W30" s="22"/>
      <c r="X30" s="22"/>
      <c r="Y30" s="22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spans="1:38" ht="22.5" customHeight="1" x14ac:dyDescent="0.3">
      <c r="A31" s="6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7"/>
      <c r="P31" s="24"/>
      <c r="Q31" s="21"/>
      <c r="R31" s="21"/>
      <c r="S31" s="22"/>
      <c r="T31" s="22"/>
      <c r="U31" s="22"/>
      <c r="V31" s="22"/>
      <c r="W31" s="22"/>
      <c r="X31" s="22"/>
      <c r="Y31" s="22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6"/>
    </row>
    <row r="32" spans="1:38" ht="15" customHeight="1" x14ac:dyDescent="0.3">
      <c r="A32" s="115"/>
      <c r="B32" s="56">
        <v>42965</v>
      </c>
      <c r="C32" s="52" t="s">
        <v>94</v>
      </c>
      <c r="D32" s="298"/>
      <c r="E32" s="299" t="str">
        <f>+'PRE BABY GRUPOS'!E8</f>
        <v>CLUB ARIEL ARMEL</v>
      </c>
      <c r="F32" s="300" t="str">
        <f>IF(AND(G32&lt;&gt;"",I32&lt;&gt;""),IF(G32=I32,"E",IF(G32&gt;I32,"G","P")),"")</f>
        <v>G</v>
      </c>
      <c r="G32" s="284">
        <v>1</v>
      </c>
      <c r="H32" s="301" t="s">
        <v>15</v>
      </c>
      <c r="I32" s="284">
        <v>0</v>
      </c>
      <c r="J32" s="300" t="str">
        <f>IF(AND(I32&lt;&gt;"",G32&lt;&gt;""),IF(I32=G32,"E",IF(I32&gt;G32,"G","P")),"")</f>
        <v>P</v>
      </c>
      <c r="K32" s="299" t="str">
        <f>+'PRE BABY GRUPOS'!E9</f>
        <v>CENTAUROS DEL ARIARI</v>
      </c>
      <c r="L32" s="302"/>
      <c r="M32" s="113" t="s">
        <v>91</v>
      </c>
      <c r="N32" s="115"/>
      <c r="O32" s="68"/>
      <c r="P32" s="20"/>
      <c r="Q32" s="21"/>
      <c r="R32" s="21"/>
      <c r="S32" s="22"/>
      <c r="T32" s="22"/>
      <c r="U32" s="22"/>
      <c r="V32" s="22"/>
      <c r="W32" s="22"/>
      <c r="X32" s="22"/>
      <c r="Y32" s="22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spans="1:38" ht="15" customHeight="1" x14ac:dyDescent="0.3">
      <c r="A33" s="66"/>
      <c r="B33" s="56"/>
      <c r="C33" s="52"/>
      <c r="D33" s="298"/>
      <c r="E33" s="299"/>
      <c r="F33" s="300"/>
      <c r="G33" s="285"/>
      <c r="H33" s="301"/>
      <c r="I33" s="285"/>
      <c r="J33" s="300"/>
      <c r="K33" s="299"/>
      <c r="L33" s="302"/>
      <c r="M33" s="54"/>
      <c r="N33" s="71"/>
      <c r="O33" s="67"/>
      <c r="P33" s="343"/>
      <c r="Q33" s="343"/>
      <c r="R33" s="343"/>
      <c r="S33" s="343"/>
      <c r="T33" s="343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22.5" customHeight="1" x14ac:dyDescent="0.3">
      <c r="A34" s="6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7"/>
      <c r="P34" s="16"/>
      <c r="Q34" s="16"/>
      <c r="R34" s="16"/>
      <c r="S34" s="16"/>
      <c r="T34" s="16"/>
      <c r="U34" s="16"/>
      <c r="V34" s="16"/>
      <c r="W34" s="28" t="str">
        <f>IF(AJ8=1,IF(P33="","",P33),IF(SUM(Q10:Q17)&gt;0,VLOOKUP(1,Z10:AA17,2,0),""))</f>
        <v>CLUB ARIEL ARMEL</v>
      </c>
      <c r="X34" s="16"/>
      <c r="Y34" s="16"/>
      <c r="Z34" s="16"/>
      <c r="AA34" s="16"/>
      <c r="AB34" s="16"/>
      <c r="AC34" s="23"/>
      <c r="AD34" s="23"/>
      <c r="AE34" s="23"/>
      <c r="AF34" s="23"/>
      <c r="AG34" s="23"/>
      <c r="AH34" s="23"/>
      <c r="AI34" s="16"/>
      <c r="AJ34" s="23"/>
      <c r="AK34" s="23"/>
      <c r="AL34" s="16"/>
    </row>
    <row r="35" spans="1:38" ht="1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68"/>
      <c r="P35" s="16"/>
      <c r="Q35" s="16"/>
      <c r="R35" s="16"/>
      <c r="S35" s="16"/>
      <c r="T35" s="16"/>
      <c r="U35" s="16"/>
      <c r="V35" s="16"/>
      <c r="W35" s="28" t="str">
        <f>IF(AJ8=1,IF(P36="","",P36),IF(SUM(Q10:Q17)&gt;0,VLOOKUP(2,Z10:AA17,2,0),""))</f>
        <v>CENTAUROS DEL ARIARI</v>
      </c>
      <c r="X35" s="16"/>
      <c r="Y35" s="16"/>
      <c r="Z35" s="16"/>
      <c r="AA35" s="16"/>
      <c r="AB35" s="16"/>
      <c r="AC35" s="23"/>
      <c r="AD35" s="23"/>
      <c r="AE35" s="23"/>
      <c r="AF35" s="23"/>
      <c r="AG35" s="23"/>
      <c r="AH35" s="23"/>
      <c r="AI35" s="16"/>
      <c r="AJ35" s="23"/>
      <c r="AK35" s="23"/>
      <c r="AL35" s="16"/>
    </row>
    <row r="36" spans="1:38" ht="1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67"/>
      <c r="P36" s="343"/>
      <c r="Q36" s="343"/>
      <c r="R36" s="343"/>
      <c r="S36" s="343"/>
      <c r="T36" s="343"/>
      <c r="U36" s="16"/>
      <c r="V36" s="16"/>
      <c r="W36" s="16"/>
      <c r="X36" s="16"/>
      <c r="Y36" s="16"/>
      <c r="Z36" s="16"/>
      <c r="AA36" s="16"/>
      <c r="AB36" s="16"/>
      <c r="AC36" s="23"/>
      <c r="AD36" s="23"/>
      <c r="AE36" s="23"/>
      <c r="AF36" s="23"/>
      <c r="AG36" s="23"/>
      <c r="AH36" s="23"/>
      <c r="AI36" s="16"/>
      <c r="AJ36" s="23"/>
      <c r="AK36" s="23"/>
      <c r="AL36" s="16"/>
    </row>
    <row r="37" spans="1:38" x14ac:dyDescent="0.3">
      <c r="A37" s="6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0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x14ac:dyDescent="0.3">
      <c r="A38" s="6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8"/>
      <c r="R39" s="18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x14ac:dyDescent="0.3">
      <c r="B43" s="16"/>
      <c r="C43" s="16"/>
      <c r="D43" s="16"/>
      <c r="E43" s="16"/>
      <c r="F43" s="16"/>
      <c r="G43" s="16"/>
      <c r="H43" s="16"/>
      <c r="I43" s="16"/>
      <c r="J43" s="26" t="str">
        <f>IF(AG8=1,"Indique el primero y segundo equipos clasificados de la serie:","")</f>
        <v/>
      </c>
      <c r="K43" s="16"/>
      <c r="L43" s="26" t="str">
        <f>IF(AG8=1,"Primero:","")</f>
        <v/>
      </c>
      <c r="M43" s="16"/>
      <c r="N43" s="25"/>
      <c r="O43" s="25"/>
      <c r="P43" s="2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2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x14ac:dyDescent="0.3">
      <c r="B46" s="16"/>
      <c r="C46" s="16"/>
      <c r="D46" s="16"/>
      <c r="E46" s="16"/>
      <c r="F46" s="16"/>
      <c r="G46" s="16"/>
      <c r="H46" s="16"/>
      <c r="I46" s="16"/>
      <c r="J46" s="27" t="str">
        <f>IF(AG8=1,"(Debido a la paridad de los resultados, no pueden deducirse de forma automática.)","")</f>
        <v/>
      </c>
      <c r="K46" s="16"/>
      <c r="L46" s="26" t="str">
        <f>IF(AG8=1,"Segundo:","")</f>
        <v/>
      </c>
      <c r="M46" s="16"/>
      <c r="N46" s="25"/>
      <c r="O46" s="25"/>
      <c r="P46" s="25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58" spans="16:20" x14ac:dyDescent="0.3">
      <c r="P58" s="135" t="str">
        <f>+'PRE BABY GRUPOS'!E7</f>
        <v>COLEGIO PRINCIPADO DE MONACO</v>
      </c>
      <c r="Q58" s="135" t="str">
        <f>+J8</f>
        <v>P</v>
      </c>
      <c r="R58" s="135" t="str">
        <f>+F17</f>
        <v>E</v>
      </c>
      <c r="S58" s="135" t="str">
        <f>+F20</f>
        <v/>
      </c>
      <c r="T58" s="135" t="str">
        <f>+F29</f>
        <v>P</v>
      </c>
    </row>
    <row r="59" spans="16:20" x14ac:dyDescent="0.3">
      <c r="P59" s="135" t="str">
        <f>+'PRE BABY GRUPOS'!E8</f>
        <v>CLUB ARIEL ARMEL</v>
      </c>
      <c r="Q59" s="135" t="str">
        <f>+J11</f>
        <v>P</v>
      </c>
      <c r="R59" s="135" t="str">
        <f>+J17</f>
        <v>E</v>
      </c>
      <c r="S59" s="135" t="str">
        <f>+F23</f>
        <v/>
      </c>
      <c r="T59" s="135" t="str">
        <f>+F32</f>
        <v>G</v>
      </c>
    </row>
    <row r="60" spans="16:20" x14ac:dyDescent="0.3">
      <c r="P60" s="135" t="str">
        <f>+'PRE BABY GRUPOS'!E9</f>
        <v>CENTAUROS DEL ARIARI</v>
      </c>
      <c r="Q60" s="135" t="str">
        <f>+J14</f>
        <v>P</v>
      </c>
      <c r="R60" s="135" t="str">
        <f>+F26</f>
        <v/>
      </c>
      <c r="S60" s="135" t="str">
        <f>+J29</f>
        <v>G</v>
      </c>
      <c r="T60" s="135" t="str">
        <f>+J32</f>
        <v>P</v>
      </c>
    </row>
  </sheetData>
  <mergeCells count="175">
    <mergeCell ref="P36:T36"/>
    <mergeCell ref="R8:R9"/>
    <mergeCell ref="R10:R11"/>
    <mergeCell ref="R12:R13"/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A1:N1"/>
    <mergeCell ref="K20:K21"/>
    <mergeCell ref="K23:K24"/>
    <mergeCell ref="K26:K27"/>
    <mergeCell ref="K29:K30"/>
    <mergeCell ref="K32:K33"/>
    <mergeCell ref="Y14:Y15"/>
    <mergeCell ref="J20:J21"/>
    <mergeCell ref="L20:L21"/>
    <mergeCell ref="P8:P9"/>
    <mergeCell ref="U14:U15"/>
    <mergeCell ref="V14:V15"/>
    <mergeCell ref="G29:G30"/>
    <mergeCell ref="I20:I21"/>
    <mergeCell ref="R14:R15"/>
    <mergeCell ref="D26:D27"/>
    <mergeCell ref="H32:H33"/>
    <mergeCell ref="I32:I33"/>
    <mergeCell ref="J32:J33"/>
    <mergeCell ref="L32:L33"/>
    <mergeCell ref="H29:H30"/>
    <mergeCell ref="I29:I30"/>
    <mergeCell ref="J29:J30"/>
    <mergeCell ref="L29:L30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X14:X15"/>
    <mergeCell ref="Z14:Z15"/>
    <mergeCell ref="AA14:AA15"/>
    <mergeCell ref="AI12:AI13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P33:T33"/>
    <mergeCell ref="F26:F27"/>
    <mergeCell ref="G26:G27"/>
    <mergeCell ref="H26:H27"/>
    <mergeCell ref="I26:I27"/>
    <mergeCell ref="J26:J27"/>
    <mergeCell ref="L26:L27"/>
    <mergeCell ref="L23:L24"/>
    <mergeCell ref="P12:P13"/>
    <mergeCell ref="Q12:Q13"/>
    <mergeCell ref="P14:P15"/>
    <mergeCell ref="Q14:Q15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344" priority="60" stopIfTrue="1">
      <formula>F20="G"</formula>
    </cfRule>
    <cfRule type="expression" dxfId="343" priority="58" stopIfTrue="1">
      <formula>F20="P"</formula>
    </cfRule>
    <cfRule type="expression" dxfId="342" priority="59" stopIfTrue="1">
      <formula>F20="E"</formula>
    </cfRule>
  </conditionalFormatting>
  <conditionalFormatting sqref="G23:G24">
    <cfRule type="expression" dxfId="341" priority="38" stopIfTrue="1">
      <formula>F23="E"</formula>
    </cfRule>
    <cfRule type="expression" dxfId="340" priority="39" stopIfTrue="1">
      <formula>F23="G"</formula>
    </cfRule>
    <cfRule type="expression" dxfId="339" priority="37" stopIfTrue="1">
      <formula>F23="P"</formula>
    </cfRule>
  </conditionalFormatting>
  <conditionalFormatting sqref="G26:G27">
    <cfRule type="expression" dxfId="338" priority="34" stopIfTrue="1">
      <formula>F26="P"</formula>
    </cfRule>
    <cfRule type="expression" dxfId="337" priority="35" stopIfTrue="1">
      <formula>F26="E"</formula>
    </cfRule>
    <cfRule type="expression" dxfId="336" priority="36" stopIfTrue="1">
      <formula>F26="G"</formula>
    </cfRule>
  </conditionalFormatting>
  <conditionalFormatting sqref="G29:G30">
    <cfRule type="expression" dxfId="335" priority="31" stopIfTrue="1">
      <formula>F29="P"</formula>
    </cfRule>
    <cfRule type="expression" dxfId="334" priority="32" stopIfTrue="1">
      <formula>F29="E"</formula>
    </cfRule>
    <cfRule type="expression" dxfId="333" priority="33" stopIfTrue="1">
      <formula>F29="G"</formula>
    </cfRule>
  </conditionalFormatting>
  <conditionalFormatting sqref="G32:G33">
    <cfRule type="expression" dxfId="332" priority="28" stopIfTrue="1">
      <formula>F32="P"</formula>
    </cfRule>
    <cfRule type="expression" dxfId="331" priority="29" stopIfTrue="1">
      <formula>F32="E"</formula>
    </cfRule>
    <cfRule type="expression" dxfId="330" priority="30" stopIfTrue="1">
      <formula>F32="G"</formula>
    </cfRule>
  </conditionalFormatting>
  <conditionalFormatting sqref="I20:I21">
    <cfRule type="expression" dxfId="326" priority="44" stopIfTrue="1">
      <formula>J20="E"</formula>
    </cfRule>
    <cfRule type="expression" dxfId="325" priority="45" stopIfTrue="1">
      <formula>J20="G"</formula>
    </cfRule>
    <cfRule type="expression" dxfId="324" priority="43" stopIfTrue="1">
      <formula>J20="P"</formula>
    </cfRule>
  </conditionalFormatting>
  <conditionalFormatting sqref="I23:I24">
    <cfRule type="expression" dxfId="323" priority="46" stopIfTrue="1">
      <formula>J23="P"</formula>
    </cfRule>
    <cfRule type="expression" dxfId="322" priority="47" stopIfTrue="1">
      <formula>J23="E"</formula>
    </cfRule>
    <cfRule type="expression" dxfId="321" priority="48" stopIfTrue="1">
      <formula>J23="G"</formula>
    </cfRule>
  </conditionalFormatting>
  <conditionalFormatting sqref="I26:I27">
    <cfRule type="expression" dxfId="320" priority="49" stopIfTrue="1">
      <formula>J26="P"</formula>
    </cfRule>
    <cfRule type="expression" dxfId="319" priority="50" stopIfTrue="1">
      <formula>J26="E"</formula>
    </cfRule>
    <cfRule type="expression" dxfId="318" priority="51" stopIfTrue="1">
      <formula>J26="G"</formula>
    </cfRule>
  </conditionalFormatting>
  <conditionalFormatting sqref="I29:I30">
    <cfRule type="expression" dxfId="317" priority="52" stopIfTrue="1">
      <formula>J29="P"</formula>
    </cfRule>
    <cfRule type="expression" dxfId="316" priority="53" stopIfTrue="1">
      <formula>J29="E"</formula>
    </cfRule>
    <cfRule type="expression" dxfId="315" priority="54" stopIfTrue="1">
      <formula>J29="G"</formula>
    </cfRule>
  </conditionalFormatting>
  <conditionalFormatting sqref="I32:I33">
    <cfRule type="expression" dxfId="314" priority="55" stopIfTrue="1">
      <formula>J32="P"</formula>
    </cfRule>
    <cfRule type="expression" dxfId="313" priority="56" stopIfTrue="1">
      <formula>J32="E"</formula>
    </cfRule>
    <cfRule type="expression" dxfId="312" priority="57" stopIfTrue="1">
      <formula>J32="G"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AL60"/>
  <sheetViews>
    <sheetView topLeftCell="A13" zoomScale="90" zoomScaleNormal="90" workbookViewId="0">
      <selection activeCell="G8" sqref="G8:G9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5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33" t="str">
        <f>+'PRE BABY GRUPOS'!C1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1:38" s="3" customFormat="1" ht="24.6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38" s="3" customFormat="1" ht="34.5" customHeight="1" x14ac:dyDescent="0.65">
      <c r="B3" s="353" t="e">
        <f>+'PRE BABY GRUPOS'!#REF!</f>
        <v>#REF!</v>
      </c>
      <c r="C3" s="353"/>
      <c r="D3" s="353"/>
      <c r="E3" s="353"/>
      <c r="F3" s="280" t="str">
        <f>+'PRE BABY GRUPOS'!C3</f>
        <v>NACIDOS 2012 2013</v>
      </c>
      <c r="G3" s="280"/>
      <c r="H3" s="280"/>
      <c r="I3" s="280"/>
      <c r="J3" s="280"/>
      <c r="K3" s="280"/>
      <c r="Y3" s="65"/>
      <c r="Z3" s="46"/>
    </row>
    <row r="4" spans="1:38" s="3" customFormat="1" ht="30.6" customHeight="1" x14ac:dyDescent="0.3">
      <c r="B4" s="356" t="str">
        <f>+'PRE BABY GRUPOS'!G6</f>
        <v>GRUPO C</v>
      </c>
      <c r="C4" s="356"/>
      <c r="D4" s="356"/>
      <c r="E4" s="356"/>
      <c r="F4" s="356"/>
      <c r="G4" s="356"/>
      <c r="H4" s="356"/>
      <c r="I4" s="356"/>
      <c r="J4" s="356"/>
      <c r="K4" s="356"/>
      <c r="L4" s="356"/>
      <c r="M4" s="356"/>
      <c r="Y4" s="48"/>
      <c r="Z4" s="47"/>
    </row>
    <row r="5" spans="1:38" s="3" customFormat="1" ht="15" customHeight="1" x14ac:dyDescent="0.3">
      <c r="B5" s="357"/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S5" s="1"/>
    </row>
    <row r="6" spans="1:38" ht="21.75" customHeight="1" x14ac:dyDescent="0.45">
      <c r="A6" s="1"/>
      <c r="B6" s="339" t="s">
        <v>4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19"/>
      <c r="O6" s="19"/>
      <c r="P6" s="336" t="s">
        <v>14</v>
      </c>
      <c r="Q6" s="337"/>
      <c r="R6" s="337"/>
      <c r="S6" s="337"/>
      <c r="T6" s="337"/>
      <c r="U6" s="337"/>
      <c r="V6" s="337"/>
      <c r="W6" s="337"/>
      <c r="X6" s="337"/>
      <c r="Y6" s="33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9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5"/>
      <c r="B8" s="56">
        <v>42967</v>
      </c>
      <c r="C8" s="52" t="s">
        <v>102</v>
      </c>
      <c r="D8" s="298"/>
      <c r="E8" s="299" t="str">
        <f>+'PRE BABY GRUPOS'!G7</f>
        <v>GRAMA F. C.</v>
      </c>
      <c r="F8" s="300" t="str">
        <f>IF(AND(G8&lt;&gt;"",I8&lt;&gt;""),IF(G8=I8,"E",IF(G8&gt;I8,"G","P")),"")</f>
        <v>P</v>
      </c>
      <c r="G8" s="284">
        <v>1</v>
      </c>
      <c r="H8" s="301" t="s">
        <v>15</v>
      </c>
      <c r="I8" s="284">
        <v>4</v>
      </c>
      <c r="J8" s="300" t="str">
        <f>IF(AND(I8&lt;&gt;"",G8&lt;&gt;""),IF(I8=G8,"E",IF(I8&gt;G8,"G","P")),"")</f>
        <v>G</v>
      </c>
      <c r="K8" s="299" t="str">
        <f>+'PRE BABY GRUPOS'!I7</f>
        <v>CLUB CAMPESTRE IBAGUE DOS</v>
      </c>
      <c r="L8" s="302"/>
      <c r="M8" s="113" t="s">
        <v>103</v>
      </c>
      <c r="N8" s="117"/>
      <c r="O8" s="68"/>
      <c r="P8" s="315"/>
      <c r="Q8" s="317" t="s">
        <v>7</v>
      </c>
      <c r="R8" s="319" t="s">
        <v>16</v>
      </c>
      <c r="S8" s="309" t="s">
        <v>8</v>
      </c>
      <c r="T8" s="309" t="s">
        <v>9</v>
      </c>
      <c r="U8" s="309" t="s">
        <v>10</v>
      </c>
      <c r="V8" s="309" t="s">
        <v>11</v>
      </c>
      <c r="W8" s="309" t="s">
        <v>12</v>
      </c>
      <c r="X8" s="309" t="s">
        <v>13</v>
      </c>
      <c r="Y8" s="309" t="s">
        <v>35</v>
      </c>
      <c r="Z8" s="311"/>
      <c r="AA8" s="28"/>
      <c r="AB8" s="313"/>
      <c r="AC8" s="313"/>
      <c r="AD8" s="313"/>
      <c r="AE8" s="313"/>
      <c r="AF8" s="313"/>
      <c r="AG8" s="313"/>
      <c r="AH8" s="313"/>
      <c r="AI8" s="28"/>
      <c r="AJ8" s="313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6"/>
      <c r="B9" s="56"/>
      <c r="C9" s="52"/>
      <c r="D9" s="298"/>
      <c r="E9" s="299"/>
      <c r="F9" s="300"/>
      <c r="G9" s="285"/>
      <c r="H9" s="301"/>
      <c r="I9" s="285"/>
      <c r="J9" s="300"/>
      <c r="K9" s="299"/>
      <c r="L9" s="302"/>
      <c r="M9" s="54"/>
      <c r="N9" s="67"/>
      <c r="O9" s="67"/>
      <c r="P9" s="316"/>
      <c r="Q9" s="318"/>
      <c r="R9" s="320"/>
      <c r="S9" s="310"/>
      <c r="T9" s="310"/>
      <c r="U9" s="310"/>
      <c r="V9" s="310"/>
      <c r="W9" s="310"/>
      <c r="X9" s="310"/>
      <c r="Y9" s="310"/>
      <c r="Z9" s="312"/>
      <c r="AA9" s="28"/>
      <c r="AB9" s="314"/>
      <c r="AC9" s="314"/>
      <c r="AD9" s="314"/>
      <c r="AE9" s="314"/>
      <c r="AF9" s="314"/>
      <c r="AG9" s="314"/>
      <c r="AH9" s="314"/>
      <c r="AI9" s="28"/>
      <c r="AJ9" s="313"/>
      <c r="AK9" s="3"/>
      <c r="AL9" s="3"/>
    </row>
    <row r="10" spans="1:38" ht="22.5" customHeight="1" x14ac:dyDescent="0.3">
      <c r="A10" s="6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7"/>
      <c r="P10" s="344" t="str">
        <f>"  1)  " &amp; VLOOKUP(1,$Z$10:$AI$17,2,0)</f>
        <v xml:space="preserve">  1)  GRAMA F. C.</v>
      </c>
      <c r="Q10" s="305">
        <f>VLOOKUP(1,$Z$10:$AI$17,3,0)</f>
        <v>6</v>
      </c>
      <c r="R10" s="307">
        <f>+SUM(S10:U11)</f>
        <v>3</v>
      </c>
      <c r="S10" s="294">
        <f>VLOOKUP(1,$Z$10:$AI$17,4,0)</f>
        <v>2</v>
      </c>
      <c r="T10" s="294">
        <f>VLOOKUP(1,$Z$10:$AI$17,5,0)</f>
        <v>0</v>
      </c>
      <c r="U10" s="294">
        <f>VLOOKUP(1,$Z$10:$AI$17,6,0)</f>
        <v>1</v>
      </c>
      <c r="V10" s="294">
        <f>VLOOKUP(1,$Z$10:$AI$17,7,0)</f>
        <v>8</v>
      </c>
      <c r="W10" s="294">
        <f>VLOOKUP(1,$Z$10:$AI$17,8,0)</f>
        <v>6</v>
      </c>
      <c r="X10" s="294">
        <f>VLOOKUP(1,$Z$10:$AH$17,9,0)</f>
        <v>2</v>
      </c>
      <c r="Y10" s="294">
        <f>VLOOKUP(1,$Z$10:$AI$17,10,0)</f>
        <v>0</v>
      </c>
      <c r="Z10" s="296">
        <f>RANK(AJ10,$AJ$10:$AJ$17,0)</f>
        <v>1</v>
      </c>
      <c r="AA10" s="289" t="str">
        <f>+'PRE BABY GRUPOS'!G7</f>
        <v>GRAMA F. C.</v>
      </c>
      <c r="AB10" s="289">
        <f>(AC10*3)+AD10</f>
        <v>6</v>
      </c>
      <c r="AC10" s="289">
        <f>COUNTIF(Q58:T58,"G")</f>
        <v>2</v>
      </c>
      <c r="AD10" s="289">
        <f>COUNTIF(Q58:T58,"E")</f>
        <v>0</v>
      </c>
      <c r="AE10" s="289">
        <f>COUNTIF(Q58:T58,"P")</f>
        <v>1</v>
      </c>
      <c r="AF10" s="289">
        <f>+I17+G26+G29+G8</f>
        <v>8</v>
      </c>
      <c r="AG10" s="289">
        <f>+G17+I26+I29+I8</f>
        <v>6</v>
      </c>
      <c r="AH10" s="289">
        <f>AF10-AG10</f>
        <v>2</v>
      </c>
      <c r="AI10" s="291">
        <f>+N17+A26+A29+A8</f>
        <v>0</v>
      </c>
      <c r="AJ10" s="289">
        <f>(AB10*1000)+(AH10*100)+(AF10*10)-AI10+0.1</f>
        <v>6280.1</v>
      </c>
      <c r="AK10" s="292">
        <f>AJ10+X10</f>
        <v>6282.1</v>
      </c>
      <c r="AL10" s="3"/>
    </row>
    <row r="11" spans="1:38" ht="15.75" customHeight="1" x14ac:dyDescent="0.3">
      <c r="A11" s="116"/>
      <c r="B11" s="57">
        <v>42967</v>
      </c>
      <c r="C11" s="53" t="s">
        <v>102</v>
      </c>
      <c r="D11" s="288"/>
      <c r="E11" s="282" t="str">
        <f>+'PRE BABY GRUPOS'!G8</f>
        <v>NOVATOS F. C.</v>
      </c>
      <c r="F11" s="300" t="str">
        <f>IF(AND(G11&lt;&gt;"",I11&lt;&gt;""),IF(G11=I11,"E",IF(G11&gt;I11,"G","P")),"")</f>
        <v>P</v>
      </c>
      <c r="G11" s="284">
        <v>0</v>
      </c>
      <c r="H11" s="301" t="s">
        <v>15</v>
      </c>
      <c r="I11" s="284">
        <v>3</v>
      </c>
      <c r="J11" s="300" t="str">
        <f>IF(AND(I11&lt;&gt;"",G11&lt;&gt;""),IF(I11=G11,"E",IF(I11&gt;G11,"G","P")),"")</f>
        <v>G</v>
      </c>
      <c r="K11" s="282" t="str">
        <f>+'PRE BABY GRUPOS'!I8</f>
        <v>ESCUELA DEPORTIVA DE FÚTBOL RAQUIRA</v>
      </c>
      <c r="L11" s="281"/>
      <c r="M11" s="114" t="s">
        <v>96</v>
      </c>
      <c r="N11" s="118"/>
      <c r="O11" s="68"/>
      <c r="P11" s="345"/>
      <c r="Q11" s="306"/>
      <c r="R11" s="308"/>
      <c r="S11" s="295"/>
      <c r="T11" s="295"/>
      <c r="U11" s="295"/>
      <c r="V11" s="295"/>
      <c r="W11" s="295"/>
      <c r="X11" s="295"/>
      <c r="Y11" s="295"/>
      <c r="Z11" s="297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3"/>
      <c r="AL11" s="3"/>
    </row>
    <row r="12" spans="1:38" ht="15.75" customHeight="1" x14ac:dyDescent="0.3">
      <c r="A12" s="66"/>
      <c r="B12" s="57"/>
      <c r="C12" s="53"/>
      <c r="D12" s="288"/>
      <c r="E12" s="282"/>
      <c r="F12" s="300"/>
      <c r="G12" s="285"/>
      <c r="H12" s="301"/>
      <c r="I12" s="285"/>
      <c r="J12" s="300"/>
      <c r="K12" s="282"/>
      <c r="L12" s="281"/>
      <c r="M12" s="55"/>
      <c r="N12" s="67"/>
      <c r="O12" s="67"/>
      <c r="P12" s="344" t="str">
        <f>"  2)  " &amp; VLOOKUP(2,$Z$10:$AI$17,2,0)</f>
        <v xml:space="preserve">  2)  ESCUELA DE FORMACIÓN DEPORTIVA MARACANA</v>
      </c>
      <c r="Q12" s="305">
        <f>VLOOKUP(2,$Z$10:$AI$17,3,0)</f>
        <v>4</v>
      </c>
      <c r="R12" s="307">
        <f>+SUM(S12:U13)</f>
        <v>3</v>
      </c>
      <c r="S12" s="294">
        <f>VLOOKUP(2,$Z$10:$AI$17,4,0)</f>
        <v>1</v>
      </c>
      <c r="T12" s="294">
        <f>VLOOKUP(2,$Z$10:$AI$17,5,0)</f>
        <v>1</v>
      </c>
      <c r="U12" s="294">
        <f>VLOOKUP(2,$Z$10:$AI$17,6,0)</f>
        <v>1</v>
      </c>
      <c r="V12" s="294">
        <f>VLOOKUP(2,$Z$10:$AI$17,7,0)</f>
        <v>17</v>
      </c>
      <c r="W12" s="294">
        <f>VLOOKUP(2,$Z$10:$AI$17,8,0)</f>
        <v>5</v>
      </c>
      <c r="X12" s="294">
        <f>VLOOKUP(2,$Z$10:$AH$17,9,0)</f>
        <v>12</v>
      </c>
      <c r="Y12" s="294">
        <f>VLOOKUP(2,$Z$10:$AI$17,10,0)</f>
        <v>0</v>
      </c>
      <c r="Z12" s="296">
        <f>RANK(AJ12,$AJ$10:$AJ$17,0)</f>
        <v>3</v>
      </c>
      <c r="AA12" s="289" t="str">
        <f>+'PRE BABY GRUPOS'!G8</f>
        <v>NOVATOS F. C.</v>
      </c>
      <c r="AB12" s="289">
        <f>(AC12*3)+AD12</f>
        <v>0</v>
      </c>
      <c r="AC12" s="289">
        <f>COUNTIF(Q59:T59,"G")</f>
        <v>0</v>
      </c>
      <c r="AD12" s="289">
        <f>COUNTIF(Q59:T59,"E")</f>
        <v>0</v>
      </c>
      <c r="AE12" s="289">
        <f>COUNTIF(Q59:T59,"P")</f>
        <v>3</v>
      </c>
      <c r="AF12" s="289">
        <f>+I20+G32+I26+G11</f>
        <v>1</v>
      </c>
      <c r="AG12" s="289">
        <f>+G20+I32+G26+I11</f>
        <v>21</v>
      </c>
      <c r="AH12" s="289">
        <f>AF12-AG12</f>
        <v>-20</v>
      </c>
      <c r="AI12" s="291">
        <f>+N20+N26+A32+A11</f>
        <v>0</v>
      </c>
      <c r="AJ12" s="289">
        <f>(AB12*1000)+(AH12*100)+(AF12*10)-AI12+0.2</f>
        <v>-1989.8</v>
      </c>
      <c r="AK12" s="292">
        <f>AJ12+X12</f>
        <v>-1977.8</v>
      </c>
      <c r="AL12" s="3"/>
    </row>
    <row r="13" spans="1:38" ht="22.5" customHeight="1" x14ac:dyDescent="0.3">
      <c r="A13" s="6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7"/>
      <c r="P13" s="345"/>
      <c r="Q13" s="306"/>
      <c r="R13" s="308"/>
      <c r="S13" s="295"/>
      <c r="T13" s="295"/>
      <c r="U13" s="295"/>
      <c r="V13" s="295"/>
      <c r="W13" s="295"/>
      <c r="X13" s="295"/>
      <c r="Y13" s="295"/>
      <c r="Z13" s="297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3"/>
      <c r="AL13" s="3"/>
    </row>
    <row r="14" spans="1:38" ht="15" customHeight="1" x14ac:dyDescent="0.3">
      <c r="A14" s="115"/>
      <c r="B14" s="56">
        <v>42967</v>
      </c>
      <c r="C14" s="52" t="s">
        <v>104</v>
      </c>
      <c r="D14" s="298"/>
      <c r="E14" s="299" t="str">
        <f>+'PRE BABY GRUPOS'!G9</f>
        <v>ESCUELA DE FORMACIÓN DEPORTIVA MARACANA</v>
      </c>
      <c r="F14" s="300" t="str">
        <f>IF(AND(G14&lt;&gt;"",I14&lt;&gt;""),IF(G14=I14,"E",IF(G14&gt;I14,"G","P")),"")</f>
        <v>E</v>
      </c>
      <c r="G14" s="284">
        <v>3</v>
      </c>
      <c r="H14" s="301" t="s">
        <v>15</v>
      </c>
      <c r="I14" s="284">
        <v>3</v>
      </c>
      <c r="J14" s="300" t="str">
        <f>IF(AND(I14&lt;&gt;"",G14&lt;&gt;""),IF(I14=G14,"E",IF(I14&gt;G14,"G","P")),"")</f>
        <v>E</v>
      </c>
      <c r="K14" s="299" t="str">
        <f>+'PRE BABY GRUPOS'!I9</f>
        <v>CORDOBA Y SERRANO F. C.</v>
      </c>
      <c r="L14" s="302"/>
      <c r="M14" s="113" t="s">
        <v>91</v>
      </c>
      <c r="N14" s="117"/>
      <c r="O14" s="68"/>
      <c r="P14" s="344" t="str">
        <f>"  3)  " &amp; VLOOKUP(3,$Z$10:$AI$17,2,0)</f>
        <v xml:space="preserve">  3)  NOVATOS F. C.</v>
      </c>
      <c r="Q14" s="305">
        <f>VLOOKUP(3,$Z$10:$AI$17,3,0)</f>
        <v>0</v>
      </c>
      <c r="R14" s="307">
        <f>+SUM(S14:U15)</f>
        <v>3</v>
      </c>
      <c r="S14" s="294">
        <f>VLOOKUP(3,$Z$10:$AI$17,4,0)</f>
        <v>0</v>
      </c>
      <c r="T14" s="294">
        <f>VLOOKUP(3,$Z$10:$AI$17,5,0)</f>
        <v>0</v>
      </c>
      <c r="U14" s="294">
        <f>VLOOKUP(3,$Z$10:$AI$17,6,0)</f>
        <v>3</v>
      </c>
      <c r="V14" s="294">
        <f>VLOOKUP(3,$Z$10:$AI$17,7,0)</f>
        <v>1</v>
      </c>
      <c r="W14" s="294">
        <f>VLOOKUP(3,$Z$10:$AI$17,8,0)</f>
        <v>21</v>
      </c>
      <c r="X14" s="294">
        <f>VLOOKUP(3,$Z$10:$AI$17,9,0)</f>
        <v>-20</v>
      </c>
      <c r="Y14" s="294">
        <f>VLOOKUP(3,$Z$10:$AI$17,10,0)</f>
        <v>0</v>
      </c>
      <c r="Z14" s="296">
        <f>RANK(AJ14,$AJ$10:$AJ$17,0)</f>
        <v>2</v>
      </c>
      <c r="AA14" s="289" t="str">
        <f>+'PRE BABY GRUPOS'!G9</f>
        <v>ESCUELA DE FORMACIÓN DEPORTIVA MARACANA</v>
      </c>
      <c r="AB14" s="289">
        <f>(AC14*3)+AD14</f>
        <v>4</v>
      </c>
      <c r="AC14" s="289">
        <f>COUNTIF(Q60:T60,"G")</f>
        <v>1</v>
      </c>
      <c r="AD14" s="289">
        <f>COUNTIF(Q60:T60,"E")</f>
        <v>1</v>
      </c>
      <c r="AE14" s="289">
        <f>COUNTIF(Q60:T60,"P")</f>
        <v>1</v>
      </c>
      <c r="AF14" s="289">
        <f>+I23+I29+I32+G14</f>
        <v>17</v>
      </c>
      <c r="AG14" s="289">
        <f>+G23+G29+G32+I14</f>
        <v>5</v>
      </c>
      <c r="AH14" s="289">
        <f>AF14-AG14</f>
        <v>12</v>
      </c>
      <c r="AI14" s="291">
        <f>+N23+N29+N32+A14</f>
        <v>0</v>
      </c>
      <c r="AJ14" s="289">
        <f>(AB14*1000)+(AH14*100)+(AF14*10)-AI14+0.3</f>
        <v>5370.3</v>
      </c>
      <c r="AK14" s="292">
        <f>+X14</f>
        <v>-20</v>
      </c>
      <c r="AL14" s="3"/>
    </row>
    <row r="15" spans="1:38" ht="15" customHeight="1" x14ac:dyDescent="0.3">
      <c r="A15" s="66"/>
      <c r="B15" s="56"/>
      <c r="C15" s="52"/>
      <c r="D15" s="298"/>
      <c r="E15" s="299"/>
      <c r="F15" s="300"/>
      <c r="G15" s="285"/>
      <c r="H15" s="301"/>
      <c r="I15" s="285"/>
      <c r="J15" s="300"/>
      <c r="K15" s="299"/>
      <c r="L15" s="302"/>
      <c r="M15" s="54"/>
      <c r="N15" s="67"/>
      <c r="O15" s="67"/>
      <c r="P15" s="345"/>
      <c r="Q15" s="306"/>
      <c r="R15" s="308"/>
      <c r="S15" s="295"/>
      <c r="T15" s="295"/>
      <c r="U15" s="295"/>
      <c r="V15" s="295"/>
      <c r="W15" s="295"/>
      <c r="X15" s="295"/>
      <c r="Y15" s="295"/>
      <c r="Z15" s="297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3"/>
      <c r="AL15" s="3"/>
    </row>
    <row r="16" spans="1:38" ht="21.75" customHeight="1" x14ac:dyDescent="0.3">
      <c r="A16" s="6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" customHeight="1" x14ac:dyDescent="0.3">
      <c r="A17" s="116"/>
      <c r="B17" s="57">
        <f>+'GRUPO A'!B20</f>
        <v>42966</v>
      </c>
      <c r="C17" s="53" t="str">
        <f>+'GRUPO A'!C20</f>
        <v>11:45. a.m.</v>
      </c>
      <c r="D17" s="288"/>
      <c r="E17" s="282"/>
      <c r="F17" s="300" t="str">
        <f>IF(AND(G17&lt;&gt;"",I17&lt;&gt;""),IF(G17=I17,"E",IF(G17&gt;I17,"G","P")),"")</f>
        <v/>
      </c>
      <c r="G17" s="284"/>
      <c r="H17" s="301" t="s">
        <v>15</v>
      </c>
      <c r="I17" s="284"/>
      <c r="J17" s="300" t="str">
        <f>IF(AND(I17&lt;&gt;"",G17&lt;&gt;""),IF(I17=G17,"E",IF(I17&gt;G17,"G","P")),"")</f>
        <v/>
      </c>
      <c r="K17" s="282"/>
      <c r="L17" s="281"/>
      <c r="M17" s="114" t="str">
        <f>+'GRUPO A'!M20</f>
        <v>CANCHA 1 A</v>
      </c>
      <c r="N17" s="118"/>
      <c r="O17" s="68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" customHeight="1" x14ac:dyDescent="0.3">
      <c r="A18" s="66"/>
      <c r="B18" s="57"/>
      <c r="C18" s="53"/>
      <c r="D18" s="288"/>
      <c r="E18" s="282"/>
      <c r="F18" s="300"/>
      <c r="G18" s="285"/>
      <c r="H18" s="301"/>
      <c r="I18" s="285"/>
      <c r="J18" s="300"/>
      <c r="K18" s="282"/>
      <c r="L18" s="281"/>
      <c r="M18" s="55"/>
      <c r="N18" s="67"/>
      <c r="O18" s="67"/>
      <c r="P18" s="79"/>
      <c r="Q18" s="76"/>
      <c r="R18" s="76"/>
      <c r="S18" s="77"/>
      <c r="T18" s="77"/>
      <c r="U18" s="77"/>
      <c r="V18" s="77"/>
      <c r="W18" s="77"/>
      <c r="X18" s="77"/>
      <c r="Y18" s="77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28"/>
    </row>
    <row r="19" spans="1:38" s="3" customFormat="1" ht="15" customHeight="1" x14ac:dyDescent="0.3">
      <c r="A19" s="66"/>
      <c r="B19" s="208"/>
      <c r="C19" s="208"/>
      <c r="D19" s="208"/>
      <c r="E19" s="208"/>
      <c r="F19" s="208"/>
      <c r="G19" s="208"/>
      <c r="H19" s="208"/>
      <c r="I19" s="208"/>
      <c r="J19" s="212"/>
      <c r="K19" s="211"/>
      <c r="L19" s="213"/>
      <c r="M19" s="186"/>
      <c r="N19" s="67"/>
      <c r="O19" s="67"/>
      <c r="P19" s="79"/>
      <c r="Q19" s="76"/>
      <c r="R19" s="76"/>
      <c r="S19" s="77"/>
      <c r="T19" s="77"/>
      <c r="U19" s="77"/>
      <c r="V19" s="77"/>
      <c r="W19" s="77"/>
      <c r="X19" s="77"/>
      <c r="Y19" s="77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28"/>
    </row>
    <row r="20" spans="1:38" ht="15" customHeight="1" x14ac:dyDescent="0.3">
      <c r="A20" s="115"/>
      <c r="B20" s="56">
        <f>+'GRUPO A'!B23</f>
        <v>42966</v>
      </c>
      <c r="C20" s="52" t="str">
        <f>+'GRUPO A'!C23</f>
        <v>11:45. a.m.</v>
      </c>
      <c r="D20" s="298"/>
      <c r="E20" s="299"/>
      <c r="F20" s="300" t="str">
        <f>IF(AND(G20&lt;&gt;"",I20&lt;&gt;""),IF(G20=I20,"E",IF(G20&gt;I20,"G","P")),"")</f>
        <v/>
      </c>
      <c r="G20" s="284"/>
      <c r="H20" s="301" t="s">
        <v>15</v>
      </c>
      <c r="I20" s="284"/>
      <c r="J20" s="300" t="str">
        <f>IF(AND(I20&lt;&gt;"",G20&lt;&gt;""),IF(I20=G20,"E",IF(I20&gt;G20,"G","P")),"")</f>
        <v/>
      </c>
      <c r="K20" s="299"/>
      <c r="L20" s="302"/>
      <c r="M20" s="113" t="str">
        <f>+'GRUPO A'!M23</f>
        <v>CANCHA 1 B</v>
      </c>
      <c r="N20" s="115"/>
      <c r="O20" s="6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6"/>
      <c r="B21" s="56"/>
      <c r="C21" s="52"/>
      <c r="D21" s="298"/>
      <c r="E21" s="299"/>
      <c r="F21" s="300"/>
      <c r="G21" s="285"/>
      <c r="H21" s="301"/>
      <c r="I21" s="285"/>
      <c r="J21" s="300"/>
      <c r="K21" s="299"/>
      <c r="L21" s="302"/>
      <c r="M21" s="54"/>
      <c r="N21" s="71"/>
      <c r="O21" s="6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6"/>
      <c r="B23" s="57">
        <f>+'GRUPO A'!B26</f>
        <v>42966</v>
      </c>
      <c r="C23" s="53" t="str">
        <f>+'GRUPO A'!C26</f>
        <v>12:40. p.m.</v>
      </c>
      <c r="D23" s="288"/>
      <c r="E23" s="282"/>
      <c r="F23" s="300" t="str">
        <f>IF(AND(G23&lt;&gt;"",I23&lt;&gt;""),IF(G23=I23,"E",IF(G23&gt;I23,"G","P")),"")</f>
        <v/>
      </c>
      <c r="G23" s="284"/>
      <c r="H23" s="301" t="s">
        <v>15</v>
      </c>
      <c r="I23" s="284"/>
      <c r="J23" s="300" t="str">
        <f>IF(AND(I23&lt;&gt;"",G23&lt;&gt;""),IF(I23=G23,"E",IF(I23&gt;G23,"G","P")),"")</f>
        <v/>
      </c>
      <c r="K23" s="282"/>
      <c r="L23" s="281"/>
      <c r="M23" s="114" t="str">
        <f>+'GRUPO A'!M26</f>
        <v>CANCHA 1 C</v>
      </c>
      <c r="N23" s="116"/>
      <c r="O23" s="6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6"/>
      <c r="B24" s="57"/>
      <c r="C24" s="53"/>
      <c r="D24" s="288"/>
      <c r="E24" s="282"/>
      <c r="F24" s="300"/>
      <c r="G24" s="285"/>
      <c r="H24" s="301"/>
      <c r="I24" s="285"/>
      <c r="J24" s="300"/>
      <c r="K24" s="282"/>
      <c r="L24" s="281"/>
      <c r="M24" s="55"/>
      <c r="N24" s="71"/>
      <c r="O24" s="6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5"/>
      <c r="B26" s="56">
        <v>42966</v>
      </c>
      <c r="C26" s="52" t="s">
        <v>76</v>
      </c>
      <c r="D26" s="298"/>
      <c r="E26" s="299" t="str">
        <f>+'PRE BABY GRUPOS'!G7</f>
        <v>GRAMA F. C.</v>
      </c>
      <c r="F26" s="300" t="str">
        <f>IF(AND(G26&lt;&gt;"",I26&lt;&gt;""),IF(G26=I26,"E",IF(G26&gt;I26,"G","P")),"")</f>
        <v>G</v>
      </c>
      <c r="G26" s="284">
        <v>5</v>
      </c>
      <c r="H26" s="301" t="s">
        <v>15</v>
      </c>
      <c r="I26" s="284">
        <v>1</v>
      </c>
      <c r="J26" s="300" t="str">
        <f>IF(AND(I26&lt;&gt;"",G26&lt;&gt;""),IF(I26=G26,"E",IF(I26&gt;G26,"G","P")),"")</f>
        <v>P</v>
      </c>
      <c r="K26" s="299" t="str">
        <f>+'PRE BABY GRUPOS'!G8</f>
        <v>NOVATOS F. C.</v>
      </c>
      <c r="L26" s="302"/>
      <c r="M26" s="113" t="s">
        <v>93</v>
      </c>
      <c r="N26" s="115"/>
      <c r="O26" s="6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6"/>
      <c r="B27" s="56"/>
      <c r="C27" s="52"/>
      <c r="D27" s="298"/>
      <c r="E27" s="299"/>
      <c r="F27" s="300"/>
      <c r="G27" s="285"/>
      <c r="H27" s="301"/>
      <c r="I27" s="285"/>
      <c r="J27" s="300"/>
      <c r="K27" s="299"/>
      <c r="L27" s="302"/>
      <c r="M27" s="54"/>
      <c r="N27" s="71"/>
      <c r="O27" s="6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6"/>
      <c r="B29" s="57">
        <v>42965</v>
      </c>
      <c r="C29" s="53" t="s">
        <v>92</v>
      </c>
      <c r="D29" s="288"/>
      <c r="E29" s="282" t="str">
        <f>+'PRE BABY GRUPOS'!G7</f>
        <v>GRAMA F. C.</v>
      </c>
      <c r="F29" s="300" t="str">
        <f>IF(AND(G29&lt;&gt;"",I29&lt;&gt;""),IF(G29=I29,"E",IF(G29&gt;I29,"G","P")),"")</f>
        <v>G</v>
      </c>
      <c r="G29" s="284">
        <v>2</v>
      </c>
      <c r="H29" s="301" t="s">
        <v>15</v>
      </c>
      <c r="I29" s="284">
        <v>1</v>
      </c>
      <c r="J29" s="300" t="str">
        <f>IF(AND(I29&lt;&gt;"",G29&lt;&gt;""),IF(I29=G29,"E",IF(I29&gt;G29,"G","P")),"")</f>
        <v>P</v>
      </c>
      <c r="K29" s="282" t="str">
        <f>+'PRE BABY GRUPOS'!G9</f>
        <v>ESCUELA DE FORMACIÓN DEPORTIVA MARACANA</v>
      </c>
      <c r="L29" s="281"/>
      <c r="M29" s="114" t="s">
        <v>91</v>
      </c>
      <c r="N29" s="116"/>
      <c r="O29" s="6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6"/>
      <c r="B30" s="57"/>
      <c r="C30" s="53"/>
      <c r="D30" s="288"/>
      <c r="E30" s="282"/>
      <c r="F30" s="300"/>
      <c r="G30" s="285"/>
      <c r="H30" s="301"/>
      <c r="I30" s="285"/>
      <c r="J30" s="300"/>
      <c r="K30" s="282"/>
      <c r="L30" s="281"/>
      <c r="M30" s="55"/>
      <c r="N30" s="71"/>
      <c r="O30" s="67"/>
      <c r="P30" s="20"/>
      <c r="Q30" s="21"/>
      <c r="R30" s="21"/>
      <c r="S30" s="22"/>
      <c r="T30" s="22"/>
      <c r="U30" s="22"/>
      <c r="V30" s="22"/>
      <c r="W30" s="22"/>
      <c r="X30" s="22"/>
      <c r="Y30" s="22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spans="1:38" ht="22.5" customHeight="1" x14ac:dyDescent="0.3">
      <c r="A31" s="6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7"/>
      <c r="P31" s="24"/>
      <c r="Q31" s="21"/>
      <c r="R31" s="21"/>
      <c r="S31" s="22"/>
      <c r="T31" s="22"/>
      <c r="U31" s="22"/>
      <c r="V31" s="22"/>
      <c r="W31" s="22"/>
      <c r="X31" s="22"/>
      <c r="Y31" s="22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6"/>
    </row>
    <row r="32" spans="1:38" ht="15" customHeight="1" x14ac:dyDescent="0.3">
      <c r="A32" s="115"/>
      <c r="B32" s="56">
        <v>42967</v>
      </c>
      <c r="C32" s="52" t="s">
        <v>101</v>
      </c>
      <c r="D32" s="298"/>
      <c r="E32" s="299" t="str">
        <f>+'PRE BABY GRUPOS'!G8</f>
        <v>NOVATOS F. C.</v>
      </c>
      <c r="F32" s="300" t="str">
        <f>IF(AND(G32&lt;&gt;"",I32&lt;&gt;""),IF(G32=I32,"E",IF(G32&gt;I32,"G","P")),"")</f>
        <v>P</v>
      </c>
      <c r="G32" s="284">
        <v>0</v>
      </c>
      <c r="H32" s="301" t="s">
        <v>15</v>
      </c>
      <c r="I32" s="284">
        <v>13</v>
      </c>
      <c r="J32" s="300" t="str">
        <f>IF(AND(I32&lt;&gt;"",G32&lt;&gt;""),IF(I32=G32,"E",IF(I32&gt;G32,"G","P")),"")</f>
        <v>G</v>
      </c>
      <c r="K32" s="299" t="str">
        <f>+'PRE BABY GRUPOS'!G9</f>
        <v>ESCUELA DE FORMACIÓN DEPORTIVA MARACANA</v>
      </c>
      <c r="L32" s="302"/>
      <c r="M32" s="113" t="s">
        <v>93</v>
      </c>
      <c r="N32" s="115"/>
      <c r="O32" s="68"/>
      <c r="P32" s="20"/>
      <c r="Q32" s="21"/>
      <c r="R32" s="21"/>
      <c r="S32" s="22"/>
      <c r="T32" s="22"/>
      <c r="U32" s="22"/>
      <c r="V32" s="22"/>
      <c r="W32" s="22"/>
      <c r="X32" s="22"/>
      <c r="Y32" s="22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spans="1:38" ht="15" customHeight="1" x14ac:dyDescent="0.3">
      <c r="A33" s="66"/>
      <c r="B33" s="56"/>
      <c r="C33" s="52"/>
      <c r="D33" s="298"/>
      <c r="E33" s="299"/>
      <c r="F33" s="300"/>
      <c r="G33" s="285"/>
      <c r="H33" s="301"/>
      <c r="I33" s="285"/>
      <c r="J33" s="300"/>
      <c r="K33" s="299"/>
      <c r="L33" s="302"/>
      <c r="M33" s="54"/>
      <c r="N33" s="71"/>
      <c r="O33" s="67"/>
      <c r="P33" s="343"/>
      <c r="Q33" s="343"/>
      <c r="R33" s="343"/>
      <c r="S33" s="343"/>
      <c r="T33" s="343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22.5" customHeight="1" x14ac:dyDescent="0.3">
      <c r="A34" s="6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7"/>
      <c r="P34" s="16"/>
      <c r="Q34" s="16"/>
      <c r="R34" s="16"/>
      <c r="S34" s="16"/>
      <c r="T34" s="16"/>
      <c r="U34" s="16"/>
      <c r="V34" s="16"/>
      <c r="W34" s="28" t="str">
        <f>IF(AJ8=1,IF(P33="","",P33),IF(SUM(Q10:Q17)&gt;0,VLOOKUP(1,Z10:AA17,2,0),""))</f>
        <v>GRAMA F. C.</v>
      </c>
      <c r="X34" s="16"/>
      <c r="Y34" s="16"/>
      <c r="Z34" s="16"/>
      <c r="AA34" s="16"/>
      <c r="AB34" s="16"/>
      <c r="AC34" s="23"/>
      <c r="AD34" s="23"/>
      <c r="AE34" s="23"/>
      <c r="AF34" s="23"/>
      <c r="AG34" s="23"/>
      <c r="AH34" s="23"/>
      <c r="AI34" s="16"/>
      <c r="AJ34" s="23"/>
      <c r="AK34" s="23"/>
      <c r="AL34" s="16"/>
    </row>
    <row r="35" spans="1:38" ht="15" customHeigh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8"/>
      <c r="P35" s="16"/>
      <c r="Q35" s="16"/>
      <c r="R35" s="16"/>
      <c r="S35" s="16"/>
      <c r="T35" s="16"/>
      <c r="U35" s="16"/>
      <c r="V35" s="16"/>
      <c r="W35" s="28" t="str">
        <f>IF(AJ8=1,IF(P36="","",P36),IF(SUM(Q10:Q17)&gt;0,VLOOKUP(2,Z10:AA17,2,0),""))</f>
        <v>ESCUELA DE FORMACIÓN DEPORTIVA MARACANA</v>
      </c>
      <c r="X35" s="16"/>
      <c r="Y35" s="16"/>
      <c r="Z35" s="16"/>
      <c r="AA35" s="16"/>
      <c r="AB35" s="16"/>
      <c r="AC35" s="23"/>
      <c r="AD35" s="23"/>
      <c r="AE35" s="23"/>
      <c r="AF35" s="23"/>
      <c r="AG35" s="23"/>
      <c r="AH35" s="23"/>
      <c r="AI35" s="16"/>
      <c r="AJ35" s="23"/>
      <c r="AK35" s="23"/>
      <c r="AL35" s="16"/>
    </row>
    <row r="36" spans="1:38" ht="15" customHeight="1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7"/>
      <c r="P36" s="343"/>
      <c r="Q36" s="343"/>
      <c r="R36" s="343"/>
      <c r="S36" s="343"/>
      <c r="T36" s="343"/>
      <c r="U36" s="16"/>
      <c r="V36" s="16"/>
      <c r="W36" s="16"/>
      <c r="X36" s="16"/>
      <c r="Y36" s="16"/>
      <c r="Z36" s="16"/>
      <c r="AA36" s="16"/>
      <c r="AB36" s="16"/>
      <c r="AC36" s="23"/>
      <c r="AD36" s="23"/>
      <c r="AE36" s="23"/>
      <c r="AF36" s="23"/>
      <c r="AG36" s="23"/>
      <c r="AH36" s="23"/>
      <c r="AI36" s="16"/>
      <c r="AJ36" s="23"/>
      <c r="AK36" s="23"/>
      <c r="AL36" s="16"/>
    </row>
    <row r="37" spans="1:38" x14ac:dyDescent="0.3">
      <c r="A37" s="6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0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x14ac:dyDescent="0.3">
      <c r="A38" s="6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8"/>
      <c r="R39" s="18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x14ac:dyDescent="0.3">
      <c r="B43" s="16"/>
      <c r="C43" s="16"/>
      <c r="D43" s="16"/>
      <c r="E43" s="16"/>
      <c r="F43" s="16"/>
      <c r="G43" s="16"/>
      <c r="H43" s="16"/>
      <c r="I43" s="16"/>
      <c r="J43" s="26" t="str">
        <f>IF(AG8=1,"Indique el primero y segundo equipos clasificados de la serie:","")</f>
        <v/>
      </c>
      <c r="K43" s="16"/>
      <c r="L43" s="26" t="str">
        <f>IF(AG8=1,"Primero:","")</f>
        <v/>
      </c>
      <c r="M43" s="16"/>
      <c r="N43" s="25"/>
      <c r="O43" s="25"/>
      <c r="P43" s="2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2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35"/>
      <c r="L45" s="137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</row>
    <row r="46" spans="1:38" x14ac:dyDescent="0.3">
      <c r="B46" s="16"/>
      <c r="C46" s="16"/>
      <c r="D46" s="16"/>
      <c r="E46" s="16"/>
      <c r="F46" s="16"/>
      <c r="G46" s="16"/>
      <c r="H46" s="16"/>
      <c r="I46" s="16"/>
      <c r="J46" s="27" t="str">
        <f>IF(AG8=1,"(Debido a la paridad de los resultados, no pueden deducirse de forma automática.)","")</f>
        <v/>
      </c>
      <c r="K46" s="135"/>
      <c r="L46" s="137" t="str">
        <f>IF(AG8=1,"Segundo:","")</f>
        <v/>
      </c>
      <c r="M46" s="135"/>
      <c r="N46" s="138"/>
      <c r="O46" s="138"/>
      <c r="P46" s="138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</row>
    <row r="58" spans="16:20" x14ac:dyDescent="0.3">
      <c r="P58" s="135" t="str">
        <f>+'PRE BABY GRUPOS'!G7</f>
        <v>GRAMA F. C.</v>
      </c>
      <c r="Q58" s="135" t="str">
        <f>+F8</f>
        <v>P</v>
      </c>
      <c r="R58" s="135" t="str">
        <f>+J17</f>
        <v/>
      </c>
      <c r="S58" s="135" t="str">
        <f>+F26</f>
        <v>G</v>
      </c>
      <c r="T58" s="135" t="str">
        <f>+F29</f>
        <v>G</v>
      </c>
    </row>
    <row r="59" spans="16:20" x14ac:dyDescent="0.3">
      <c r="P59" s="135" t="str">
        <f>+'PRE BABY GRUPOS'!G8</f>
        <v>NOVATOS F. C.</v>
      </c>
      <c r="Q59" s="135" t="str">
        <f>+F11</f>
        <v>P</v>
      </c>
      <c r="R59" s="135" t="str">
        <f>+J20</f>
        <v/>
      </c>
      <c r="S59" s="135" t="str">
        <f>+J26</f>
        <v>P</v>
      </c>
      <c r="T59" s="135" t="str">
        <f>+F32</f>
        <v>P</v>
      </c>
    </row>
    <row r="60" spans="16:20" x14ac:dyDescent="0.3">
      <c r="P60" s="135" t="str">
        <f>+'PRE BABY GRUPOS'!G9</f>
        <v>ESCUELA DE FORMACIÓN DEPORTIVA MARACANA</v>
      </c>
      <c r="Q60" s="135" t="str">
        <f>+F14</f>
        <v>E</v>
      </c>
      <c r="R60" s="135" t="str">
        <f>+J23</f>
        <v/>
      </c>
      <c r="S60" s="135" t="str">
        <f>+J29</f>
        <v>P</v>
      </c>
      <c r="T60" s="135" t="str">
        <f>+J32</f>
        <v>G</v>
      </c>
    </row>
  </sheetData>
  <mergeCells count="175"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  <mergeCell ref="A2:N2"/>
    <mergeCell ref="A1:N1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P14:P15"/>
    <mergeCell ref="Q14:Q15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K14:AK15"/>
    <mergeCell ref="AB14:AB15"/>
    <mergeCell ref="AI14:AI15"/>
    <mergeCell ref="AJ14:AJ15"/>
    <mergeCell ref="K8:K9"/>
    <mergeCell ref="L8:L9"/>
    <mergeCell ref="P36:T36"/>
    <mergeCell ref="K32:K33"/>
    <mergeCell ref="L32:L33"/>
    <mergeCell ref="P33:T33"/>
    <mergeCell ref="L29:L30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T12:T13"/>
    <mergeCell ref="U12:U13"/>
    <mergeCell ref="V12:V13"/>
    <mergeCell ref="W12:W13"/>
    <mergeCell ref="D32:D33"/>
    <mergeCell ref="E32:E33"/>
    <mergeCell ref="F32:F33"/>
    <mergeCell ref="G32:G33"/>
    <mergeCell ref="H32:H33"/>
    <mergeCell ref="I32:I33"/>
    <mergeCell ref="J32:J33"/>
    <mergeCell ref="R14:R15"/>
    <mergeCell ref="D29:D30"/>
    <mergeCell ref="E29:E30"/>
    <mergeCell ref="F29:F30"/>
    <mergeCell ref="G29:G30"/>
    <mergeCell ref="H29:H30"/>
    <mergeCell ref="I29:I30"/>
    <mergeCell ref="J29:J30"/>
    <mergeCell ref="K29:K30"/>
    <mergeCell ref="D17:D18"/>
    <mergeCell ref="G17:G18"/>
    <mergeCell ref="H17:H18"/>
    <mergeCell ref="I17:I18"/>
    <mergeCell ref="J17:J18"/>
    <mergeCell ref="K17:K18"/>
    <mergeCell ref="L17:L18"/>
    <mergeCell ref="D14:D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E14:E15"/>
    <mergeCell ref="F14:F15"/>
    <mergeCell ref="G14:G15"/>
    <mergeCell ref="H14:H15"/>
    <mergeCell ref="I14:I15"/>
    <mergeCell ref="J14:J15"/>
    <mergeCell ref="K14:K15"/>
    <mergeCell ref="L14:L15"/>
    <mergeCell ref="E17:E18"/>
    <mergeCell ref="F17:F18"/>
  </mergeCells>
  <conditionalFormatting sqref="G20:G21">
    <cfRule type="expression" dxfId="308" priority="42" stopIfTrue="1">
      <formula>F20="G"</formula>
    </cfRule>
    <cfRule type="expression" dxfId="307" priority="40" stopIfTrue="1">
      <formula>F20="P"</formula>
    </cfRule>
    <cfRule type="expression" dxfId="306" priority="41" stopIfTrue="1">
      <formula>F20="E"</formula>
    </cfRule>
  </conditionalFormatting>
  <conditionalFormatting sqref="G23:G24">
    <cfRule type="expression" dxfId="305" priority="20" stopIfTrue="1">
      <formula>F23="E"</formula>
    </cfRule>
    <cfRule type="expression" dxfId="304" priority="21" stopIfTrue="1">
      <formula>F23="G"</formula>
    </cfRule>
    <cfRule type="expression" dxfId="303" priority="19" stopIfTrue="1">
      <formula>F23="P"</formula>
    </cfRule>
  </conditionalFormatting>
  <conditionalFormatting sqref="G26:G27">
    <cfRule type="expression" dxfId="302" priority="16" stopIfTrue="1">
      <formula>F26="P"</formula>
    </cfRule>
    <cfRule type="expression" dxfId="301" priority="17" stopIfTrue="1">
      <formula>F26="E"</formula>
    </cfRule>
    <cfRule type="expression" dxfId="300" priority="18" stopIfTrue="1">
      <formula>F26="G"</formula>
    </cfRule>
  </conditionalFormatting>
  <conditionalFormatting sqref="G29:G30">
    <cfRule type="expression" dxfId="299" priority="13" stopIfTrue="1">
      <formula>F29="P"</formula>
    </cfRule>
    <cfRule type="expression" dxfId="298" priority="14" stopIfTrue="1">
      <formula>F29="E"</formula>
    </cfRule>
    <cfRule type="expression" dxfId="297" priority="15" stopIfTrue="1">
      <formula>F29="G"</formula>
    </cfRule>
  </conditionalFormatting>
  <conditionalFormatting sqref="G32:G33">
    <cfRule type="expression" dxfId="296" priority="10" stopIfTrue="1">
      <formula>F32="P"</formula>
    </cfRule>
    <cfRule type="expression" dxfId="295" priority="11" stopIfTrue="1">
      <formula>F32="E"</formula>
    </cfRule>
    <cfRule type="expression" dxfId="294" priority="12" stopIfTrue="1">
      <formula>F32="G"</formula>
    </cfRule>
  </conditionalFormatting>
  <conditionalFormatting sqref="I20:I21">
    <cfRule type="expression" dxfId="290" priority="26" stopIfTrue="1">
      <formula>J20="E"</formula>
    </cfRule>
    <cfRule type="expression" dxfId="289" priority="27" stopIfTrue="1">
      <formula>J20="G"</formula>
    </cfRule>
    <cfRule type="expression" dxfId="288" priority="25" stopIfTrue="1">
      <formula>J20="P"</formula>
    </cfRule>
  </conditionalFormatting>
  <conditionalFormatting sqref="I23:I24">
    <cfRule type="expression" dxfId="287" priority="28" stopIfTrue="1">
      <formula>J23="P"</formula>
    </cfRule>
    <cfRule type="expression" dxfId="286" priority="29" stopIfTrue="1">
      <formula>J23="E"</formula>
    </cfRule>
    <cfRule type="expression" dxfId="285" priority="30" stopIfTrue="1">
      <formula>J23="G"</formula>
    </cfRule>
  </conditionalFormatting>
  <conditionalFormatting sqref="I26:I27">
    <cfRule type="expression" dxfId="284" priority="31" stopIfTrue="1">
      <formula>J26="P"</formula>
    </cfRule>
    <cfRule type="expression" dxfId="283" priority="32" stopIfTrue="1">
      <formula>J26="E"</formula>
    </cfRule>
    <cfRule type="expression" dxfId="282" priority="33" stopIfTrue="1">
      <formula>J26="G"</formula>
    </cfRule>
  </conditionalFormatting>
  <conditionalFormatting sqref="I29:I30">
    <cfRule type="expression" dxfId="281" priority="34" stopIfTrue="1">
      <formula>J29="P"</formula>
    </cfRule>
    <cfRule type="expression" dxfId="280" priority="35" stopIfTrue="1">
      <formula>J29="E"</formula>
    </cfRule>
    <cfRule type="expression" dxfId="279" priority="36" stopIfTrue="1">
      <formula>J29="G"</formula>
    </cfRule>
  </conditionalFormatting>
  <conditionalFormatting sqref="I32:I33">
    <cfRule type="expression" dxfId="278" priority="37" stopIfTrue="1">
      <formula>J32="P"</formula>
    </cfRule>
    <cfRule type="expression" dxfId="277" priority="38" stopIfTrue="1">
      <formula>J32="E"</formula>
    </cfRule>
    <cfRule type="expression" dxfId="276" priority="39" stopIfTrue="1">
      <formula>J32="G"</formula>
    </cfRule>
  </conditionalFormatting>
  <printOptions verticalCentered="1"/>
  <pageMargins left="0" right="0" top="0.15748031496062992" bottom="0.15748031496062992" header="0" footer="0"/>
  <pageSetup scale="6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2A32C60-117C-49E4-B7C6-437F3A23585F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392357F9-E629-48A5-AADD-1F7224447D35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" stopIfTrue="1" id="{D8295B18-330B-438F-9886-8B78EB59E950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" stopIfTrue="1" id="{A29BEFCC-E648-4CA1-963C-B16193BA1F89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" stopIfTrue="1" id="{22848C10-ACCB-454D-B998-E3E47CE79DC3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8CE079BB-D24A-445B-AC28-4A8F3C3AF5A7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L60"/>
  <sheetViews>
    <sheetView topLeftCell="A4" zoomScale="90" zoomScaleNormal="90" workbookViewId="0">
      <selection activeCell="G10" sqref="G10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5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33" t="str">
        <f>+'PRE BABY GRUPOS'!C1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1:38" s="3" customFormat="1" ht="24.6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38" s="3" customFormat="1" ht="34.5" customHeight="1" x14ac:dyDescent="0.65">
      <c r="B3" s="353" t="e">
        <f>+'PRE BABY GRUPOS'!#REF!</f>
        <v>#REF!</v>
      </c>
      <c r="C3" s="353"/>
      <c r="D3" s="353"/>
      <c r="E3" s="353"/>
      <c r="F3" s="280" t="str">
        <f>+'PRE BABY GRUPOS'!C3</f>
        <v>NACIDOS 2012 2013</v>
      </c>
      <c r="G3" s="280"/>
      <c r="H3" s="280"/>
      <c r="I3" s="280"/>
      <c r="J3" s="280"/>
      <c r="K3" s="280"/>
      <c r="Y3" s="65"/>
      <c r="Z3" s="46"/>
    </row>
    <row r="4" spans="1:38" s="3" customFormat="1" ht="30.6" customHeight="1" x14ac:dyDescent="0.3">
      <c r="B4" s="358" t="str">
        <f>+'PRE BABY GRUPOS'!I6</f>
        <v>GRUPO D</v>
      </c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Y4" s="48"/>
      <c r="Z4" s="47"/>
    </row>
    <row r="5" spans="1:38" s="3" customFormat="1" ht="15" customHeight="1" x14ac:dyDescent="0.3"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S5" s="1"/>
    </row>
    <row r="6" spans="1:38" ht="21.75" customHeight="1" x14ac:dyDescent="0.45">
      <c r="A6" s="1"/>
      <c r="B6" s="339" t="s">
        <v>4</v>
      </c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19"/>
      <c r="O6" s="19"/>
      <c r="P6" s="336" t="s">
        <v>14</v>
      </c>
      <c r="Q6" s="337"/>
      <c r="R6" s="337"/>
      <c r="S6" s="337"/>
      <c r="T6" s="337"/>
      <c r="U6" s="337"/>
      <c r="V6" s="337"/>
      <c r="W6" s="337"/>
      <c r="X6" s="337"/>
      <c r="Y6" s="337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COUNT(G20,I20,G23,I23,G26,I26,G29,I29,G32,I32,G35,I35)</f>
        <v>6</v>
      </c>
      <c r="AK6" s="3"/>
      <c r="AL6" s="3"/>
    </row>
    <row r="7" spans="1:38" ht="15" customHeight="1" x14ac:dyDescent="0.3">
      <c r="A7" s="69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9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5"/>
      <c r="B8" s="56">
        <f>+'GRUPO C'!B8</f>
        <v>42967</v>
      </c>
      <c r="C8" s="52" t="str">
        <f>+'GRUPO C'!C8</f>
        <v>02:00. p.m.</v>
      </c>
      <c r="D8" s="298"/>
      <c r="E8" s="299" t="str">
        <f>+'GRUPO C'!E8:E9</f>
        <v>GRAMA F. C.</v>
      </c>
      <c r="F8" s="300" t="str">
        <f>IF(AND(G8&lt;&gt;"",I8&lt;&gt;""),IF(G8=I8,"E",IF(G8&gt;I8,"G","P")),"")</f>
        <v>P</v>
      </c>
      <c r="G8" s="341">
        <v>1</v>
      </c>
      <c r="H8" s="301" t="s">
        <v>15</v>
      </c>
      <c r="I8" s="341">
        <v>4</v>
      </c>
      <c r="J8" s="300" t="str">
        <f>IF(AND(I8&lt;&gt;"",G8&lt;&gt;""),IF(I8=G8,"E",IF(I8&gt;G8,"G","P")),"")</f>
        <v>G</v>
      </c>
      <c r="K8" s="299" t="str">
        <f>+'GRUPO C'!K8:K8</f>
        <v>CLUB CAMPESTRE IBAGUE DOS</v>
      </c>
      <c r="L8" s="302"/>
      <c r="M8" s="113" t="str">
        <f>+'GRUPO C'!M8</f>
        <v>CANCHA 1  C</v>
      </c>
      <c r="N8" s="117"/>
      <c r="O8" s="68"/>
      <c r="P8" s="315"/>
      <c r="Q8" s="317" t="s">
        <v>7</v>
      </c>
      <c r="R8" s="319" t="s">
        <v>16</v>
      </c>
      <c r="S8" s="309" t="s">
        <v>8</v>
      </c>
      <c r="T8" s="309" t="s">
        <v>9</v>
      </c>
      <c r="U8" s="309" t="s">
        <v>10</v>
      </c>
      <c r="V8" s="309" t="s">
        <v>11</v>
      </c>
      <c r="W8" s="309" t="s">
        <v>12</v>
      </c>
      <c r="X8" s="309" t="s">
        <v>13</v>
      </c>
      <c r="Y8" s="309" t="s">
        <v>35</v>
      </c>
      <c r="Z8" s="311"/>
      <c r="AA8" s="28"/>
      <c r="AB8" s="313"/>
      <c r="AC8" s="313"/>
      <c r="AD8" s="313"/>
      <c r="AE8" s="313"/>
      <c r="AF8" s="313"/>
      <c r="AG8" s="313"/>
      <c r="AH8" s="313"/>
      <c r="AI8" s="28"/>
      <c r="AJ8" s="313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6"/>
      <c r="B9" s="56"/>
      <c r="C9" s="52"/>
      <c r="D9" s="298"/>
      <c r="E9" s="299"/>
      <c r="F9" s="300"/>
      <c r="G9" s="342"/>
      <c r="H9" s="301"/>
      <c r="I9" s="342"/>
      <c r="J9" s="300"/>
      <c r="K9" s="299"/>
      <c r="L9" s="302"/>
      <c r="M9" s="54"/>
      <c r="N9" s="67"/>
      <c r="O9" s="67"/>
      <c r="P9" s="316"/>
      <c r="Q9" s="318"/>
      <c r="R9" s="320"/>
      <c r="S9" s="310"/>
      <c r="T9" s="310"/>
      <c r="U9" s="310"/>
      <c r="V9" s="310"/>
      <c r="W9" s="310"/>
      <c r="X9" s="310"/>
      <c r="Y9" s="310"/>
      <c r="Z9" s="312"/>
      <c r="AA9" s="28"/>
      <c r="AB9" s="314"/>
      <c r="AC9" s="314"/>
      <c r="AD9" s="314"/>
      <c r="AE9" s="314"/>
      <c r="AF9" s="314"/>
      <c r="AG9" s="314"/>
      <c r="AH9" s="314"/>
      <c r="AI9" s="28"/>
      <c r="AJ9" s="313"/>
      <c r="AK9" s="3"/>
      <c r="AL9" s="3"/>
    </row>
    <row r="10" spans="1:38" ht="22.5" customHeight="1" x14ac:dyDescent="0.3">
      <c r="A10" s="6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7"/>
      <c r="P10" s="344" t="str">
        <f>"  1)  " &amp; VLOOKUP(1,$Z$10:$AI$17,2,0)</f>
        <v xml:space="preserve">  1)  CLUB CAMPESTRE IBAGUE DOS</v>
      </c>
      <c r="Q10" s="305">
        <f>VLOOKUP(1,$Z$10:$AI$17,3,0)</f>
        <v>7</v>
      </c>
      <c r="R10" s="307">
        <f>+SUM(S10:U11)</f>
        <v>3</v>
      </c>
      <c r="S10" s="294">
        <f>VLOOKUP(1,$Z$10:$AI$17,4,0)</f>
        <v>2</v>
      </c>
      <c r="T10" s="294">
        <f>VLOOKUP(1,$Z$10:$AI$17,5,0)</f>
        <v>1</v>
      </c>
      <c r="U10" s="294">
        <f>VLOOKUP(1,$Z$10:$AI$17,6,0)</f>
        <v>0</v>
      </c>
      <c r="V10" s="294">
        <f>VLOOKUP(1,$Z$10:$AI$17,7,0)</f>
        <v>12</v>
      </c>
      <c r="W10" s="294">
        <f>VLOOKUP(1,$Z$10:$AI$17,8,0)</f>
        <v>9</v>
      </c>
      <c r="X10" s="294">
        <f>VLOOKUP(1,$Z$10:$AH$17,9,0)</f>
        <v>3</v>
      </c>
      <c r="Y10" s="294">
        <f>VLOOKUP(1,$Z$10:$AI$17,10,0)</f>
        <v>0</v>
      </c>
      <c r="Z10" s="296">
        <f>RANK(AJ10,$AJ$10:$AJ$17,0)</f>
        <v>1</v>
      </c>
      <c r="AA10" s="289" t="str">
        <f>+'PRE BABY GRUPOS'!I7</f>
        <v>CLUB CAMPESTRE IBAGUE DOS</v>
      </c>
      <c r="AB10" s="289">
        <f>(AC10*3)+AD10</f>
        <v>7</v>
      </c>
      <c r="AC10" s="289">
        <f>COUNTIF(Q59:T59,"G")</f>
        <v>2</v>
      </c>
      <c r="AD10" s="289">
        <f>COUNTIF(Q59:T59,"E")</f>
        <v>1</v>
      </c>
      <c r="AE10" s="289">
        <f>COUNTIF(Q59:T59,"P")</f>
        <v>0</v>
      </c>
      <c r="AF10" s="289">
        <f>+I8+I26+G32+I20</f>
        <v>12</v>
      </c>
      <c r="AG10" s="289">
        <f>+G17+I26+I32+G8</f>
        <v>9</v>
      </c>
      <c r="AH10" s="289">
        <f>AF10-AG10</f>
        <v>3</v>
      </c>
      <c r="AI10" s="291">
        <f>+N17+A26+A29+N8</f>
        <v>0</v>
      </c>
      <c r="AJ10" s="289">
        <f>(AB10*1000)+(AH10*100)+(AF10*10)-AI10+0.1</f>
        <v>7420.1</v>
      </c>
      <c r="AK10" s="292">
        <f>AJ10+X10</f>
        <v>7423.1</v>
      </c>
      <c r="AL10" s="3"/>
    </row>
    <row r="11" spans="1:38" ht="15.75" customHeight="1" x14ac:dyDescent="0.3">
      <c r="A11" s="116"/>
      <c r="B11" s="57">
        <f>+'GRUPO C'!B11</f>
        <v>42967</v>
      </c>
      <c r="C11" s="53" t="str">
        <f>+'GRUPO C'!C11</f>
        <v>02:00. p.m.</v>
      </c>
      <c r="D11" s="288"/>
      <c r="E11" s="282" t="str">
        <f>+'GRUPO C'!E11:E12</f>
        <v>NOVATOS F. C.</v>
      </c>
      <c r="F11" s="300" t="str">
        <f>IF(AND(G11&lt;&gt;"",I11&lt;&gt;""),IF(G11=I11,"E",IF(G11&gt;I11,"G","P")),"")</f>
        <v>P</v>
      </c>
      <c r="G11" s="341">
        <v>0</v>
      </c>
      <c r="H11" s="301" t="s">
        <v>15</v>
      </c>
      <c r="I11" s="341">
        <v>3</v>
      </c>
      <c r="J11" s="300" t="str">
        <f>IF(AND(I11&lt;&gt;"",G11&lt;&gt;""),IF(I11=G11,"E",IF(I11&gt;G11,"G","P")),"")</f>
        <v>G</v>
      </c>
      <c r="K11" s="282" t="str">
        <f>+'GRUPO C'!K11:K12</f>
        <v>ESCUELA DEPORTIVA DE FÚTBOL RAQUIRA</v>
      </c>
      <c r="L11" s="281"/>
      <c r="M11" s="114" t="str">
        <f>+'GRUPO C'!M11</f>
        <v>CANCHA 1 B</v>
      </c>
      <c r="N11" s="118"/>
      <c r="O11" s="68"/>
      <c r="P11" s="345"/>
      <c r="Q11" s="306"/>
      <c r="R11" s="308"/>
      <c r="S11" s="295"/>
      <c r="T11" s="295"/>
      <c r="U11" s="295"/>
      <c r="V11" s="295"/>
      <c r="W11" s="295"/>
      <c r="X11" s="295"/>
      <c r="Y11" s="295"/>
      <c r="Z11" s="297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3"/>
      <c r="AL11" s="3"/>
    </row>
    <row r="12" spans="1:38" ht="15.75" customHeight="1" x14ac:dyDescent="0.3">
      <c r="A12" s="66"/>
      <c r="B12" s="57"/>
      <c r="C12" s="53"/>
      <c r="D12" s="288"/>
      <c r="E12" s="282"/>
      <c r="F12" s="300"/>
      <c r="G12" s="342"/>
      <c r="H12" s="301"/>
      <c r="I12" s="342"/>
      <c r="J12" s="300"/>
      <c r="K12" s="282"/>
      <c r="L12" s="281"/>
      <c r="M12" s="55"/>
      <c r="N12" s="67"/>
      <c r="O12" s="67"/>
      <c r="P12" s="344" t="str">
        <f>"  2)  " &amp; VLOOKUP(2,$Z$10:$AI$17,2,0)</f>
        <v xml:space="preserve">  2)  CORDOBA Y SERRANO F. C.</v>
      </c>
      <c r="Q12" s="305">
        <f>VLOOKUP(2,$Z$10:$AI$17,3,0)</f>
        <v>5</v>
      </c>
      <c r="R12" s="307">
        <f>+SUM(S12:U13)</f>
        <v>3</v>
      </c>
      <c r="S12" s="294">
        <f>VLOOKUP(2,$Z$10:$AI$17,4,0)</f>
        <v>1</v>
      </c>
      <c r="T12" s="294">
        <f>VLOOKUP(2,$Z$10:$AI$17,5,0)</f>
        <v>2</v>
      </c>
      <c r="U12" s="294">
        <f>VLOOKUP(2,$Z$10:$AI$17,6,0)</f>
        <v>0</v>
      </c>
      <c r="V12" s="294">
        <f>VLOOKUP(2,$Z$10:$AI$17,7,0)</f>
        <v>18</v>
      </c>
      <c r="W12" s="294">
        <f>VLOOKUP(2,$Z$10:$AI$17,8,0)</f>
        <v>6</v>
      </c>
      <c r="X12" s="294">
        <f>VLOOKUP(2,$Z$10:$AH$17,9,0)</f>
        <v>12</v>
      </c>
      <c r="Y12" s="294">
        <f>VLOOKUP(2,$Z$10:$AI$17,10,0)</f>
        <v>0</v>
      </c>
      <c r="Z12" s="296">
        <f>RANK(AJ12,$AJ$10:$AJ$17,0)</f>
        <v>3</v>
      </c>
      <c r="AA12" s="289" t="str">
        <f>+'PRE BABY GRUPOS'!I8</f>
        <v>ESCUELA DEPORTIVA DE FÚTBOL RAQUIRA</v>
      </c>
      <c r="AB12" s="289">
        <f>(AC12*3)+AD12</f>
        <v>3</v>
      </c>
      <c r="AC12" s="289">
        <f>COUNTIF(Q58:T58,"G")</f>
        <v>1</v>
      </c>
      <c r="AD12" s="289">
        <f>COUNTIF(Q58:T58,"E")</f>
        <v>0</v>
      </c>
      <c r="AE12" s="289">
        <f>COUNTIF(Q58:T58,"P")</f>
        <v>2</v>
      </c>
      <c r="AF12" s="289">
        <f>+I17+G26+G29+I11</f>
        <v>5</v>
      </c>
      <c r="AG12" s="289">
        <f>+G20+I26+I29+G11</f>
        <v>17</v>
      </c>
      <c r="AH12" s="289">
        <f>AF12-AG12</f>
        <v>-12</v>
      </c>
      <c r="AI12" s="291">
        <f>+N20+N26+A32+N11</f>
        <v>0</v>
      </c>
      <c r="AJ12" s="289">
        <f>(AB12*1000)+(AH12*100)+(AF12*10)-AI12+0.2</f>
        <v>1850.2</v>
      </c>
      <c r="AK12" s="292">
        <f>AJ12+X12</f>
        <v>1862.2</v>
      </c>
      <c r="AL12" s="3"/>
    </row>
    <row r="13" spans="1:38" ht="22.5" customHeight="1" x14ac:dyDescent="0.3">
      <c r="A13" s="6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7"/>
      <c r="P13" s="345"/>
      <c r="Q13" s="306"/>
      <c r="R13" s="308"/>
      <c r="S13" s="295"/>
      <c r="T13" s="295"/>
      <c r="U13" s="295"/>
      <c r="V13" s="295"/>
      <c r="W13" s="295"/>
      <c r="X13" s="295"/>
      <c r="Y13" s="295"/>
      <c r="Z13" s="297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3"/>
      <c r="AL13" s="3"/>
    </row>
    <row r="14" spans="1:38" ht="15" customHeight="1" x14ac:dyDescent="0.3">
      <c r="A14" s="115"/>
      <c r="B14" s="56">
        <f>+'GRUPO C'!B14</f>
        <v>42967</v>
      </c>
      <c r="C14" s="52" t="str">
        <f>+'GRUPO C'!C14</f>
        <v>02:55. p.m.</v>
      </c>
      <c r="D14" s="298"/>
      <c r="E14" s="299" t="str">
        <f>+'GRUPO C'!E14:E15</f>
        <v>ESCUELA DE FORMACIÓN DEPORTIVA MARACANA</v>
      </c>
      <c r="F14" s="300" t="str">
        <f>IF(AND(G14&lt;&gt;"",I14&lt;&gt;""),IF(G14=I14,"E",IF(G14&gt;I14,"G","P")),"")</f>
        <v>E</v>
      </c>
      <c r="G14" s="341">
        <v>3</v>
      </c>
      <c r="H14" s="301" t="s">
        <v>15</v>
      </c>
      <c r="I14" s="341">
        <v>3</v>
      </c>
      <c r="J14" s="300" t="str">
        <f>IF(AND(I14&lt;&gt;"",G14&lt;&gt;""),IF(I14=G14,"E",IF(I14&gt;G14,"G","P")),"")</f>
        <v>E</v>
      </c>
      <c r="K14" s="299" t="str">
        <f>+'GRUPO C'!K14:K15</f>
        <v>CORDOBA Y SERRANO F. C.</v>
      </c>
      <c r="L14" s="302"/>
      <c r="M14" s="113" t="str">
        <f>+'GRUPO C'!M14</f>
        <v>CANCHA 1 A</v>
      </c>
      <c r="N14" s="117"/>
      <c r="O14" s="68"/>
      <c r="P14" s="344" t="str">
        <f>"  3)  " &amp; VLOOKUP(3,$Z$10:$AI$17,2,0)</f>
        <v xml:space="preserve">  3)  ESCUELA DEPORTIVA DE FÚTBOL RAQUIRA</v>
      </c>
      <c r="Q14" s="305">
        <f>VLOOKUP(3,$Z$10:$AI$17,3,0)</f>
        <v>3</v>
      </c>
      <c r="R14" s="307">
        <f>+SUM(S14:U15)</f>
        <v>3</v>
      </c>
      <c r="S14" s="294">
        <f>VLOOKUP(3,$Z$10:$AI$17,4,0)</f>
        <v>1</v>
      </c>
      <c r="T14" s="294">
        <f>VLOOKUP(3,$Z$10:$AI$17,5,0)</f>
        <v>0</v>
      </c>
      <c r="U14" s="294">
        <f>VLOOKUP(3,$Z$10:$AI$17,6,0)</f>
        <v>2</v>
      </c>
      <c r="V14" s="294">
        <f>VLOOKUP(3,$Z$10:$AI$17,7,0)</f>
        <v>5</v>
      </c>
      <c r="W14" s="294">
        <f>VLOOKUP(3,$Z$10:$AI$17,8,0)</f>
        <v>17</v>
      </c>
      <c r="X14" s="294">
        <f>VLOOKUP(3,$Z$10:$AI$17,9,0)</f>
        <v>-12</v>
      </c>
      <c r="Y14" s="294">
        <f>VLOOKUP(3,$Z$10:$AI$17,10,0)</f>
        <v>0</v>
      </c>
      <c r="Z14" s="296">
        <f>RANK(AJ14,$AJ$10:$AJ$17,0)</f>
        <v>2</v>
      </c>
      <c r="AA14" s="289" t="str">
        <f>+'PRE BABY GRUPOS'!I9</f>
        <v>CORDOBA Y SERRANO F. C.</v>
      </c>
      <c r="AB14" s="289">
        <f>(AC14*3)+AD14</f>
        <v>5</v>
      </c>
      <c r="AC14" s="289">
        <f>COUNTIF(Q60:T60,"G")</f>
        <v>1</v>
      </c>
      <c r="AD14" s="289">
        <f>COUNTIF(Q60:T60,"E")</f>
        <v>2</v>
      </c>
      <c r="AE14" s="289">
        <f>COUNTIF(Q60:T60,"P")</f>
        <v>0</v>
      </c>
      <c r="AF14" s="289">
        <f>+I23+I29+I32+I14</f>
        <v>18</v>
      </c>
      <c r="AG14" s="289">
        <f>+G23+G29+G32+G14</f>
        <v>6</v>
      </c>
      <c r="AH14" s="289">
        <f>AF14-AG14</f>
        <v>12</v>
      </c>
      <c r="AI14" s="291">
        <f>+N23+N29+N32+N14</f>
        <v>0</v>
      </c>
      <c r="AJ14" s="289">
        <f>(AB14*1000)+(AH14*100)+(AF14*10)-AI14+0.3</f>
        <v>6380.3</v>
      </c>
      <c r="AK14" s="292">
        <f>+X14</f>
        <v>-12</v>
      </c>
      <c r="AL14" s="3"/>
    </row>
    <row r="15" spans="1:38" ht="15" customHeight="1" x14ac:dyDescent="0.3">
      <c r="A15" s="66"/>
      <c r="B15" s="56"/>
      <c r="C15" s="52"/>
      <c r="D15" s="298"/>
      <c r="E15" s="299"/>
      <c r="F15" s="300"/>
      <c r="G15" s="342"/>
      <c r="H15" s="301"/>
      <c r="I15" s="342"/>
      <c r="J15" s="300"/>
      <c r="K15" s="299"/>
      <c r="L15" s="302"/>
      <c r="M15" s="54"/>
      <c r="N15" s="67"/>
      <c r="O15" s="67"/>
      <c r="P15" s="345"/>
      <c r="Q15" s="306"/>
      <c r="R15" s="308"/>
      <c r="S15" s="295"/>
      <c r="T15" s="295"/>
      <c r="U15" s="295"/>
      <c r="V15" s="295"/>
      <c r="W15" s="295"/>
      <c r="X15" s="295"/>
      <c r="Y15" s="295"/>
      <c r="Z15" s="297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3"/>
      <c r="AL15" s="3"/>
    </row>
    <row r="16" spans="1:38" ht="21.75" customHeight="1" x14ac:dyDescent="0.3">
      <c r="A16" s="6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7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</row>
    <row r="17" spans="1:38" ht="15" customHeight="1" x14ac:dyDescent="0.3">
      <c r="A17" s="116"/>
      <c r="B17" s="57">
        <f>+'GRUPO B'!B20</f>
        <v>42966</v>
      </c>
      <c r="C17" s="53" t="str">
        <f>+'GRUPO B'!C20</f>
        <v>11:45. a.m.</v>
      </c>
      <c r="D17" s="288"/>
      <c r="E17" s="282"/>
      <c r="F17" s="300" t="str">
        <f>IF(AND(G17&lt;&gt;"",I17&lt;&gt;""),IF(G17=I17,"E",IF(G17&gt;I17,"G","P")),"")</f>
        <v/>
      </c>
      <c r="G17" s="341"/>
      <c r="H17" s="301" t="s">
        <v>15</v>
      </c>
      <c r="I17" s="341"/>
      <c r="J17" s="300" t="str">
        <f>IF(AND(I17&lt;&gt;"",G17&lt;&gt;""),IF(I17=G17,"E",IF(I17&gt;G17,"G","P")),"")</f>
        <v/>
      </c>
      <c r="K17" s="282"/>
      <c r="L17" s="281"/>
      <c r="M17" s="114" t="str">
        <f>+'GRUPO B'!M20</f>
        <v>CANCHA 1 C</v>
      </c>
      <c r="N17" s="118"/>
      <c r="O17" s="6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</row>
    <row r="18" spans="1:38" ht="15" customHeight="1" x14ac:dyDescent="0.3">
      <c r="A18" s="66"/>
      <c r="B18" s="57"/>
      <c r="C18" s="53"/>
      <c r="D18" s="288"/>
      <c r="E18" s="282"/>
      <c r="F18" s="300"/>
      <c r="G18" s="342"/>
      <c r="H18" s="301"/>
      <c r="I18" s="342"/>
      <c r="J18" s="300"/>
      <c r="K18" s="282"/>
      <c r="L18" s="281"/>
      <c r="M18" s="55"/>
      <c r="N18" s="67"/>
      <c r="O18" s="67"/>
      <c r="P18" s="79"/>
      <c r="Q18" s="76"/>
      <c r="R18" s="76"/>
      <c r="S18" s="77"/>
      <c r="T18" s="77"/>
      <c r="U18" s="77"/>
      <c r="V18" s="77"/>
      <c r="W18" s="77"/>
      <c r="X18" s="77"/>
      <c r="Y18" s="77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28"/>
    </row>
    <row r="19" spans="1:38" s="3" customFormat="1" ht="15" customHeight="1" x14ac:dyDescent="0.3">
      <c r="A19" s="66"/>
      <c r="B19" s="208"/>
      <c r="C19" s="209"/>
      <c r="D19" s="210"/>
      <c r="E19" s="211"/>
      <c r="F19" s="212"/>
      <c r="G19" s="209"/>
      <c r="H19" s="209"/>
      <c r="I19" s="209"/>
      <c r="J19" s="212"/>
      <c r="K19" s="211"/>
      <c r="L19" s="213"/>
      <c r="M19" s="186"/>
      <c r="N19" s="67"/>
      <c r="O19" s="67"/>
      <c r="P19" s="79"/>
      <c r="Q19" s="76"/>
      <c r="R19" s="76"/>
      <c r="S19" s="77"/>
      <c r="T19" s="77"/>
      <c r="U19" s="77"/>
      <c r="V19" s="77"/>
      <c r="W19" s="77"/>
      <c r="X19" s="77"/>
      <c r="Y19" s="77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28"/>
    </row>
    <row r="20" spans="1:38" ht="15" customHeight="1" x14ac:dyDescent="0.3">
      <c r="A20" s="115"/>
      <c r="B20" s="56">
        <f>+'GRUPO B'!B23</f>
        <v>42966</v>
      </c>
      <c r="C20" s="52" t="str">
        <f>+'GRUPO B'!C23</f>
        <v>04:40. a.m.</v>
      </c>
      <c r="D20" s="298"/>
      <c r="E20" s="299"/>
      <c r="F20" s="300" t="str">
        <f>IF(AND(G20&lt;&gt;"",I20&lt;&gt;""),IF(G20=I20,"E",IF(G20&gt;I20,"G","P")),"")</f>
        <v/>
      </c>
      <c r="G20" s="284"/>
      <c r="H20" s="301" t="s">
        <v>15</v>
      </c>
      <c r="I20" s="284"/>
      <c r="J20" s="300" t="str">
        <f>IF(AND(I20&lt;&gt;"",G20&lt;&gt;""),IF(I20=G20,"E",IF(I20&gt;G20,"G","P")),"")</f>
        <v/>
      </c>
      <c r="K20" s="299"/>
      <c r="L20" s="302"/>
      <c r="M20" s="113" t="str">
        <f>+'GRUPO B'!M23</f>
        <v>CANCHA 1 A</v>
      </c>
      <c r="N20" s="115"/>
      <c r="O20" s="6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6"/>
      <c r="B21" s="56"/>
      <c r="C21" s="52"/>
      <c r="D21" s="298"/>
      <c r="E21" s="299"/>
      <c r="F21" s="300"/>
      <c r="G21" s="285"/>
      <c r="H21" s="301"/>
      <c r="I21" s="285"/>
      <c r="J21" s="300"/>
      <c r="K21" s="299"/>
      <c r="L21" s="302"/>
      <c r="M21" s="54"/>
      <c r="N21" s="71"/>
      <c r="O21" s="6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6"/>
      <c r="B23" s="57">
        <f>+'GRUPO B'!B26</f>
        <v>42966</v>
      </c>
      <c r="C23" s="53" t="str">
        <f>+'GRUPO B'!C26</f>
        <v>04:40. p.m.</v>
      </c>
      <c r="D23" s="288"/>
      <c r="E23" s="282"/>
      <c r="F23" s="300" t="str">
        <f>IF(AND(G23&lt;&gt;"",I23&lt;&gt;""),IF(G23=I23,"E",IF(G23&gt;I23,"G","P")),"")</f>
        <v/>
      </c>
      <c r="G23" s="284"/>
      <c r="H23" s="301" t="s">
        <v>15</v>
      </c>
      <c r="I23" s="284"/>
      <c r="J23" s="300" t="str">
        <f>IF(AND(I23&lt;&gt;"",G23&lt;&gt;""),IF(I23=G23,"E",IF(I23&gt;G23,"G","P")),"")</f>
        <v/>
      </c>
      <c r="K23" s="282"/>
      <c r="L23" s="281"/>
      <c r="M23" s="114" t="str">
        <f>+'GRUPO B'!M26</f>
        <v>CANCHA 1 B</v>
      </c>
      <c r="N23" s="116"/>
      <c r="O23" s="68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6"/>
      <c r="B24" s="57"/>
      <c r="C24" s="53"/>
      <c r="D24" s="288"/>
      <c r="E24" s="282"/>
      <c r="F24" s="300"/>
      <c r="G24" s="285"/>
      <c r="H24" s="301"/>
      <c r="I24" s="285"/>
      <c r="J24" s="300"/>
      <c r="K24" s="282"/>
      <c r="L24" s="281"/>
      <c r="M24" s="55"/>
      <c r="N24" s="71"/>
      <c r="O24" s="6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5"/>
      <c r="B26" s="56">
        <v>42967</v>
      </c>
      <c r="C26" s="52" t="s">
        <v>101</v>
      </c>
      <c r="D26" s="298"/>
      <c r="E26" s="299" t="str">
        <f>+'PRE BABY GRUPOS'!I8</f>
        <v>ESCUELA DEPORTIVA DE FÚTBOL RAQUIRA</v>
      </c>
      <c r="F26" s="300" t="str">
        <f>IF(AND(G26&lt;&gt;"",I26&lt;&gt;""),IF(G26=I26,"E",IF(G26&gt;I26,"G","P")),"")</f>
        <v>P</v>
      </c>
      <c r="G26" s="284">
        <v>2</v>
      </c>
      <c r="H26" s="301" t="s">
        <v>15</v>
      </c>
      <c r="I26" s="284">
        <v>5</v>
      </c>
      <c r="J26" s="300" t="str">
        <f>IF(AND(I26&lt;&gt;"",G26&lt;&gt;""),IF(I26=G26,"E",IF(I26&gt;G26,"G","P")),"")</f>
        <v>G</v>
      </c>
      <c r="K26" s="299" t="str">
        <f>+'PRE BABY GRUPOS'!I7</f>
        <v>CLUB CAMPESTRE IBAGUE DOS</v>
      </c>
      <c r="L26" s="302"/>
      <c r="M26" s="113" t="s">
        <v>96</v>
      </c>
      <c r="N26" s="115"/>
      <c r="O26" s="6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6"/>
      <c r="B27" s="56"/>
      <c r="C27" s="52"/>
      <c r="D27" s="298"/>
      <c r="E27" s="299"/>
      <c r="F27" s="300"/>
      <c r="G27" s="285"/>
      <c r="H27" s="301"/>
      <c r="I27" s="285"/>
      <c r="J27" s="300"/>
      <c r="K27" s="299"/>
      <c r="L27" s="302"/>
      <c r="M27" s="54"/>
      <c r="N27" s="71"/>
      <c r="O27" s="6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6"/>
      <c r="B29" s="57">
        <v>42965</v>
      </c>
      <c r="C29" s="53" t="s">
        <v>90</v>
      </c>
      <c r="D29" s="288"/>
      <c r="E29" s="282" t="str">
        <f>+'PRE BABY GRUPOS'!I8</f>
        <v>ESCUELA DEPORTIVA DE FÚTBOL RAQUIRA</v>
      </c>
      <c r="F29" s="300" t="str">
        <f>IF(AND(G29&lt;&gt;"",I29&lt;&gt;""),IF(G29=I29,"E",IF(G29&gt;I29,"G","P")),"")</f>
        <v>P</v>
      </c>
      <c r="G29" s="284">
        <v>0</v>
      </c>
      <c r="H29" s="301" t="s">
        <v>15</v>
      </c>
      <c r="I29" s="284">
        <v>12</v>
      </c>
      <c r="J29" s="300" t="str">
        <f>IF(AND(I29&lt;&gt;"",G29&lt;&gt;""),IF(I29=G29,"E",IF(I29&gt;G29,"G","P")),"")</f>
        <v>G</v>
      </c>
      <c r="K29" s="282" t="str">
        <f>+'PRE BABY GRUPOS'!I9</f>
        <v>CORDOBA Y SERRANO F. C.</v>
      </c>
      <c r="L29" s="281"/>
      <c r="M29" s="114" t="s">
        <v>91</v>
      </c>
      <c r="N29" s="116"/>
      <c r="O29" s="6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6"/>
      <c r="B30" s="57"/>
      <c r="C30" s="53"/>
      <c r="D30" s="288"/>
      <c r="E30" s="282"/>
      <c r="F30" s="300"/>
      <c r="G30" s="285"/>
      <c r="H30" s="301"/>
      <c r="I30" s="285"/>
      <c r="J30" s="300"/>
      <c r="K30" s="282"/>
      <c r="L30" s="281"/>
      <c r="M30" s="55"/>
      <c r="N30" s="71"/>
      <c r="O30" s="67"/>
      <c r="P30" s="20"/>
      <c r="Q30" s="21"/>
      <c r="R30" s="21"/>
      <c r="S30" s="22"/>
      <c r="T30" s="22"/>
      <c r="U30" s="22"/>
      <c r="V30" s="22"/>
      <c r="W30" s="22"/>
      <c r="X30" s="22"/>
      <c r="Y30" s="22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6"/>
    </row>
    <row r="31" spans="1:38" ht="22.5" customHeight="1" x14ac:dyDescent="0.3">
      <c r="A31" s="6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7"/>
      <c r="P31" s="24"/>
      <c r="Q31" s="21"/>
      <c r="R31" s="21"/>
      <c r="S31" s="22"/>
      <c r="T31" s="22"/>
      <c r="U31" s="22"/>
      <c r="V31" s="22"/>
      <c r="W31" s="22"/>
      <c r="X31" s="22"/>
      <c r="Y31" s="22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6"/>
    </row>
    <row r="32" spans="1:38" ht="15" customHeight="1" x14ac:dyDescent="0.3">
      <c r="A32" s="115"/>
      <c r="B32" s="56">
        <v>42966</v>
      </c>
      <c r="C32" s="52" t="s">
        <v>97</v>
      </c>
      <c r="D32" s="298"/>
      <c r="E32" s="299" t="str">
        <f>+'PRE BABY GRUPOS'!I7</f>
        <v>CLUB CAMPESTRE IBAGUE DOS</v>
      </c>
      <c r="F32" s="300" t="str">
        <f>IF(AND(G32&lt;&gt;"",I32&lt;&gt;""),IF(G32=I32,"E",IF(G32&gt;I32,"G","P")),"")</f>
        <v>E</v>
      </c>
      <c r="G32" s="284">
        <v>3</v>
      </c>
      <c r="H32" s="301" t="s">
        <v>15</v>
      </c>
      <c r="I32" s="284">
        <v>3</v>
      </c>
      <c r="J32" s="300" t="str">
        <f>IF(AND(I32&lt;&gt;"",G32&lt;&gt;""),IF(I32=G32,"E",IF(I32&gt;G32,"G","P")),"")</f>
        <v>E</v>
      </c>
      <c r="K32" s="299" t="str">
        <f>+'PRE BABY GRUPOS'!I9</f>
        <v>CORDOBA Y SERRANO F. C.</v>
      </c>
      <c r="L32" s="302"/>
      <c r="M32" s="113" t="s">
        <v>91</v>
      </c>
      <c r="N32" s="115"/>
      <c r="O32" s="68"/>
      <c r="P32" s="20"/>
      <c r="Q32" s="21"/>
      <c r="R32" s="21"/>
      <c r="S32" s="22"/>
      <c r="T32" s="22"/>
      <c r="U32" s="22"/>
      <c r="V32" s="22"/>
      <c r="W32" s="22"/>
      <c r="X32" s="22"/>
      <c r="Y32" s="22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6"/>
    </row>
    <row r="33" spans="1:38" ht="15" customHeight="1" x14ac:dyDescent="0.3">
      <c r="A33" s="66"/>
      <c r="B33" s="56"/>
      <c r="C33" s="52"/>
      <c r="D33" s="298"/>
      <c r="E33" s="299"/>
      <c r="F33" s="300"/>
      <c r="G33" s="285"/>
      <c r="H33" s="301"/>
      <c r="I33" s="285"/>
      <c r="J33" s="300"/>
      <c r="K33" s="299"/>
      <c r="L33" s="302"/>
      <c r="M33" s="54"/>
      <c r="N33" s="71"/>
      <c r="O33" s="67"/>
      <c r="P33" s="343"/>
      <c r="Q33" s="343"/>
      <c r="R33" s="343"/>
      <c r="S33" s="343"/>
      <c r="T33" s="343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ht="22.5" customHeight="1" x14ac:dyDescent="0.3">
      <c r="A34" s="6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7"/>
      <c r="P34" s="16"/>
      <c r="Q34" s="16"/>
      <c r="R34" s="16"/>
      <c r="S34" s="16"/>
      <c r="T34" s="16"/>
      <c r="U34" s="16"/>
      <c r="V34" s="16"/>
      <c r="W34" s="28" t="str">
        <f>IF(AJ8=1,IF(P33="","",P33),IF(SUM(Q10:Q17)&gt;0,VLOOKUP(1,Z10:AA17,2,0),""))</f>
        <v>CLUB CAMPESTRE IBAGUE DOS</v>
      </c>
      <c r="X34" s="16"/>
      <c r="Y34" s="16"/>
      <c r="Z34" s="16"/>
      <c r="AA34" s="16"/>
      <c r="AB34" s="16"/>
      <c r="AC34" s="23"/>
      <c r="AD34" s="23"/>
      <c r="AE34" s="23"/>
      <c r="AF34" s="23"/>
      <c r="AG34" s="23"/>
      <c r="AH34" s="23"/>
      <c r="AI34" s="16"/>
      <c r="AJ34" s="23"/>
      <c r="AK34" s="23"/>
      <c r="AL34" s="16"/>
    </row>
    <row r="35" spans="1:38" ht="15" customHeigh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28" t="str">
        <f>IF(AJ8=1,IF(P36="","",P36),IF(SUM(Q10:Q17)&gt;0,VLOOKUP(2,Z10:AA17,2,0),""))</f>
        <v>CORDOBA Y SERRANO F. C.</v>
      </c>
      <c r="X35" s="16"/>
      <c r="Y35" s="16"/>
      <c r="Z35" s="16"/>
      <c r="AA35" s="16"/>
      <c r="AB35" s="16"/>
      <c r="AC35" s="23"/>
      <c r="AD35" s="23"/>
      <c r="AE35" s="23"/>
      <c r="AF35" s="23"/>
      <c r="AG35" s="23"/>
      <c r="AH35" s="23"/>
      <c r="AI35" s="16"/>
      <c r="AJ35" s="23"/>
      <c r="AK35" s="23"/>
      <c r="AL35" s="16"/>
    </row>
    <row r="36" spans="1:38" ht="15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343"/>
      <c r="Q36" s="343"/>
      <c r="R36" s="343"/>
      <c r="S36" s="343"/>
      <c r="T36" s="343"/>
      <c r="U36" s="16"/>
      <c r="V36" s="16"/>
      <c r="W36" s="16"/>
      <c r="X36" s="16"/>
      <c r="Y36" s="16"/>
      <c r="Z36" s="16"/>
      <c r="AA36" s="16"/>
      <c r="AB36" s="16"/>
      <c r="AC36" s="23"/>
      <c r="AD36" s="23"/>
      <c r="AE36" s="23"/>
      <c r="AF36" s="23"/>
      <c r="AG36" s="23"/>
      <c r="AH36" s="23"/>
      <c r="AI36" s="16"/>
      <c r="AJ36" s="23"/>
      <c r="AK36" s="23"/>
      <c r="AL36" s="16"/>
    </row>
    <row r="37" spans="1:38" x14ac:dyDescent="0.3">
      <c r="A37" s="6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0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x14ac:dyDescent="0.3">
      <c r="A38" s="6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8"/>
      <c r="R39" s="18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x14ac:dyDescent="0.3">
      <c r="B43" s="16"/>
      <c r="C43" s="16"/>
      <c r="D43" s="16"/>
      <c r="E43" s="16"/>
      <c r="F43" s="16"/>
      <c r="G43" s="16"/>
      <c r="H43" s="16"/>
      <c r="I43" s="16"/>
      <c r="J43" s="26" t="str">
        <f>IF(AG8=1,"Indique el primero y segundo equipos clasificados de la serie:","")</f>
        <v/>
      </c>
      <c r="K43" s="16"/>
      <c r="L43" s="26" t="str">
        <f>IF(AG8=1,"Primero:","")</f>
        <v/>
      </c>
      <c r="M43" s="16"/>
      <c r="N43" s="25"/>
      <c r="O43" s="25"/>
      <c r="P43" s="25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2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2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x14ac:dyDescent="0.3">
      <c r="B46" s="16"/>
      <c r="C46" s="16"/>
      <c r="D46" s="16"/>
      <c r="E46" s="16"/>
      <c r="F46" s="16"/>
      <c r="G46" s="16"/>
      <c r="H46" s="16"/>
      <c r="I46" s="16"/>
      <c r="J46" s="27" t="str">
        <f>IF(AG8=1,"(Debido a la paridad de los resultados, no pueden deducirse de forma automática.)","")</f>
        <v/>
      </c>
      <c r="K46" s="16"/>
      <c r="L46" s="26" t="str">
        <f>IF(AG8=1,"Segundo:","")</f>
        <v/>
      </c>
      <c r="M46" s="16"/>
      <c r="N46" s="25"/>
      <c r="O46" s="25"/>
      <c r="P46" s="25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58" spans="16:20" x14ac:dyDescent="0.3">
      <c r="P58" s="135" t="str">
        <f>+'PRE BABY GRUPOS'!I8</f>
        <v>ESCUELA DEPORTIVA DE FÚTBOL RAQUIRA</v>
      </c>
      <c r="Q58" s="135" t="str">
        <f>+J11</f>
        <v>G</v>
      </c>
      <c r="R58" s="135" t="str">
        <f>+J17</f>
        <v/>
      </c>
      <c r="S58" s="135" t="str">
        <f>+F26</f>
        <v>P</v>
      </c>
      <c r="T58" s="135" t="str">
        <f>+F29</f>
        <v>P</v>
      </c>
    </row>
    <row r="59" spans="16:20" x14ac:dyDescent="0.3">
      <c r="P59" s="135" t="str">
        <f>+'PRE BABY GRUPOS'!I7</f>
        <v>CLUB CAMPESTRE IBAGUE DOS</v>
      </c>
      <c r="Q59" s="135" t="str">
        <f>+J8</f>
        <v>G</v>
      </c>
      <c r="R59" s="135" t="str">
        <f>+J20</f>
        <v/>
      </c>
      <c r="S59" s="135" t="str">
        <f>+J26</f>
        <v>G</v>
      </c>
      <c r="T59" s="135" t="str">
        <f>+F32</f>
        <v>E</v>
      </c>
    </row>
    <row r="60" spans="16:20" x14ac:dyDescent="0.3">
      <c r="P60" s="135" t="str">
        <f>+'PRE BABY GRUPOS'!I9</f>
        <v>CORDOBA Y SERRANO F. C.</v>
      </c>
      <c r="Q60" s="135" t="str">
        <f>+J14</f>
        <v>E</v>
      </c>
      <c r="R60" s="135" t="str">
        <f>+J23</f>
        <v/>
      </c>
      <c r="S60" s="135" t="str">
        <f>+J29</f>
        <v>G</v>
      </c>
      <c r="T60" s="135" t="str">
        <f>+J32</f>
        <v>E</v>
      </c>
    </row>
  </sheetData>
  <mergeCells count="175"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  <mergeCell ref="A1:N1"/>
    <mergeCell ref="A2:N2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P14:P15"/>
    <mergeCell ref="Q14:Q15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K14:AK15"/>
    <mergeCell ref="AB14:AB15"/>
    <mergeCell ref="AI14:AI15"/>
    <mergeCell ref="AJ14:AJ15"/>
    <mergeCell ref="K8:K9"/>
    <mergeCell ref="L8:L9"/>
    <mergeCell ref="P36:T36"/>
    <mergeCell ref="K32:K33"/>
    <mergeCell ref="L32:L33"/>
    <mergeCell ref="P33:T33"/>
    <mergeCell ref="L29:L30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T12:T13"/>
    <mergeCell ref="U12:U13"/>
    <mergeCell ref="V12:V13"/>
    <mergeCell ref="W12:W13"/>
    <mergeCell ref="D32:D33"/>
    <mergeCell ref="E32:E33"/>
    <mergeCell ref="F32:F33"/>
    <mergeCell ref="G32:G33"/>
    <mergeCell ref="H32:H33"/>
    <mergeCell ref="I32:I33"/>
    <mergeCell ref="J32:J33"/>
    <mergeCell ref="R14:R15"/>
    <mergeCell ref="D29:D30"/>
    <mergeCell ref="E29:E30"/>
    <mergeCell ref="F29:F30"/>
    <mergeCell ref="G29:G30"/>
    <mergeCell ref="H29:H30"/>
    <mergeCell ref="I29:I30"/>
    <mergeCell ref="J29:J30"/>
    <mergeCell ref="K29:K30"/>
    <mergeCell ref="D17:D18"/>
    <mergeCell ref="G17:G18"/>
    <mergeCell ref="H17:H18"/>
    <mergeCell ref="I17:I18"/>
    <mergeCell ref="J17:J18"/>
    <mergeCell ref="K17:K18"/>
    <mergeCell ref="L17:L18"/>
    <mergeCell ref="D14:D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E14:E15"/>
    <mergeCell ref="F14:F15"/>
    <mergeCell ref="G14:G15"/>
    <mergeCell ref="H14:H15"/>
    <mergeCell ref="I14:I15"/>
    <mergeCell ref="J14:J15"/>
    <mergeCell ref="K14:K15"/>
    <mergeCell ref="L14:L15"/>
    <mergeCell ref="E17:E18"/>
    <mergeCell ref="F17:F18"/>
  </mergeCells>
  <conditionalFormatting sqref="G20:G21">
    <cfRule type="expression" dxfId="272" priority="42" stopIfTrue="1">
      <formula>F20="G"</formula>
    </cfRule>
    <cfRule type="expression" dxfId="271" priority="40" stopIfTrue="1">
      <formula>F20="P"</formula>
    </cfRule>
    <cfRule type="expression" dxfId="270" priority="41" stopIfTrue="1">
      <formula>F20="E"</formula>
    </cfRule>
  </conditionalFormatting>
  <conditionalFormatting sqref="G23:G24">
    <cfRule type="expression" dxfId="269" priority="20" stopIfTrue="1">
      <formula>F23="E"</formula>
    </cfRule>
    <cfRule type="expression" dxfId="268" priority="21" stopIfTrue="1">
      <formula>F23="G"</formula>
    </cfRule>
    <cfRule type="expression" dxfId="267" priority="19" stopIfTrue="1">
      <formula>F23="P"</formula>
    </cfRule>
  </conditionalFormatting>
  <conditionalFormatting sqref="G26:G27">
    <cfRule type="expression" dxfId="266" priority="16" stopIfTrue="1">
      <formula>F26="P"</formula>
    </cfRule>
    <cfRule type="expression" dxfId="265" priority="17" stopIfTrue="1">
      <formula>F26="E"</formula>
    </cfRule>
    <cfRule type="expression" dxfId="264" priority="18" stopIfTrue="1">
      <formula>F26="G"</formula>
    </cfRule>
  </conditionalFormatting>
  <conditionalFormatting sqref="G29:G30">
    <cfRule type="expression" dxfId="263" priority="13" stopIfTrue="1">
      <formula>F29="P"</formula>
    </cfRule>
    <cfRule type="expression" dxfId="262" priority="14" stopIfTrue="1">
      <formula>F29="E"</formula>
    </cfRule>
    <cfRule type="expression" dxfId="261" priority="15" stopIfTrue="1">
      <formula>F29="G"</formula>
    </cfRule>
  </conditionalFormatting>
  <conditionalFormatting sqref="G32:G33">
    <cfRule type="expression" dxfId="260" priority="10" stopIfTrue="1">
      <formula>F32="P"</formula>
    </cfRule>
    <cfRule type="expression" dxfId="259" priority="11" stopIfTrue="1">
      <formula>F32="E"</formula>
    </cfRule>
    <cfRule type="expression" dxfId="258" priority="12" stopIfTrue="1">
      <formula>F32="G"</formula>
    </cfRule>
  </conditionalFormatting>
  <conditionalFormatting sqref="I20:I21">
    <cfRule type="expression" dxfId="254" priority="26" stopIfTrue="1">
      <formula>J20="E"</formula>
    </cfRule>
    <cfRule type="expression" dxfId="253" priority="27" stopIfTrue="1">
      <formula>J20="G"</formula>
    </cfRule>
    <cfRule type="expression" dxfId="252" priority="25" stopIfTrue="1">
      <formula>J20="P"</formula>
    </cfRule>
  </conditionalFormatting>
  <conditionalFormatting sqref="I23:I24">
    <cfRule type="expression" dxfId="251" priority="28" stopIfTrue="1">
      <formula>J23="P"</formula>
    </cfRule>
    <cfRule type="expression" dxfId="250" priority="29" stopIfTrue="1">
      <formula>J23="E"</formula>
    </cfRule>
    <cfRule type="expression" dxfId="249" priority="30" stopIfTrue="1">
      <formula>J23="G"</formula>
    </cfRule>
  </conditionalFormatting>
  <conditionalFormatting sqref="I26:I27">
    <cfRule type="expression" dxfId="248" priority="31" stopIfTrue="1">
      <formula>J26="P"</formula>
    </cfRule>
    <cfRule type="expression" dxfId="247" priority="32" stopIfTrue="1">
      <formula>J26="E"</formula>
    </cfRule>
    <cfRule type="expression" dxfId="246" priority="33" stopIfTrue="1">
      <formula>J26="G"</formula>
    </cfRule>
  </conditionalFormatting>
  <conditionalFormatting sqref="I29:I30">
    <cfRule type="expression" dxfId="245" priority="34" stopIfTrue="1">
      <formula>J29="P"</formula>
    </cfRule>
    <cfRule type="expression" dxfId="244" priority="35" stopIfTrue="1">
      <formula>J29="E"</formula>
    </cfRule>
    <cfRule type="expression" dxfId="243" priority="36" stopIfTrue="1">
      <formula>J29="G"</formula>
    </cfRule>
  </conditionalFormatting>
  <conditionalFormatting sqref="I32:I33">
    <cfRule type="expression" dxfId="242" priority="37" stopIfTrue="1">
      <formula>J32="P"</formula>
    </cfRule>
    <cfRule type="expression" dxfId="241" priority="38" stopIfTrue="1">
      <formula>J32="E"</formula>
    </cfRule>
    <cfRule type="expression" dxfId="240" priority="39" stopIfTrue="1">
      <formula>J32="G"</formula>
    </cfRule>
  </conditionalFormatting>
  <printOptions verticalCentered="1"/>
  <pageMargins left="0" right="0" top="0.15748031496062992" bottom="0.15748031496062992" header="0" footer="0"/>
  <pageSetup scale="62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545CD7C5-249A-4B3D-A350-0816619E5CDE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BAB59231-D26A-4DF6-A392-BCECEA20AFB7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" stopIfTrue="1" id="{F6D2D84A-46FC-47F1-B89E-FF8D00046B94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" stopIfTrue="1" id="{E56A33A6-41C9-4692-9FD3-A71869FAA8BE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" stopIfTrue="1" id="{52B5F40A-24B1-4658-B48B-C335B26C1694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B0E0C8A5-309C-4D2F-BDD1-1B3230540C70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33" t="s">
        <v>5</v>
      </c>
      <c r="I1" s="333"/>
      <c r="J1" s="333"/>
      <c r="K1" s="333"/>
      <c r="L1" s="333"/>
      <c r="M1" s="333"/>
      <c r="N1" s="333"/>
      <c r="O1" s="333"/>
      <c r="P1" s="333"/>
      <c r="Q1" s="46"/>
    </row>
    <row r="2" spans="1:17" s="3" customFormat="1" ht="38.25" customHeight="1" x14ac:dyDescent="0.3">
      <c r="B2" s="148" t="s">
        <v>42</v>
      </c>
      <c r="C2" s="149"/>
      <c r="D2" s="149"/>
      <c r="E2" s="149"/>
      <c r="F2" s="149"/>
      <c r="G2" s="149"/>
      <c r="H2" s="360" t="s">
        <v>6</v>
      </c>
      <c r="I2" s="360"/>
      <c r="J2" s="360"/>
      <c r="K2" s="360"/>
      <c r="L2" s="360"/>
      <c r="M2" s="360"/>
      <c r="N2" s="360"/>
      <c r="O2" s="360"/>
      <c r="P2" s="360"/>
      <c r="Q2" s="47"/>
    </row>
    <row r="3" spans="1:17" s="3" customFormat="1" ht="15" customHeight="1" x14ac:dyDescent="0.3">
      <c r="B3" s="150" t="s">
        <v>17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7" ht="21.75" customHeight="1" x14ac:dyDescent="0.45">
      <c r="A4" s="3"/>
      <c r="B4" s="361" t="s">
        <v>4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  <c r="O4" s="19"/>
      <c r="P4" s="17" t="s">
        <v>18</v>
      </c>
    </row>
    <row r="5" spans="1:17" ht="15" thickBot="1" x14ac:dyDescent="0.35">
      <c r="A5" s="3"/>
      <c r="B5" s="152"/>
      <c r="C5" s="152"/>
      <c r="D5" s="152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63">
        <v>42596</v>
      </c>
      <c r="C6" s="365" t="s">
        <v>2</v>
      </c>
      <c r="D6" s="367" t="s">
        <v>77</v>
      </c>
      <c r="E6" s="153"/>
      <c r="F6" s="154" t="str">
        <f>IF(AND(H6&lt;&gt;"",J6&lt;&gt;""),IF(H6=J6,"E",IF(H6&gt;J6,"G","P")),"")</f>
        <v>P</v>
      </c>
      <c r="G6" s="369" t="e">
        <f>+'GRUPO A'!$W$34</f>
        <v>#N/A</v>
      </c>
      <c r="H6" s="284">
        <v>1</v>
      </c>
      <c r="I6" s="301" t="s">
        <v>15</v>
      </c>
      <c r="J6" s="284">
        <v>2</v>
      </c>
      <c r="K6" s="301" t="str">
        <f>IF(AND(J6&lt;&gt;"",H6&lt;&gt;""),IF(J6=H6,"E",IF(J6&gt;H6,"G","P")),"")</f>
        <v>G</v>
      </c>
      <c r="L6" s="376" t="str">
        <f>+'GRUPO C'!$W$35</f>
        <v>ESCUELA DE FORMACIÓN DEPORTIVA MARACANA</v>
      </c>
      <c r="M6" s="153"/>
      <c r="N6" s="379" t="s">
        <v>74</v>
      </c>
      <c r="P6" s="377" t="str">
        <f>IF(OR(F6="E",F6=""),"",IF(F6="G",G6,L6))</f>
        <v>ESCUELA DE FORMACIÓN DEPORTIVA MARACANA</v>
      </c>
    </row>
    <row r="7" spans="1:17" ht="15" thickBot="1" x14ac:dyDescent="0.35">
      <c r="A7" s="3"/>
      <c r="B7" s="364"/>
      <c r="C7" s="366"/>
      <c r="D7" s="368"/>
      <c r="E7" s="153"/>
      <c r="F7" s="154"/>
      <c r="G7" s="369"/>
      <c r="H7" s="285"/>
      <c r="I7" s="301"/>
      <c r="J7" s="285"/>
      <c r="K7" s="301"/>
      <c r="L7" s="376"/>
      <c r="M7" s="153"/>
      <c r="N7" s="379"/>
      <c r="P7" s="378"/>
    </row>
    <row r="8" spans="1:17" ht="6.75" customHeight="1" thickBot="1" x14ac:dyDescent="0.35">
      <c r="A8" s="3"/>
      <c r="B8" s="155"/>
      <c r="C8" s="155"/>
      <c r="D8" s="156"/>
      <c r="E8" s="153"/>
      <c r="F8" s="14"/>
      <c r="G8" s="14"/>
      <c r="H8" s="14"/>
      <c r="I8" s="14"/>
      <c r="J8" s="14"/>
      <c r="K8" s="14"/>
      <c r="L8" s="153"/>
      <c r="M8" s="153"/>
      <c r="N8" s="157"/>
      <c r="P8" s="158"/>
    </row>
    <row r="9" spans="1:17" x14ac:dyDescent="0.3">
      <c r="A9" s="3"/>
      <c r="B9" s="370">
        <v>42596</v>
      </c>
      <c r="C9" s="372" t="s">
        <v>3</v>
      </c>
      <c r="D9" s="374" t="s">
        <v>78</v>
      </c>
      <c r="E9" s="153"/>
      <c r="F9" s="301" t="str">
        <f>IF(AND(H9&lt;&gt;"",J9&lt;&gt;""),IF(H9=J9,"E",IF(H9&gt;J9,"G","P")),"")</f>
        <v>G</v>
      </c>
      <c r="G9" s="376" t="str">
        <f>+'GRUPO B'!$W$34</f>
        <v>CLUB ARIEL ARMEL</v>
      </c>
      <c r="H9" s="284">
        <v>2</v>
      </c>
      <c r="I9" s="301" t="s">
        <v>15</v>
      </c>
      <c r="J9" s="284">
        <v>1</v>
      </c>
      <c r="K9" s="301" t="str">
        <f>IF(AND(J9&lt;&gt;"",H9&lt;&gt;""),IF(J9=H9,"E",IF(J9&gt;H9,"G","P")),"")</f>
        <v>P</v>
      </c>
      <c r="L9" s="376" t="str">
        <f>+'GRUPO D'!$W$35</f>
        <v>CORDOBA Y SERRANO F. C.</v>
      </c>
      <c r="M9" s="153"/>
      <c r="N9" s="379" t="s">
        <v>37</v>
      </c>
      <c r="P9" s="377" t="str">
        <f>IF(OR(F9="E",F9=""),"",IF(F9="G",G9,L9))</f>
        <v>CLUB ARIEL ARMEL</v>
      </c>
    </row>
    <row r="10" spans="1:17" ht="15" thickBot="1" x14ac:dyDescent="0.35">
      <c r="A10" s="3"/>
      <c r="B10" s="371"/>
      <c r="C10" s="373"/>
      <c r="D10" s="375"/>
      <c r="E10" s="153"/>
      <c r="F10" s="301"/>
      <c r="G10" s="376"/>
      <c r="H10" s="285"/>
      <c r="I10" s="301"/>
      <c r="J10" s="285"/>
      <c r="K10" s="301"/>
      <c r="L10" s="376"/>
      <c r="M10" s="153"/>
      <c r="N10" s="379"/>
      <c r="P10" s="378"/>
    </row>
    <row r="11" spans="1:17" ht="8.25" customHeight="1" thickBot="1" x14ac:dyDescent="0.35">
      <c r="A11" s="3"/>
      <c r="B11" s="159"/>
      <c r="C11" s="155"/>
      <c r="D11" s="156"/>
      <c r="E11" s="153"/>
      <c r="F11" s="14"/>
      <c r="G11" s="153"/>
      <c r="H11" s="14"/>
      <c r="I11" s="14"/>
      <c r="J11" s="14"/>
      <c r="K11" s="14"/>
      <c r="L11" s="153"/>
      <c r="M11" s="153"/>
      <c r="N11" s="157"/>
      <c r="P11" s="158"/>
    </row>
    <row r="12" spans="1:17" x14ac:dyDescent="0.3">
      <c r="A12" s="3"/>
      <c r="B12" s="363">
        <v>42596</v>
      </c>
      <c r="C12" s="365" t="s">
        <v>58</v>
      </c>
      <c r="D12" s="367" t="s">
        <v>77</v>
      </c>
      <c r="E12" s="153"/>
      <c r="F12" s="301" t="str">
        <f>IF(AND(H12&lt;&gt;"",J12&lt;&gt;""),IF(H12=J12,"E",IF(H12&gt;J12,"G","P")),"")</f>
        <v>P</v>
      </c>
      <c r="G12" s="376" t="str">
        <f>+'GRUPO C'!W34</f>
        <v>GRAMA F. C.</v>
      </c>
      <c r="H12" s="284">
        <v>1</v>
      </c>
      <c r="I12" s="301" t="s">
        <v>15</v>
      </c>
      <c r="J12" s="284">
        <v>2</v>
      </c>
      <c r="K12" s="301" t="str">
        <f>IF(AND(J12&lt;&gt;"",H12&lt;&gt;""),IF(J12=H12,"E",IF(J12&gt;H12,"G","P")),"")</f>
        <v>G</v>
      </c>
      <c r="L12" s="376" t="e">
        <f>+'GRUPO A'!$W$35</f>
        <v>#N/A</v>
      </c>
      <c r="M12" s="153"/>
      <c r="N12" s="379" t="s">
        <v>37</v>
      </c>
      <c r="P12" s="377" t="e">
        <f>IF(OR(F12="E",F12=""),"",IF(F12="G",G12,L12))</f>
        <v>#N/A</v>
      </c>
    </row>
    <row r="13" spans="1:17" ht="15" thickBot="1" x14ac:dyDescent="0.35">
      <c r="A13" s="3"/>
      <c r="B13" s="364"/>
      <c r="C13" s="366"/>
      <c r="D13" s="368"/>
      <c r="E13" s="153"/>
      <c r="F13" s="301"/>
      <c r="G13" s="376"/>
      <c r="H13" s="285"/>
      <c r="I13" s="301"/>
      <c r="J13" s="285"/>
      <c r="K13" s="301"/>
      <c r="L13" s="376"/>
      <c r="M13" s="153"/>
      <c r="N13" s="379"/>
      <c r="P13" s="378"/>
    </row>
    <row r="14" spans="1:17" ht="8.25" customHeight="1" thickBot="1" x14ac:dyDescent="0.35">
      <c r="A14" s="3"/>
      <c r="B14" s="159"/>
      <c r="C14" s="155"/>
      <c r="D14" s="156"/>
      <c r="E14" s="153"/>
      <c r="F14" s="14"/>
      <c r="G14" s="153"/>
      <c r="H14" s="14"/>
      <c r="I14" s="14"/>
      <c r="J14" s="14"/>
      <c r="K14" s="14"/>
      <c r="L14" s="153"/>
      <c r="M14" s="153"/>
      <c r="N14" s="157"/>
      <c r="P14" s="158"/>
    </row>
    <row r="15" spans="1:17" x14ac:dyDescent="0.3">
      <c r="A15" s="3"/>
      <c r="B15" s="370">
        <v>42596</v>
      </c>
      <c r="C15" s="372" t="s">
        <v>59</v>
      </c>
      <c r="D15" s="374" t="s">
        <v>78</v>
      </c>
      <c r="E15" s="153"/>
      <c r="F15" s="301" t="str">
        <f>IF(AND(H15&lt;&gt;"",J15&lt;&gt;""),IF(H15=J15,"E",IF(H15&gt;J15,"G","P")),"")</f>
        <v>G</v>
      </c>
      <c r="G15" s="376" t="str">
        <f>+'GRUPO D'!$W$34</f>
        <v>CLUB CAMPESTRE IBAGUE DOS</v>
      </c>
      <c r="H15" s="284">
        <v>2</v>
      </c>
      <c r="I15" s="301" t="s">
        <v>15</v>
      </c>
      <c r="J15" s="284">
        <v>1</v>
      </c>
      <c r="K15" s="301" t="str">
        <f>IF(AND(J15&lt;&gt;"",H15&lt;&gt;""),IF(J15=H15,"E",IF(J15&gt;H15,"G","P")),"")</f>
        <v>P</v>
      </c>
      <c r="L15" s="376" t="str">
        <f>+'GRUPO B'!W35</f>
        <v>CENTAUROS DEL ARIARI</v>
      </c>
      <c r="M15" s="153"/>
      <c r="N15" s="379" t="s">
        <v>74</v>
      </c>
      <c r="P15" s="377" t="str">
        <f>IF(OR(F15="E",F15=""),"",IF(F15="G",G15,L15))</f>
        <v>CLUB CAMPESTRE IBAGUE DOS</v>
      </c>
    </row>
    <row r="16" spans="1:17" ht="15" thickBot="1" x14ac:dyDescent="0.35">
      <c r="A16" s="3"/>
      <c r="B16" s="371"/>
      <c r="C16" s="373"/>
      <c r="D16" s="375"/>
      <c r="E16" s="153"/>
      <c r="F16" s="301"/>
      <c r="G16" s="376"/>
      <c r="H16" s="285"/>
      <c r="I16" s="301"/>
      <c r="J16" s="285"/>
      <c r="K16" s="301"/>
      <c r="L16" s="376"/>
      <c r="M16" s="11"/>
      <c r="N16" s="379"/>
      <c r="P16" s="378"/>
    </row>
    <row r="17" spans="2:7" s="3" customFormat="1" ht="7.5" customHeight="1" x14ac:dyDescent="0.3"/>
    <row r="18" spans="2:7" s="3" customFormat="1" x14ac:dyDescent="0.3">
      <c r="B18" s="380" t="e">
        <f>+'PRE BABY GRUPOS'!#REF!</f>
        <v>#REF!</v>
      </c>
      <c r="C18" s="380"/>
      <c r="D18" s="380"/>
      <c r="E18" s="380"/>
      <c r="F18" s="380"/>
      <c r="G18" s="380"/>
    </row>
    <row r="19" spans="2:7" s="3" customFormat="1" x14ac:dyDescent="0.3">
      <c r="B19" s="380"/>
      <c r="C19" s="380"/>
      <c r="D19" s="380"/>
      <c r="E19" s="380"/>
      <c r="F19" s="380"/>
      <c r="G19" s="380"/>
    </row>
    <row r="20" spans="2:7" s="3" customFormat="1" x14ac:dyDescent="0.3">
      <c r="B20" s="380"/>
      <c r="C20" s="380"/>
      <c r="D20" s="380"/>
      <c r="E20" s="380"/>
      <c r="F20" s="380"/>
      <c r="G20" s="380"/>
    </row>
    <row r="21" spans="2:7" s="3" customFormat="1" x14ac:dyDescent="0.3">
      <c r="B21" s="381" t="str">
        <f>+'PRE BABY GRUPOS'!C3</f>
        <v>NACIDOS 2012 2013</v>
      </c>
      <c r="C21" s="381"/>
      <c r="D21" s="381"/>
      <c r="E21" s="381"/>
      <c r="F21" s="381"/>
      <c r="G21" s="381"/>
    </row>
    <row r="22" spans="2:7" s="3" customFormat="1" x14ac:dyDescent="0.3">
      <c r="B22" s="381"/>
      <c r="C22" s="381"/>
      <c r="D22" s="381"/>
      <c r="E22" s="381"/>
      <c r="F22" s="381"/>
      <c r="G22" s="381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239" priority="22" stopIfTrue="1">
      <formula>F6="P"</formula>
    </cfRule>
    <cfRule type="expression" dxfId="238" priority="23" stopIfTrue="1">
      <formula>F6="E"</formula>
    </cfRule>
    <cfRule type="expression" dxfId="237" priority="24" stopIfTrue="1">
      <formula>F6="G"</formula>
    </cfRule>
  </conditionalFormatting>
  <conditionalFormatting sqref="H9:H10">
    <cfRule type="expression" dxfId="236" priority="7" stopIfTrue="1">
      <formula>F9="P"</formula>
    </cfRule>
    <cfRule type="expression" dxfId="235" priority="8" stopIfTrue="1">
      <formula>F9="E"</formula>
    </cfRule>
    <cfRule type="expression" dxfId="234" priority="9" stopIfTrue="1">
      <formula>F9="G"</formula>
    </cfRule>
  </conditionalFormatting>
  <conditionalFormatting sqref="H12:H13">
    <cfRule type="expression" dxfId="233" priority="4" stopIfTrue="1">
      <formula>F12="P"</formula>
    </cfRule>
    <cfRule type="expression" dxfId="232" priority="5" stopIfTrue="1">
      <formula>F12="E"</formula>
    </cfRule>
    <cfRule type="expression" dxfId="231" priority="6" stopIfTrue="1">
      <formula>F12="G"</formula>
    </cfRule>
  </conditionalFormatting>
  <conditionalFormatting sqref="H15:H16">
    <cfRule type="expression" dxfId="230" priority="1" stopIfTrue="1">
      <formula>F15="P"</formula>
    </cfRule>
    <cfRule type="expression" dxfId="229" priority="2" stopIfTrue="1">
      <formula>F15="E"</formula>
    </cfRule>
    <cfRule type="expression" dxfId="228" priority="3" stopIfTrue="1">
      <formula>F15="G"</formula>
    </cfRule>
  </conditionalFormatting>
  <conditionalFormatting sqref="J6:J7">
    <cfRule type="expression" dxfId="227" priority="10" stopIfTrue="1">
      <formula>K6="P"</formula>
    </cfRule>
    <cfRule type="expression" dxfId="226" priority="11" stopIfTrue="1">
      <formula>K6="E"</formula>
    </cfRule>
    <cfRule type="expression" dxfId="225" priority="12" stopIfTrue="1">
      <formula>K6="G"</formula>
    </cfRule>
  </conditionalFormatting>
  <conditionalFormatting sqref="J9:J10">
    <cfRule type="expression" dxfId="224" priority="13" stopIfTrue="1">
      <formula>K9="P"</formula>
    </cfRule>
    <cfRule type="expression" dxfId="223" priority="14" stopIfTrue="1">
      <formula>K9="E"</formula>
    </cfRule>
    <cfRule type="expression" dxfId="222" priority="15" stopIfTrue="1">
      <formula>K9="G"</formula>
    </cfRule>
  </conditionalFormatting>
  <conditionalFormatting sqref="J12:J13">
    <cfRule type="expression" dxfId="221" priority="16" stopIfTrue="1">
      <formula>K12="P"</formula>
    </cfRule>
    <cfRule type="expression" dxfId="220" priority="17" stopIfTrue="1">
      <formula>K12="E"</formula>
    </cfRule>
    <cfRule type="expression" dxfId="219" priority="18" stopIfTrue="1">
      <formula>K12="G"</formula>
    </cfRule>
  </conditionalFormatting>
  <conditionalFormatting sqref="J15:J16">
    <cfRule type="expression" dxfId="218" priority="19" stopIfTrue="1">
      <formula>K15="P"</formula>
    </cfRule>
    <cfRule type="expression" dxfId="217" priority="20" stopIfTrue="1">
      <formula>K15="E"</formula>
    </cfRule>
    <cfRule type="expression" dxfId="216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I16"/>
  <sheetViews>
    <sheetView zoomScaleNormal="100" workbookViewId="0">
      <selection activeCell="V16" sqref="V16"/>
    </sheetView>
  </sheetViews>
  <sheetFormatPr baseColWidth="10" defaultRowHeight="14.4" x14ac:dyDescent="0.3"/>
  <cols>
    <col min="1" max="1" width="5.109375" style="3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33203125" customWidth="1"/>
    <col min="14" max="14" width="8.5546875" hidden="1" customWidth="1"/>
    <col min="16" max="16" width="2.88671875" style="3" customWidth="1"/>
    <col min="17" max="17" width="25.33203125" customWidth="1"/>
    <col min="18" max="18" width="3.109375" style="3" customWidth="1"/>
    <col min="19" max="19" width="3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33" t="str">
        <f>+'PRE BABY GRUPOS'!C1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</row>
    <row r="2" spans="1:19" s="3" customFormat="1" ht="34.950000000000003" customHeight="1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</row>
    <row r="3" spans="1:19" s="3" customFormat="1" ht="34.950000000000003" customHeight="1" x14ac:dyDescent="0.7">
      <c r="A3" s="394" t="e">
        <f>+'PRE BABY GRUPOS'!#REF!</f>
        <v>#REF!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</row>
    <row r="4" spans="1:19" s="3" customFormat="1" ht="34.950000000000003" customHeight="1" x14ac:dyDescent="0.45">
      <c r="A4" s="395" t="str">
        <f>+'PRE BABY GRUPOS'!C3</f>
        <v>NACIDOS 2012 2013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95"/>
      <c r="Q4" s="395"/>
    </row>
    <row r="5" spans="1:19" s="3" customFormat="1" ht="38.25" customHeight="1" x14ac:dyDescent="0.3">
      <c r="B5" s="218" t="s">
        <v>20</v>
      </c>
      <c r="F5" s="151"/>
      <c r="G5" s="48"/>
      <c r="H5" s="48"/>
      <c r="J5" s="48"/>
      <c r="K5" s="48"/>
      <c r="L5" s="48"/>
      <c r="M5" s="48"/>
      <c r="N5" s="48"/>
      <c r="O5" s="48"/>
    </row>
    <row r="6" spans="1:19" s="3" customFormat="1" x14ac:dyDescent="0.3">
      <c r="B6" s="49" t="s">
        <v>17</v>
      </c>
      <c r="N6" s="49"/>
    </row>
    <row r="7" spans="1:19" ht="23.4" x14ac:dyDescent="0.45">
      <c r="A7" s="19"/>
      <c r="B7" s="391" t="s">
        <v>20</v>
      </c>
      <c r="C7" s="392"/>
      <c r="D7" s="392"/>
      <c r="E7" s="392"/>
      <c r="F7" s="392"/>
      <c r="G7" s="340"/>
      <c r="H7" s="340"/>
      <c r="I7" s="340"/>
      <c r="J7" s="340"/>
      <c r="K7" s="340"/>
      <c r="L7" s="340"/>
      <c r="M7" s="340"/>
      <c r="N7" s="340"/>
      <c r="O7" s="393"/>
      <c r="P7" s="19"/>
      <c r="Q7" s="17" t="s">
        <v>18</v>
      </c>
    </row>
    <row r="8" spans="1:19" x14ac:dyDescent="0.3">
      <c r="B8" s="131"/>
      <c r="C8" s="133"/>
      <c r="D8" s="127"/>
      <c r="E8" s="134"/>
      <c r="F8" s="127"/>
      <c r="G8" s="8"/>
      <c r="H8" s="8"/>
      <c r="I8" s="237">
        <v>2</v>
      </c>
      <c r="J8" s="236"/>
      <c r="K8" s="237">
        <v>2</v>
      </c>
      <c r="L8" s="8"/>
      <c r="M8" s="8"/>
      <c r="N8" s="8"/>
      <c r="O8" s="7"/>
    </row>
    <row r="9" spans="1:19" ht="15.75" customHeight="1" x14ac:dyDescent="0.3">
      <c r="B9" s="382">
        <v>43090</v>
      </c>
      <c r="C9" s="383" t="s">
        <v>113</v>
      </c>
      <c r="D9" s="384" t="s">
        <v>115</v>
      </c>
      <c r="E9" s="128"/>
      <c r="F9" s="388" t="e">
        <f>+'GRUPO A'!$W$34</f>
        <v>#N/A</v>
      </c>
      <c r="G9" s="389" t="str">
        <f>IF(AND(I9&lt;&gt;"",K9&lt;&gt;""),IF(I9=K9,"E",IF(I9&gt;K9,"G","P")),"")</f>
        <v>G</v>
      </c>
      <c r="H9" s="10"/>
      <c r="I9" s="284">
        <v>5</v>
      </c>
      <c r="J9" s="301" t="s">
        <v>15</v>
      </c>
      <c r="K9" s="284">
        <v>4</v>
      </c>
      <c r="L9" s="390" t="str">
        <f>IF(AND(K9&lt;&gt;"",I9&lt;&gt;""),IF(K9=I9,"E",IF(K9&gt;I9,"G","P")),"")</f>
        <v>P</v>
      </c>
      <c r="M9" s="376" t="str">
        <f>+'GRUPO D'!$W$34</f>
        <v>CLUB CAMPESTRE IBAGUE DOS</v>
      </c>
      <c r="N9" s="11" t="s">
        <v>27</v>
      </c>
      <c r="O9" s="386" t="s">
        <v>37</v>
      </c>
      <c r="Q9" s="385" t="e">
        <f>IF(OR(G9="E",G9=""),"",IF(G9="G",F9,M9))</f>
        <v>#N/A</v>
      </c>
      <c r="S9" s="387" t="str">
        <f>IF(OR(G9="E",G9=""),"",IF(G9="P",F9,M9))</f>
        <v>CLUB CAMPESTRE IBAGUE DOS</v>
      </c>
    </row>
    <row r="10" spans="1:19" x14ac:dyDescent="0.3">
      <c r="B10" s="382"/>
      <c r="C10" s="383"/>
      <c r="D10" s="384"/>
      <c r="E10" s="128"/>
      <c r="F10" s="388"/>
      <c r="G10" s="389"/>
      <c r="H10" s="10"/>
      <c r="I10" s="285"/>
      <c r="J10" s="301"/>
      <c r="K10" s="285"/>
      <c r="L10" s="390"/>
      <c r="M10" s="376"/>
      <c r="N10" s="11"/>
      <c r="O10" s="386"/>
      <c r="Q10" s="385"/>
      <c r="S10" s="387"/>
    </row>
    <row r="11" spans="1:19" x14ac:dyDescent="0.3">
      <c r="B11" s="132"/>
      <c r="C11" s="128"/>
      <c r="D11" s="128"/>
      <c r="E11" s="128"/>
      <c r="F11" s="128"/>
      <c r="G11" s="41"/>
      <c r="H11" s="9"/>
      <c r="I11" s="38"/>
      <c r="J11" s="14"/>
      <c r="K11" s="38"/>
      <c r="L11" s="9"/>
      <c r="M11" s="11"/>
      <c r="N11" s="12"/>
      <c r="O11" s="51"/>
      <c r="Q11" s="32"/>
    </row>
    <row r="12" spans="1:19" x14ac:dyDescent="0.3">
      <c r="B12" s="382">
        <v>43090</v>
      </c>
      <c r="C12" s="383" t="s">
        <v>114</v>
      </c>
      <c r="D12" s="384" t="s">
        <v>111</v>
      </c>
      <c r="E12" s="128"/>
      <c r="F12" s="388" t="str">
        <f>+'GRUPO B'!$W$34</f>
        <v>CLUB ARIEL ARMEL</v>
      </c>
      <c r="G12" s="389" t="str">
        <f>IF(AND(I12&lt;&gt;"",K12&lt;&gt;""),IF(I12=K12,"E",IF(I12&gt;K12,"G","P")),"")</f>
        <v>G</v>
      </c>
      <c r="H12" s="10"/>
      <c r="I12" s="284">
        <v>3</v>
      </c>
      <c r="J12" s="301" t="s">
        <v>15</v>
      </c>
      <c r="K12" s="284">
        <v>0</v>
      </c>
      <c r="L12" s="390" t="str">
        <f>IF(AND(K12&lt;&gt;"",I12&lt;&gt;""),IF(K12=I12,"E",IF(K12&gt;I12,"G","P")),"")</f>
        <v>P</v>
      </c>
      <c r="M12" s="376" t="str">
        <f>+'GRUPO C'!$W$34</f>
        <v>GRAMA F. C.</v>
      </c>
      <c r="N12" s="13" t="s">
        <v>27</v>
      </c>
      <c r="O12" s="386" t="s">
        <v>37</v>
      </c>
      <c r="Q12" s="385" t="str">
        <f>IF(OR(G12="E",G12=""),"",IF(G12="G",F12,M12))</f>
        <v>CLUB ARIEL ARMEL</v>
      </c>
      <c r="S12" s="387" t="str">
        <f>IF(OR(G12="E",G12=""),"",IF(G12="P",F12,M12))</f>
        <v>GRAMA F. C.</v>
      </c>
    </row>
    <row r="13" spans="1:19" x14ac:dyDescent="0.3">
      <c r="B13" s="382"/>
      <c r="C13" s="383"/>
      <c r="D13" s="384"/>
      <c r="E13" s="128"/>
      <c r="F13" s="388"/>
      <c r="G13" s="389"/>
      <c r="H13" s="10"/>
      <c r="I13" s="285"/>
      <c r="J13" s="301"/>
      <c r="K13" s="285"/>
      <c r="L13" s="390"/>
      <c r="M13" s="376"/>
      <c r="N13" s="13"/>
      <c r="O13" s="386"/>
      <c r="Q13" s="385"/>
      <c r="S13" s="387"/>
    </row>
    <row r="14" spans="1:19" x14ac:dyDescent="0.3">
      <c r="B14" s="129"/>
      <c r="C14" s="130"/>
      <c r="D14" s="130"/>
      <c r="E14" s="130"/>
      <c r="F14" s="130"/>
      <c r="G14" s="43"/>
      <c r="H14" s="31"/>
      <c r="I14" s="31"/>
      <c r="J14" s="31"/>
      <c r="K14" s="31"/>
      <c r="L14" s="31"/>
      <c r="M14" s="31"/>
      <c r="N14" s="31"/>
      <c r="O14" s="30"/>
    </row>
    <row r="15" spans="1:19" s="3" customFormat="1" x14ac:dyDescent="0.3"/>
    <row r="16" spans="1:19" s="3" customFormat="1" ht="21.75" customHeight="1" x14ac:dyDescent="0.85">
      <c r="G16" s="99"/>
      <c r="H16" s="99"/>
    </row>
  </sheetData>
  <mergeCells count="31">
    <mergeCell ref="A1:Q1"/>
    <mergeCell ref="B7:O7"/>
    <mergeCell ref="G9:G10"/>
    <mergeCell ref="I9:I10"/>
    <mergeCell ref="J9:J10"/>
    <mergeCell ref="K9:K10"/>
    <mergeCell ref="L9:L10"/>
    <mergeCell ref="O9:O10"/>
    <mergeCell ref="B9:B10"/>
    <mergeCell ref="C9:C10"/>
    <mergeCell ref="D9:D10"/>
    <mergeCell ref="F9:F10"/>
    <mergeCell ref="M9:M10"/>
    <mergeCell ref="A2:Q2"/>
    <mergeCell ref="A3:Q3"/>
    <mergeCell ref="A4:Q4"/>
    <mergeCell ref="S9:S10"/>
    <mergeCell ref="Q9:Q10"/>
    <mergeCell ref="S12:S13"/>
    <mergeCell ref="F12:F13"/>
    <mergeCell ref="G12:G13"/>
    <mergeCell ref="I12:I13"/>
    <mergeCell ref="J12:J13"/>
    <mergeCell ref="K12:K13"/>
    <mergeCell ref="L12:L13"/>
    <mergeCell ref="B12:B13"/>
    <mergeCell ref="C12:C13"/>
    <mergeCell ref="D12:D13"/>
    <mergeCell ref="Q12:Q13"/>
    <mergeCell ref="M12:M13"/>
    <mergeCell ref="O12:O13"/>
  </mergeCells>
  <conditionalFormatting sqref="I9:I10 I12:I13">
    <cfRule type="expression" dxfId="215" priority="22" stopIfTrue="1">
      <formula>G9="P"</formula>
    </cfRule>
    <cfRule type="expression" dxfId="214" priority="23" stopIfTrue="1">
      <formula>G9="E"</formula>
    </cfRule>
    <cfRule type="expression" dxfId="213" priority="24" stopIfTrue="1">
      <formula>G9="G"</formula>
    </cfRule>
  </conditionalFormatting>
  <conditionalFormatting sqref="K9:K10 K12:K13">
    <cfRule type="expression" dxfId="212" priority="19" stopIfTrue="1">
      <formula>L9="P"</formula>
    </cfRule>
    <cfRule type="expression" dxfId="211" priority="20" stopIfTrue="1">
      <formula>L9="E"</formula>
    </cfRule>
    <cfRule type="expression" dxfId="210" priority="21" stopIfTrue="1">
      <formula>L9="G"</formula>
    </cfRule>
  </conditionalFormatting>
  <printOptions verticalCentered="1"/>
  <pageMargins left="0" right="0.31496062992125984" top="0.35433070866141736" bottom="0.35433070866141736" header="0" footer="0"/>
  <pageSetup scale="79" orientation="landscape" r:id="rId1"/>
  <rowBreaks count="1" manualBreakCount="1">
    <brk id="1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2"/>
  <sheetViews>
    <sheetView zoomScale="90" zoomScaleNormal="90" workbookViewId="0">
      <selection sqref="A1:R23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10" style="3" customWidth="1"/>
    <col min="4" max="4" width="13.332031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1.44140625" style="3"/>
    <col min="16" max="16" width="2.88671875" style="3" customWidth="1"/>
    <col min="17" max="17" width="26.88671875" style="3" customWidth="1"/>
    <col min="18" max="18" width="3.33203125" style="3" customWidth="1"/>
    <col min="19" max="16384" width="11.44140625" style="3"/>
  </cols>
  <sheetData>
    <row r="1" spans="1:18" ht="34.799999999999997" x14ac:dyDescent="0.3">
      <c r="A1" s="333" t="str">
        <f>+DEFINICION!A1</f>
        <v>XVIII Festival Nacional Fútbol Infantil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</row>
    <row r="2" spans="1:18" ht="24.6" x14ac:dyDescent="0.3">
      <c r="A2" s="334" t="str">
        <f>+DEFINICION!A2</f>
        <v>“COPA FUTURO TALENTO”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</row>
    <row r="3" spans="1:18" ht="30.6" customHeight="1" x14ac:dyDescent="0.3">
      <c r="A3" s="408" t="e">
        <f>+'PRE BABY GRUPOS'!#REF!</f>
        <v>#REF!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</row>
    <row r="4" spans="1:18" ht="24" customHeight="1" x14ac:dyDescent="0.3">
      <c r="A4" s="409" t="str">
        <f>+'PRE BABY GRUPOS'!C3</f>
        <v>NACIDOS 2012 2013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09"/>
      <c r="Q4" s="409"/>
    </row>
    <row r="5" spans="1:18" ht="37.5" customHeight="1" x14ac:dyDescent="0.3">
      <c r="B5" s="223" t="s">
        <v>26</v>
      </c>
      <c r="L5" s="47"/>
    </row>
    <row r="6" spans="1:18" ht="15" customHeight="1" x14ac:dyDescent="0.3">
      <c r="B6" s="49" t="s">
        <v>17</v>
      </c>
      <c r="C6"/>
      <c r="D6"/>
      <c r="E6"/>
      <c r="F6"/>
      <c r="G6"/>
      <c r="H6"/>
      <c r="I6"/>
      <c r="J6"/>
      <c r="K6" s="48"/>
      <c r="L6" s="48"/>
      <c r="M6" s="48"/>
      <c r="N6" s="48"/>
      <c r="O6" s="48"/>
      <c r="P6" s="48"/>
      <c r="Q6" s="48"/>
      <c r="R6" s="48"/>
    </row>
    <row r="7" spans="1:18" ht="18" x14ac:dyDescent="0.3">
      <c r="B7" s="416" t="s">
        <v>21</v>
      </c>
      <c r="C7" s="417"/>
      <c r="D7" s="417"/>
      <c r="E7" s="417"/>
      <c r="F7" s="418"/>
      <c r="G7" s="418"/>
      <c r="H7" s="418"/>
      <c r="I7" s="418"/>
      <c r="J7" s="418"/>
      <c r="K7" s="418"/>
      <c r="L7" s="418"/>
      <c r="M7" s="418"/>
      <c r="N7" s="418"/>
      <c r="O7" s="419"/>
      <c r="Q7" s="34" t="s">
        <v>22</v>
      </c>
    </row>
    <row r="8" spans="1:18" ht="15" customHeight="1" x14ac:dyDescent="0.3">
      <c r="B8" s="45"/>
      <c r="C8" s="45"/>
      <c r="D8" s="8"/>
      <c r="E8" s="41"/>
      <c r="F8" s="8"/>
      <c r="G8" s="8"/>
      <c r="H8" s="8"/>
      <c r="I8" s="8"/>
      <c r="J8" s="8"/>
      <c r="K8" s="8"/>
      <c r="L8" s="8"/>
      <c r="M8" s="8"/>
      <c r="N8" s="8"/>
      <c r="O8" s="7"/>
      <c r="Q8" s="413" t="str">
        <f>IF(OR(G9="E",G9=""),"",IF(G9="G",H9,M9))</f>
        <v/>
      </c>
    </row>
    <row r="9" spans="1:18" ht="15" customHeight="1" x14ac:dyDescent="0.3">
      <c r="B9" s="405">
        <v>43090</v>
      </c>
      <c r="C9" s="124"/>
      <c r="D9" s="384" t="s">
        <v>112</v>
      </c>
      <c r="E9" s="44"/>
      <c r="G9" s="390" t="str">
        <f>IF(AND(I9&lt;&gt;"",K9&lt;&gt;""),IF(I9=K9,"E",IF(I9&gt;K9,"G","P")),"")</f>
        <v/>
      </c>
      <c r="H9" s="376" t="str">
        <f>+DEFINICION!S9</f>
        <v>CLUB CAMPESTRE IBAGUE DOS</v>
      </c>
      <c r="I9" s="284"/>
      <c r="J9" s="286" t="s">
        <v>15</v>
      </c>
      <c r="K9" s="284"/>
      <c r="L9" s="390" t="str">
        <f>IF(AND(K9&lt;&gt;"",I9&lt;&gt;""),IF(K9=I9,"E",IF(K9&gt;I9,"G","P")),"")</f>
        <v/>
      </c>
      <c r="M9" s="376" t="str">
        <f>+DEFINICION!S12</f>
        <v>GRAMA F. C.</v>
      </c>
      <c r="N9" s="11"/>
      <c r="O9" s="386" t="s">
        <v>37</v>
      </c>
      <c r="Q9" s="414"/>
    </row>
    <row r="10" spans="1:18" ht="15" customHeight="1" x14ac:dyDescent="0.3">
      <c r="B10" s="405"/>
      <c r="C10" s="124"/>
      <c r="D10" s="384"/>
      <c r="E10" s="44"/>
      <c r="G10" s="390"/>
      <c r="H10" s="376"/>
      <c r="I10" s="285"/>
      <c r="J10" s="286"/>
      <c r="K10" s="285"/>
      <c r="L10" s="390"/>
      <c r="M10" s="376"/>
      <c r="N10" s="11"/>
      <c r="O10" s="386"/>
      <c r="Q10" s="414"/>
    </row>
    <row r="11" spans="1:18" x14ac:dyDescent="0.3">
      <c r="B11" s="123"/>
      <c r="C11" s="123"/>
      <c r="D11" s="31"/>
      <c r="E11" s="31"/>
      <c r="F11" s="31"/>
      <c r="G11" s="31"/>
      <c r="H11" s="31"/>
      <c r="I11" s="31"/>
      <c r="J11" s="31"/>
      <c r="K11" s="40"/>
      <c r="L11" s="31"/>
      <c r="M11" s="31"/>
      <c r="N11" s="31"/>
      <c r="O11" s="30"/>
      <c r="Q11" s="415"/>
    </row>
    <row r="13" spans="1:18" ht="21" x14ac:dyDescent="0.3">
      <c r="B13" s="402" t="s">
        <v>23</v>
      </c>
      <c r="C13" s="403"/>
      <c r="D13" s="403"/>
      <c r="E13" s="403"/>
      <c r="F13" s="403"/>
      <c r="G13" s="403"/>
      <c r="H13" s="403"/>
      <c r="I13" s="403"/>
      <c r="J13" s="403"/>
      <c r="K13" s="403"/>
      <c r="L13" s="403"/>
      <c r="M13" s="403"/>
      <c r="N13" s="403"/>
      <c r="O13" s="404"/>
      <c r="Q13" s="35" t="s">
        <v>24</v>
      </c>
    </row>
    <row r="14" spans="1:18" ht="15" customHeight="1" x14ac:dyDescent="0.3">
      <c r="B14" s="7"/>
      <c r="C14" s="4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/>
      <c r="Q14" s="410" t="str">
        <f>IF(OR(G15="E",G15=""),"",IF(G15="P",H15,M15))</f>
        <v/>
      </c>
    </row>
    <row r="15" spans="1:18" ht="15" customHeight="1" x14ac:dyDescent="0.3">
      <c r="B15" s="405">
        <v>43090</v>
      </c>
      <c r="C15" s="124"/>
      <c r="D15" s="384" t="s">
        <v>116</v>
      </c>
      <c r="E15" s="33"/>
      <c r="G15" s="390" t="str">
        <f>IF(AND(I15&lt;&gt;"",K15&lt;&gt;""),IF(I15=K15,"E",IF(I15&gt;K15,"G","P")),"")</f>
        <v/>
      </c>
      <c r="H15" s="376" t="e">
        <f>+DEFINICION!Q9</f>
        <v>#N/A</v>
      </c>
      <c r="I15" s="284"/>
      <c r="J15" s="286" t="s">
        <v>15</v>
      </c>
      <c r="K15" s="284"/>
      <c r="L15" s="390" t="str">
        <f>IF(AND(K15&lt;&gt;"",I15&lt;&gt;""),IF(K15=I15,"E",IF(K15&gt;I15,"G","P")),"")</f>
        <v/>
      </c>
      <c r="M15" s="376" t="str">
        <f>+DEFINICION!Q12</f>
        <v>CLUB ARIEL ARMEL</v>
      </c>
      <c r="N15" s="406"/>
      <c r="O15" s="386" t="s">
        <v>37</v>
      </c>
      <c r="Q15" s="411"/>
    </row>
    <row r="16" spans="1:18" ht="15" customHeight="1" x14ac:dyDescent="0.3">
      <c r="B16" s="405"/>
      <c r="C16" s="124"/>
      <c r="D16" s="384"/>
      <c r="E16" s="33"/>
      <c r="G16" s="390"/>
      <c r="H16" s="376"/>
      <c r="I16" s="285"/>
      <c r="J16" s="286"/>
      <c r="K16" s="285"/>
      <c r="L16" s="390"/>
      <c r="M16" s="376"/>
      <c r="N16" s="406"/>
      <c r="O16" s="386"/>
      <c r="Q16" s="411"/>
    </row>
    <row r="17" spans="2:17" x14ac:dyDescent="0.3">
      <c r="B17" s="30"/>
      <c r="C17" s="123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0"/>
      <c r="Q17" s="412"/>
    </row>
    <row r="19" spans="2:17" x14ac:dyDescent="0.3">
      <c r="C19" s="407" t="s">
        <v>25</v>
      </c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</row>
    <row r="20" spans="2:17" x14ac:dyDescent="0.3"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</row>
    <row r="21" spans="2:17" x14ac:dyDescent="0.3">
      <c r="C21" s="396" t="str">
        <f>IF(OR(G15="E",G15=""),"",IF(G15="G",H15,M15))</f>
        <v/>
      </c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8"/>
    </row>
    <row r="22" spans="2:17" ht="33.75" customHeight="1" x14ac:dyDescent="0.3">
      <c r="C22" s="399"/>
      <c r="D22" s="400"/>
      <c r="E22" s="400"/>
      <c r="F22" s="400"/>
      <c r="G22" s="400"/>
      <c r="H22" s="400"/>
      <c r="I22" s="400"/>
      <c r="J22" s="400"/>
      <c r="K22" s="400"/>
      <c r="L22" s="400"/>
      <c r="M22" s="400"/>
      <c r="N22" s="401"/>
    </row>
  </sheetData>
  <mergeCells count="31">
    <mergeCell ref="A1:Q1"/>
    <mergeCell ref="A2:Q2"/>
    <mergeCell ref="A3:Q3"/>
    <mergeCell ref="A4:Q4"/>
    <mergeCell ref="D15:D16"/>
    <mergeCell ref="Q14:Q17"/>
    <mergeCell ref="Q8:Q11"/>
    <mergeCell ref="K9:K10"/>
    <mergeCell ref="B7:O7"/>
    <mergeCell ref="G9:G10"/>
    <mergeCell ref="I9:I10"/>
    <mergeCell ref="J9:J10"/>
    <mergeCell ref="H9:H10"/>
    <mergeCell ref="M9:M10"/>
    <mergeCell ref="B9:B10"/>
    <mergeCell ref="O9:O10"/>
    <mergeCell ref="D9:D10"/>
    <mergeCell ref="L9:L10"/>
    <mergeCell ref="M15:M16"/>
    <mergeCell ref="C21:N22"/>
    <mergeCell ref="B13:O13"/>
    <mergeCell ref="B15:B16"/>
    <mergeCell ref="H15:H16"/>
    <mergeCell ref="G15:G16"/>
    <mergeCell ref="I15:I16"/>
    <mergeCell ref="J15:J16"/>
    <mergeCell ref="K15:K16"/>
    <mergeCell ref="L15:L16"/>
    <mergeCell ref="N15:N16"/>
    <mergeCell ref="O15:O16"/>
    <mergeCell ref="C19:N20"/>
  </mergeCells>
  <conditionalFormatting sqref="I9:I10">
    <cfRule type="expression" dxfId="209" priority="4" stopIfTrue="1">
      <formula>G9="P"</formula>
    </cfRule>
    <cfRule type="expression" dxfId="208" priority="5" stopIfTrue="1">
      <formula>G9="E"</formula>
    </cfRule>
    <cfRule type="expression" dxfId="207" priority="6" stopIfTrue="1">
      <formula>G9="G"</formula>
    </cfRule>
  </conditionalFormatting>
  <conditionalFormatting sqref="I15:I16">
    <cfRule type="expression" dxfId="206" priority="1" stopIfTrue="1">
      <formula>G15="P"</formula>
    </cfRule>
    <cfRule type="expression" dxfId="205" priority="2" stopIfTrue="1">
      <formula>G15="E"</formula>
    </cfRule>
    <cfRule type="expression" dxfId="204" priority="3" stopIfTrue="1">
      <formula>G15="G"</formula>
    </cfRule>
  </conditionalFormatting>
  <conditionalFormatting sqref="K9:K10">
    <cfRule type="expression" dxfId="203" priority="7" stopIfTrue="1">
      <formula>L9="P"</formula>
    </cfRule>
    <cfRule type="expression" dxfId="202" priority="8" stopIfTrue="1">
      <formula>L9="E"</formula>
    </cfRule>
    <cfRule type="expression" dxfId="201" priority="9" stopIfTrue="1">
      <formula>L9="G"</formula>
    </cfRule>
  </conditionalFormatting>
  <conditionalFormatting sqref="K15:K16">
    <cfRule type="expression" dxfId="200" priority="10" stopIfTrue="1">
      <formula>L15="P"</formula>
    </cfRule>
    <cfRule type="expression" dxfId="199" priority="11" stopIfTrue="1">
      <formula>L15="E"</formula>
    </cfRule>
    <cfRule type="expression" dxfId="198" priority="12" stopIfTrue="1">
      <formula>L15="G"</formula>
    </cfRule>
  </conditionalFormatting>
  <printOptions verticalCentered="1"/>
  <pageMargins left="0" right="0" top="0.74803149606299213" bottom="0.35433070866141736" header="0" footer="0"/>
  <pageSetup scale="8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428" t="s">
        <v>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</row>
    <row r="2" spans="1:15" s="3" customFormat="1" ht="23.25" customHeight="1" x14ac:dyDescent="0.5">
      <c r="A2" s="429" t="s">
        <v>6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</row>
    <row r="3" spans="1:15" s="3" customFormat="1" ht="9.75" customHeight="1" x14ac:dyDescent="0.3">
      <c r="N3" s="103"/>
      <c r="O3" s="103"/>
    </row>
    <row r="4" spans="1:15" s="3" customFormat="1" ht="25.5" customHeight="1" x14ac:dyDescent="0.5">
      <c r="B4" s="139" t="str">
        <f>+'PRE BABY GRUPOS'!C6</f>
        <v>GRUPO A</v>
      </c>
      <c r="C4" s="143"/>
      <c r="D4" s="141" t="str">
        <f>+'PRE BABY GRUPOS'!E6</f>
        <v>GRUPO B</v>
      </c>
      <c r="E4" s="120"/>
      <c r="F4" s="120"/>
      <c r="G4" s="433" t="str">
        <f>+'PRE BABY GRUPOS'!G6</f>
        <v>GRUPO C</v>
      </c>
      <c r="H4" s="433"/>
      <c r="I4" s="433"/>
      <c r="J4" s="433"/>
      <c r="K4" s="433"/>
      <c r="N4" s="146" t="str">
        <f>+'PRE BABY GRUPOS'!I6</f>
        <v>GRUPO D</v>
      </c>
    </row>
    <row r="5" spans="1:15" s="3" customFormat="1" ht="45" customHeight="1" x14ac:dyDescent="0.3">
      <c r="B5" s="140" t="str">
        <f>+'PRE BABY GRUPOS'!C7</f>
        <v>COLEGIO NEIL ARMSTRONG</v>
      </c>
      <c r="C5" s="144"/>
      <c r="D5" s="145" t="str">
        <f>+'PRE BABY GRUPOS'!E7</f>
        <v>COLEGIO PRINCIPADO DE MONACO</v>
      </c>
      <c r="E5" s="36"/>
      <c r="F5" s="36"/>
      <c r="G5" s="432" t="str">
        <f>+'PRE BABY GRUPOS'!G7</f>
        <v>GRAMA F. C.</v>
      </c>
      <c r="H5" s="432"/>
      <c r="I5" s="432"/>
      <c r="J5" s="432"/>
      <c r="K5" s="432"/>
      <c r="L5" s="36"/>
      <c r="M5" s="36"/>
      <c r="N5" s="147" t="str">
        <f>+'PRE BABY GRUPOS'!I8</f>
        <v>ESCUELA DEPORTIVA DE FÚTBOL RAQUIRA</v>
      </c>
    </row>
    <row r="6" spans="1:15" s="3" customFormat="1" ht="45" customHeight="1" x14ac:dyDescent="0.3">
      <c r="B6" s="140" t="str">
        <f>+'PRE BABY GRUPOS'!C8</f>
        <v>CLUB LOS PAPETICOS</v>
      </c>
      <c r="C6" s="144"/>
      <c r="D6" s="145" t="str">
        <f>+'PRE BABY GRUPOS'!E8</f>
        <v>CLUB ARIEL ARMEL</v>
      </c>
      <c r="E6" s="36"/>
      <c r="F6" s="36"/>
      <c r="G6" s="432" t="str">
        <f>+'PRE BABY GRUPOS'!G8</f>
        <v>NOVATOS F. C.</v>
      </c>
      <c r="H6" s="432"/>
      <c r="I6" s="432"/>
      <c r="J6" s="432"/>
      <c r="K6" s="432"/>
      <c r="L6" s="36"/>
      <c r="M6" s="36"/>
      <c r="N6" s="147" t="str">
        <f>+'PRE BABY GRUPOS'!I7</f>
        <v>CLUB CAMPESTRE IBAGUE DOS</v>
      </c>
    </row>
    <row r="7" spans="1:15" s="3" customFormat="1" ht="45" customHeight="1" x14ac:dyDescent="0.3">
      <c r="B7" s="140" t="str">
        <f>+'PRE BABY GRUPOS'!C9</f>
        <v>CLUB CAMPESTRE IBAGUE UNO</v>
      </c>
      <c r="C7" s="144"/>
      <c r="D7" s="145" t="str">
        <f>+'PRE BABY GRUPOS'!E9</f>
        <v>CENTAUROS DEL ARIARI</v>
      </c>
      <c r="E7" s="36"/>
      <c r="F7" s="36"/>
      <c r="G7" s="432" t="str">
        <f>+'PRE BABY GRUPOS'!G9</f>
        <v>ESCUELA DE FORMACIÓN DEPORTIVA MARACANA</v>
      </c>
      <c r="H7" s="432"/>
      <c r="I7" s="432"/>
      <c r="J7" s="432"/>
      <c r="K7" s="432"/>
      <c r="L7" s="36"/>
      <c r="M7" s="36"/>
      <c r="N7" s="147" t="str">
        <f>+'PRE BABY GRUPOS'!I9</f>
        <v>CORDOBA Y SERRANO F. C.</v>
      </c>
    </row>
    <row r="8" spans="1:15" s="3" customFormat="1" ht="45" customHeight="1" x14ac:dyDescent="0.3">
      <c r="B8" s="140" t="e">
        <f>+'PRE BABY GRUPOS'!#REF!</f>
        <v>#REF!</v>
      </c>
      <c r="C8" s="144"/>
      <c r="D8" s="145" t="e">
        <f>+'PRE BABY GRUPOS'!#REF!</f>
        <v>#REF!</v>
      </c>
      <c r="E8" s="36"/>
      <c r="F8" s="36"/>
      <c r="G8" s="432" t="e">
        <f>+'PRE BABY GRUPOS'!#REF!</f>
        <v>#REF!</v>
      </c>
      <c r="H8" s="432"/>
      <c r="I8" s="432"/>
      <c r="J8" s="432"/>
      <c r="K8" s="432"/>
      <c r="L8" s="36"/>
      <c r="M8" s="36"/>
      <c r="N8" s="147">
        <f>+'PRE BABY GRUPOS'!I10</f>
        <v>0</v>
      </c>
    </row>
    <row r="9" spans="1:15" s="3" customFormat="1" ht="7.5" customHeight="1" x14ac:dyDescent="0.3"/>
    <row r="10" spans="1:15" s="3" customFormat="1" ht="24" customHeight="1" x14ac:dyDescent="0.55000000000000004">
      <c r="B10" s="83" t="e">
        <f>+'PRE BABY GRUPOS'!#REF!</f>
        <v>#REF!</v>
      </c>
      <c r="C10" s="83"/>
      <c r="N10" s="436">
        <f>+'PRE BABY GRUPOS'!C10</f>
        <v>0</v>
      </c>
      <c r="O10" s="436"/>
    </row>
    <row r="11" spans="1:15" s="3" customFormat="1" ht="21" x14ac:dyDescent="0.4">
      <c r="B11" s="102" t="str">
        <f>+'PRE BABY GRUPOS'!C3</f>
        <v>NACIDOS 2012 2013</v>
      </c>
      <c r="C11" s="102"/>
      <c r="N11" s="436"/>
      <c r="O11" s="436"/>
    </row>
    <row r="12" spans="1:15" s="3" customFormat="1" ht="11.25" customHeight="1" x14ac:dyDescent="0.3">
      <c r="A12" s="430" t="str">
        <f>+'GRUPO A'!B4</f>
        <v>GRUPO A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</row>
    <row r="13" spans="1:15" s="3" customFormat="1" ht="21" customHeight="1" x14ac:dyDescent="0.3">
      <c r="A13" s="431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</row>
    <row r="14" spans="1:15" ht="23.4" x14ac:dyDescent="0.3">
      <c r="A14" s="391" t="s">
        <v>33</v>
      </c>
      <c r="B14" s="392"/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92">
        <f>+'GRUPO A'!B20</f>
        <v>42966</v>
      </c>
      <c r="B16" s="93" t="str">
        <f>+'GRUPO A'!C20</f>
        <v>11:45. a.m.</v>
      </c>
      <c r="C16" s="93"/>
      <c r="D16" s="426">
        <f>+'GRUPO A'!E20</f>
        <v>0</v>
      </c>
      <c r="E16" s="426"/>
      <c r="F16" s="111" t="str">
        <f>IF(AND(G16&lt;&gt;"",I16&lt;&gt;""),IF(G16=I16,"E",IF(G16&gt;I16,"G","P")),"")</f>
        <v/>
      </c>
      <c r="G16" s="112"/>
      <c r="H16" s="87" t="s">
        <v>15</v>
      </c>
      <c r="I16" s="112"/>
      <c r="J16" s="111" t="str">
        <f>IF(AND(I16&lt;&gt;"",G16&lt;&gt;""),IF(I16=G16,"E",IF(I16&gt;G16,"G","P")),"")</f>
        <v/>
      </c>
      <c r="K16" s="426">
        <f>+'GRUPO A'!K20</f>
        <v>0</v>
      </c>
      <c r="L16" s="426"/>
      <c r="M16" s="426"/>
      <c r="N16" s="426"/>
      <c r="O16" s="94" t="str">
        <f>+'GRUPO A'!M20</f>
        <v>CANCHA 1 A</v>
      </c>
    </row>
    <row r="17" spans="1:15" ht="7.5" customHeight="1" x14ac:dyDescent="0.35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</row>
    <row r="18" spans="1:15" ht="33.75" customHeight="1" x14ac:dyDescent="0.35">
      <c r="A18" s="95">
        <f>+'GRUPO A'!B23</f>
        <v>42966</v>
      </c>
      <c r="B18" s="96" t="str">
        <f>+'GRUPO A'!C23</f>
        <v>11:45. a.m.</v>
      </c>
      <c r="C18" s="96"/>
      <c r="D18" s="427">
        <f>+'GRUPO A'!E23</f>
        <v>0</v>
      </c>
      <c r="E18" s="427"/>
      <c r="F18" s="111" t="str">
        <f>IF(AND(G18&lt;&gt;"",I18&lt;&gt;""),IF(G18=I18,"E",IF(G18&gt;I18,"G","P")),"")</f>
        <v/>
      </c>
      <c r="G18" s="112"/>
      <c r="H18" s="87" t="s">
        <v>15</v>
      </c>
      <c r="I18" s="112"/>
      <c r="J18" s="111" t="str">
        <f>IF(AND(I18&lt;&gt;"",G18&lt;&gt;""),IF(I18=G18,"E",IF(I18&gt;G18,"G","P")),"")</f>
        <v/>
      </c>
      <c r="K18" s="427">
        <f>+'GRUPO A'!K23</f>
        <v>0</v>
      </c>
      <c r="L18" s="427"/>
      <c r="M18" s="427"/>
      <c r="N18" s="427"/>
      <c r="O18" s="98" t="str">
        <f>+'GRUPO A'!M23</f>
        <v>CANCHA 1 B</v>
      </c>
    </row>
    <row r="19" spans="1:15" hidden="1" x14ac:dyDescent="0.3"/>
    <row r="20" spans="1:15" ht="11.25" customHeight="1" x14ac:dyDescent="0.3">
      <c r="A20" s="437" t="str">
        <f>+'GRUPO B'!B4</f>
        <v>GRUPO B</v>
      </c>
      <c r="B20" s="437"/>
      <c r="C20" s="437"/>
      <c r="D20" s="437"/>
      <c r="E20" s="437"/>
      <c r="F20" s="437"/>
      <c r="G20" s="437"/>
      <c r="H20" s="437"/>
      <c r="I20" s="437"/>
      <c r="J20" s="437"/>
      <c r="K20" s="437"/>
      <c r="L20" s="437"/>
      <c r="M20" s="437"/>
      <c r="N20" s="437"/>
      <c r="O20" s="437"/>
    </row>
    <row r="21" spans="1:15" ht="21" customHeight="1" x14ac:dyDescent="0.3">
      <c r="A21" s="437"/>
      <c r="B21" s="437"/>
      <c r="C21" s="437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37"/>
    </row>
    <row r="22" spans="1:15" ht="23.4" x14ac:dyDescent="0.3">
      <c r="A22" s="391" t="s">
        <v>33</v>
      </c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92">
        <f>+'GRUPO B'!B20</f>
        <v>42966</v>
      </c>
      <c r="B24" s="93" t="str">
        <f>+'GRUPO B'!C20</f>
        <v>11:45. a.m.</v>
      </c>
      <c r="C24" s="93"/>
      <c r="D24" s="426">
        <f>+'GRUPO B'!E20</f>
        <v>0</v>
      </c>
      <c r="E24" s="426"/>
      <c r="F24" s="59" t="str">
        <f>IF(AND(G24&lt;&gt;"",I24&lt;&gt;""),IF(G24=I24,"E",IF(G24&gt;I24,"G","P")),"")</f>
        <v/>
      </c>
      <c r="G24" s="104"/>
      <c r="H24" s="14" t="s">
        <v>15</v>
      </c>
      <c r="I24" s="104"/>
      <c r="J24" s="59" t="str">
        <f>IF(AND(I24&lt;&gt;"",G24&lt;&gt;""),IF(I24=G24,"E",IF(I24&gt;G24,"G","P")),"")</f>
        <v/>
      </c>
      <c r="K24" s="426">
        <f>+'GRUPO B'!K20</f>
        <v>0</v>
      </c>
      <c r="L24" s="426"/>
      <c r="M24" s="426"/>
      <c r="N24" s="426"/>
      <c r="O24" s="94" t="str">
        <f>+'GRUPO B'!M20</f>
        <v>CANCHA 1 C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5">
        <f>+'GRUPO B'!B23</f>
        <v>42966</v>
      </c>
      <c r="B26" s="96" t="str">
        <f>+'GRUPO B'!C23</f>
        <v>04:40. a.m.</v>
      </c>
      <c r="C26" s="96"/>
      <c r="D26" s="427">
        <f>+'GRUPO B'!E23</f>
        <v>0</v>
      </c>
      <c r="E26" s="427"/>
      <c r="F26" s="59" t="str">
        <f>IF(AND(G26&lt;&gt;"",I26&lt;&gt;""),IF(G26=I26,"E",IF(G26&gt;I26,"G","P")),"")</f>
        <v/>
      </c>
      <c r="G26" s="104"/>
      <c r="H26" s="14" t="s">
        <v>15</v>
      </c>
      <c r="I26" s="104"/>
      <c r="J26" s="59" t="str">
        <f>IF(AND(I26&lt;&gt;"",G26&lt;&gt;""),IF(I26=G26,"E",IF(I26&gt;G26,"G","P")),"")</f>
        <v/>
      </c>
      <c r="K26" s="427">
        <f>+'GRUPO B'!K23</f>
        <v>0</v>
      </c>
      <c r="L26" s="427"/>
      <c r="M26" s="427"/>
      <c r="N26" s="427"/>
      <c r="O26" s="98" t="str">
        <f>+'GRUPO B'!M23</f>
        <v>CANCHA 1 A</v>
      </c>
    </row>
    <row r="27" spans="1:15" ht="11.25" customHeight="1" x14ac:dyDescent="0.3">
      <c r="A27" s="434" t="str">
        <f>+'GRUPO C'!B4</f>
        <v>GRUPO C</v>
      </c>
      <c r="B27" s="434"/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</row>
    <row r="28" spans="1:15" ht="21" customHeight="1" x14ac:dyDescent="0.3">
      <c r="A28" s="435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35"/>
    </row>
    <row r="29" spans="1:15" s="3" customFormat="1" ht="18.75" customHeight="1" x14ac:dyDescent="0.3">
      <c r="A29" s="391" t="s">
        <v>33</v>
      </c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</row>
    <row r="30" spans="1:15" s="3" customFormat="1" ht="15" customHeight="1" x14ac:dyDescent="0.3"/>
    <row r="31" spans="1:15" s="3" customFormat="1" ht="33.75" customHeight="1" x14ac:dyDescent="0.35">
      <c r="A31" s="92">
        <f>+'GRUPO C'!B20</f>
        <v>42966</v>
      </c>
      <c r="B31" s="93" t="str">
        <f>+'GRUPO C'!C20</f>
        <v>11:45. a.m.</v>
      </c>
      <c r="C31" s="93"/>
      <c r="D31" s="426">
        <f>+'GRUPO C'!E20</f>
        <v>0</v>
      </c>
      <c r="E31" s="426"/>
      <c r="F31" s="111" t="str">
        <f>IF(AND(G31&lt;&gt;"",I31&lt;&gt;""),IF(G31=I31,"E",IF(G31&gt;I31,"G","P")),"")</f>
        <v/>
      </c>
      <c r="G31" s="112"/>
      <c r="H31" s="87" t="s">
        <v>15</v>
      </c>
      <c r="I31" s="112"/>
      <c r="J31" s="111" t="str">
        <f>IF(AND(I31&lt;&gt;"",G31&lt;&gt;""),IF(I31=G31,"E",IF(I31&gt;G31,"G","P")),"")</f>
        <v/>
      </c>
      <c r="K31" s="426">
        <f>+'GRUPO C'!K20</f>
        <v>0</v>
      </c>
      <c r="L31" s="426"/>
      <c r="M31" s="426"/>
      <c r="N31" s="426"/>
      <c r="O31" s="94" t="str">
        <f>+'GRUPO C'!M20</f>
        <v>CANCHA 1 B</v>
      </c>
    </row>
    <row r="32" spans="1:15" s="3" customFormat="1" ht="17.399999999999999" x14ac:dyDescent="0.3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</row>
    <row r="33" spans="1:15" s="3" customFormat="1" ht="33.75" customHeight="1" x14ac:dyDescent="0.35">
      <c r="A33" s="95">
        <f>+'GRUPO C'!B23</f>
        <v>42966</v>
      </c>
      <c r="B33" s="96" t="str">
        <f>+'GRUPO C'!C23</f>
        <v>12:40. p.m.</v>
      </c>
      <c r="C33" s="96"/>
      <c r="D33" s="427">
        <f>+'GRUPO C'!E23</f>
        <v>0</v>
      </c>
      <c r="E33" s="427"/>
      <c r="F33" s="111" t="str">
        <f>IF(AND(G33&lt;&gt;"",I33&lt;&gt;""),IF(G33=I33,"E",IF(G33&gt;I33,"G","P")),"")</f>
        <v/>
      </c>
      <c r="G33" s="112"/>
      <c r="H33" s="87" t="s">
        <v>15</v>
      </c>
      <c r="I33" s="112"/>
      <c r="J33" s="111" t="str">
        <f>IF(AND(I33&lt;&gt;"",G33&lt;&gt;""),IF(I33=G33,"E",IF(I33&gt;G33,"G","P")),"")</f>
        <v/>
      </c>
      <c r="K33" s="427">
        <f>+'GRUPO C'!K23</f>
        <v>0</v>
      </c>
      <c r="L33" s="427"/>
      <c r="M33" s="427"/>
      <c r="N33" s="427"/>
      <c r="O33" s="98" t="str">
        <f>+'GRUPO C'!M23</f>
        <v>CANCHA 1 C</v>
      </c>
    </row>
    <row r="34" spans="1:15" s="3" customFormat="1" ht="11.25" customHeight="1" x14ac:dyDescent="0.3">
      <c r="A34" s="423" t="str">
        <f>+'GRUPO D'!B4</f>
        <v>GRUPO D</v>
      </c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</row>
    <row r="35" spans="1:15" s="3" customFormat="1" ht="21" customHeight="1" x14ac:dyDescent="0.3">
      <c r="A35" s="425"/>
      <c r="B35" s="425"/>
      <c r="C35" s="425"/>
      <c r="D35" s="425"/>
      <c r="E35" s="425"/>
      <c r="F35" s="425"/>
      <c r="G35" s="425"/>
      <c r="H35" s="425"/>
      <c r="I35" s="425"/>
      <c r="J35" s="425"/>
      <c r="K35" s="425"/>
      <c r="L35" s="425"/>
      <c r="M35" s="425"/>
      <c r="N35" s="425"/>
      <c r="O35" s="425"/>
    </row>
    <row r="36" spans="1:15" s="3" customFormat="1" ht="23.4" x14ac:dyDescent="0.3">
      <c r="A36" s="391" t="s">
        <v>33</v>
      </c>
      <c r="B36" s="392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</row>
    <row r="37" spans="1:15" s="3" customFormat="1" x14ac:dyDescent="0.3"/>
    <row r="38" spans="1:15" s="3" customFormat="1" ht="33.75" customHeight="1" x14ac:dyDescent="0.35">
      <c r="A38" s="92">
        <f>+'GRUPO D'!B20</f>
        <v>42966</v>
      </c>
      <c r="B38" s="93" t="str">
        <f>+'GRUPO D'!C20</f>
        <v>04:40. a.m.</v>
      </c>
      <c r="C38" s="93"/>
      <c r="D38" s="426">
        <f>+'GRUPO D'!E20</f>
        <v>0</v>
      </c>
      <c r="E38" s="426"/>
      <c r="F38" s="111" t="str">
        <f>IF(AND(G38&lt;&gt;"",I38&lt;&gt;""),IF(G38=I38,"E",IF(G38&gt;I38,"G","P")),"")</f>
        <v/>
      </c>
      <c r="G38" s="112"/>
      <c r="H38" s="87" t="s">
        <v>15</v>
      </c>
      <c r="I38" s="112"/>
      <c r="J38" s="111" t="str">
        <f>IF(AND(I38&lt;&gt;"",G38&lt;&gt;""),IF(I38=G38,"E",IF(I38&gt;G38,"G","P")),"")</f>
        <v/>
      </c>
      <c r="K38" s="426">
        <f>+'GRUPO D'!K20</f>
        <v>0</v>
      </c>
      <c r="L38" s="426"/>
      <c r="M38" s="426"/>
      <c r="N38" s="426"/>
      <c r="O38" s="94" t="str">
        <f>+'GRUPO D'!M20</f>
        <v>CANCHA 1 A</v>
      </c>
    </row>
    <row r="39" spans="1:15" s="3" customFormat="1" ht="17.399999999999999" x14ac:dyDescent="0.35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</row>
    <row r="40" spans="1:15" s="3" customFormat="1" ht="33.75" customHeight="1" x14ac:dyDescent="0.35">
      <c r="A40" s="95">
        <f>+'GRUPO D'!B23</f>
        <v>42966</v>
      </c>
      <c r="B40" s="96" t="str">
        <f>+'GRUPO D'!C23</f>
        <v>04:40. p.m.</v>
      </c>
      <c r="C40" s="96"/>
      <c r="D40" s="427">
        <f>+'GRUPO D'!E23</f>
        <v>0</v>
      </c>
      <c r="E40" s="427"/>
      <c r="F40" s="111" t="str">
        <f>IF(AND(G40&lt;&gt;"",I40&lt;&gt;""),IF(G40=I40,"E",IF(G40&gt;I40,"G","P")),"")</f>
        <v/>
      </c>
      <c r="G40" s="112"/>
      <c r="H40" s="87" t="s">
        <v>15</v>
      </c>
      <c r="I40" s="112"/>
      <c r="J40" s="111" t="str">
        <f>IF(AND(I40&lt;&gt;"",G40&lt;&gt;""),IF(I40=G40,"E",IF(I40&gt;G40,"G","P")),"")</f>
        <v/>
      </c>
      <c r="K40" s="427">
        <f>+'GRUPO D'!K23</f>
        <v>0</v>
      </c>
      <c r="L40" s="427"/>
      <c r="M40" s="427"/>
      <c r="N40" s="427"/>
      <c r="O40" s="98" t="str">
        <f>+'GRUPO D'!M23</f>
        <v>CANCHA 1 B</v>
      </c>
    </row>
    <row r="41" spans="1:15" s="3" customFormat="1" ht="15" customHeight="1" x14ac:dyDescent="0.3">
      <c r="A41" s="422" t="s">
        <v>40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</row>
    <row r="42" spans="1:15" s="3" customFormat="1" ht="15" customHeight="1" x14ac:dyDescent="0.3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</row>
    <row r="43" spans="1:15" s="3" customFormat="1" ht="15" customHeight="1" x14ac:dyDescent="0.3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  <c r="O43" s="422"/>
    </row>
    <row r="44" spans="1:15" s="3" customFormat="1" ht="15" customHeight="1" x14ac:dyDescent="0.3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</row>
    <row r="45" spans="1:15" s="3" customFormat="1" ht="15" customHeight="1" x14ac:dyDescent="0.3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</row>
    <row r="46" spans="1:15" s="3" customFormat="1" x14ac:dyDescent="0.3">
      <c r="A46" s="420" t="s">
        <v>28</v>
      </c>
      <c r="B46" s="420"/>
      <c r="C46" s="420"/>
      <c r="D46" s="420"/>
      <c r="E46" s="420"/>
      <c r="F46" s="420"/>
      <c r="G46" s="420"/>
      <c r="H46" s="420"/>
      <c r="I46" s="420"/>
      <c r="J46" s="420"/>
      <c r="K46" s="420"/>
      <c r="L46" s="420"/>
      <c r="M46" s="420"/>
      <c r="N46" s="420"/>
      <c r="O46" s="420"/>
    </row>
    <row r="47" spans="1:15" s="3" customFormat="1" x14ac:dyDescent="0.3">
      <c r="A47" s="420" t="s">
        <v>29</v>
      </c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0"/>
    </row>
    <row r="48" spans="1:15" s="3" customFormat="1" x14ac:dyDescent="0.3">
      <c r="A48" s="421" t="s">
        <v>30</v>
      </c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</row>
    <row r="49" spans="1:15" s="3" customFormat="1" x14ac:dyDescent="0.3">
      <c r="A49" s="420" t="s">
        <v>31</v>
      </c>
      <c r="B49" s="420"/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  <c r="N49" s="420"/>
      <c r="O49" s="420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8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428" t="s">
        <v>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</row>
    <row r="2" spans="1:15" s="3" customFormat="1" ht="23.25" customHeight="1" x14ac:dyDescent="0.5">
      <c r="A2" s="429" t="s">
        <v>6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</row>
    <row r="3" spans="1:15" s="3" customFormat="1" ht="9.75" customHeight="1" x14ac:dyDescent="0.3">
      <c r="N3" s="103"/>
      <c r="O3" s="103"/>
    </row>
    <row r="4" spans="1:15" s="3" customFormat="1" ht="25.5" customHeight="1" x14ac:dyDescent="0.5">
      <c r="B4" s="139" t="str">
        <f>+'PRE BABY GRUPOS'!C6</f>
        <v>GRUPO A</v>
      </c>
      <c r="C4" s="143"/>
      <c r="D4" s="141" t="str">
        <f>+'PRE BABY GRUPOS'!E6</f>
        <v>GRUPO B</v>
      </c>
      <c r="E4" s="120"/>
      <c r="F4" s="120"/>
      <c r="G4" s="433" t="str">
        <f>+'PRE BABY GRUPOS'!G6</f>
        <v>GRUPO C</v>
      </c>
      <c r="H4" s="433"/>
      <c r="I4" s="433"/>
      <c r="J4" s="433"/>
      <c r="K4" s="433"/>
      <c r="N4" s="146" t="str">
        <f>+'PRE BABY GRUPOS'!I6</f>
        <v>GRUPO D</v>
      </c>
    </row>
    <row r="5" spans="1:15" s="3" customFormat="1" ht="45" customHeight="1" x14ac:dyDescent="0.3">
      <c r="B5" s="140" t="str">
        <f>+'PRE BABY GRUPOS'!C7</f>
        <v>COLEGIO NEIL ARMSTRONG</v>
      </c>
      <c r="C5" s="144"/>
      <c r="D5" s="145" t="str">
        <f>+'PRE BABY GRUPOS'!E7</f>
        <v>COLEGIO PRINCIPADO DE MONACO</v>
      </c>
      <c r="E5" s="36"/>
      <c r="F5" s="36"/>
      <c r="G5" s="432" t="str">
        <f>+'PRE BABY GRUPOS'!G7</f>
        <v>GRAMA F. C.</v>
      </c>
      <c r="H5" s="432"/>
      <c r="I5" s="432"/>
      <c r="J5" s="432"/>
      <c r="K5" s="432"/>
      <c r="L5" s="36"/>
      <c r="M5" s="36"/>
      <c r="N5" s="147" t="str">
        <f>+'PRE BABY GRUPOS'!I8</f>
        <v>ESCUELA DEPORTIVA DE FÚTBOL RAQUIRA</v>
      </c>
    </row>
    <row r="6" spans="1:15" s="3" customFormat="1" ht="45" customHeight="1" x14ac:dyDescent="0.3">
      <c r="B6" s="140" t="str">
        <f>+'PRE BABY GRUPOS'!C8</f>
        <v>CLUB LOS PAPETICOS</v>
      </c>
      <c r="C6" s="144"/>
      <c r="D6" s="145" t="str">
        <f>+'PRE BABY GRUPOS'!E8</f>
        <v>CLUB ARIEL ARMEL</v>
      </c>
      <c r="E6" s="36"/>
      <c r="F6" s="36"/>
      <c r="G6" s="432" t="str">
        <f>+'PRE BABY GRUPOS'!G8</f>
        <v>NOVATOS F. C.</v>
      </c>
      <c r="H6" s="432"/>
      <c r="I6" s="432"/>
      <c r="J6" s="432"/>
      <c r="K6" s="432"/>
      <c r="L6" s="36"/>
      <c r="M6" s="36"/>
      <c r="N6" s="147" t="str">
        <f>+'PRE BABY GRUPOS'!I7</f>
        <v>CLUB CAMPESTRE IBAGUE DOS</v>
      </c>
    </row>
    <row r="7" spans="1:15" s="3" customFormat="1" ht="45" customHeight="1" x14ac:dyDescent="0.3">
      <c r="B7" s="140" t="str">
        <f>+'PRE BABY GRUPOS'!C9</f>
        <v>CLUB CAMPESTRE IBAGUE UNO</v>
      </c>
      <c r="C7" s="144"/>
      <c r="D7" s="145" t="str">
        <f>+'PRE BABY GRUPOS'!E9</f>
        <v>CENTAUROS DEL ARIARI</v>
      </c>
      <c r="E7" s="36"/>
      <c r="F7" s="36"/>
      <c r="G7" s="432" t="str">
        <f>+'PRE BABY GRUPOS'!G9</f>
        <v>ESCUELA DE FORMACIÓN DEPORTIVA MARACANA</v>
      </c>
      <c r="H7" s="432"/>
      <c r="I7" s="432"/>
      <c r="J7" s="432"/>
      <c r="K7" s="432"/>
      <c r="L7" s="36"/>
      <c r="M7" s="36"/>
      <c r="N7" s="147" t="str">
        <f>+'PRE BABY GRUPOS'!I9</f>
        <v>CORDOBA Y SERRANO F. C.</v>
      </c>
    </row>
    <row r="8" spans="1:15" s="3" customFormat="1" ht="45" customHeight="1" x14ac:dyDescent="0.3">
      <c r="B8" s="140" t="e">
        <f>+'PRE BABY GRUPOS'!#REF!</f>
        <v>#REF!</v>
      </c>
      <c r="C8" s="144"/>
      <c r="D8" s="145" t="e">
        <f>+'PRE BABY GRUPOS'!#REF!</f>
        <v>#REF!</v>
      </c>
      <c r="E8" s="36"/>
      <c r="F8" s="36"/>
      <c r="G8" s="432" t="e">
        <f>+'PRE BABY GRUPOS'!#REF!</f>
        <v>#REF!</v>
      </c>
      <c r="H8" s="432"/>
      <c r="I8" s="432"/>
      <c r="J8" s="432"/>
      <c r="K8" s="432"/>
      <c r="L8" s="36"/>
      <c r="M8" s="36"/>
      <c r="N8" s="147">
        <f>+'PRE BABY GRUPOS'!I10</f>
        <v>0</v>
      </c>
    </row>
    <row r="9" spans="1:15" s="3" customFormat="1" ht="7.5" customHeight="1" x14ac:dyDescent="0.3"/>
    <row r="10" spans="1:15" s="3" customFormat="1" ht="24" customHeight="1" x14ac:dyDescent="0.55000000000000004">
      <c r="B10" s="83" t="e">
        <f>+'PRE BABY GRUPOS'!#REF!</f>
        <v>#REF!</v>
      </c>
      <c r="C10" s="83"/>
      <c r="N10" s="436">
        <f>+'PRE BABY GRUPOS'!C10</f>
        <v>0</v>
      </c>
      <c r="O10" s="436"/>
    </row>
    <row r="11" spans="1:15" s="3" customFormat="1" ht="21" x14ac:dyDescent="0.4">
      <c r="B11" s="102" t="str">
        <f>+'PRE BABY GRUPOS'!C3</f>
        <v>NACIDOS 2012 2013</v>
      </c>
      <c r="C11" s="102"/>
      <c r="N11" s="436"/>
      <c r="O11" s="436"/>
    </row>
    <row r="12" spans="1:15" s="3" customFormat="1" ht="11.25" customHeight="1" x14ac:dyDescent="0.3">
      <c r="A12" s="430" t="str">
        <f>+'GRUPO A'!B4</f>
        <v>GRUPO A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</row>
    <row r="13" spans="1:15" s="3" customFormat="1" ht="21" customHeight="1" x14ac:dyDescent="0.3">
      <c r="A13" s="431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</row>
    <row r="14" spans="1:15" ht="23.4" x14ac:dyDescent="0.3">
      <c r="A14" s="391" t="s">
        <v>41</v>
      </c>
      <c r="B14" s="392"/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92">
        <f>+'GRUPO A'!B26</f>
        <v>42966</v>
      </c>
      <c r="B16" s="93" t="str">
        <f>+'GRUPO A'!C26</f>
        <v>12:40. p.m.</v>
      </c>
      <c r="C16" s="93"/>
      <c r="D16" s="426">
        <f>+'GRUPO A'!E26</f>
        <v>0</v>
      </c>
      <c r="E16" s="426"/>
      <c r="F16" s="111" t="str">
        <f>IF(AND(G16&lt;&gt;"",I16&lt;&gt;""),IF(G16=I16,"E",IF(G16&gt;I16,"G","P")),"")</f>
        <v/>
      </c>
      <c r="G16" s="112"/>
      <c r="H16" s="87" t="s">
        <v>15</v>
      </c>
      <c r="I16" s="112"/>
      <c r="J16" s="111" t="str">
        <f>IF(AND(I16&lt;&gt;"",G16&lt;&gt;""),IF(I16=G16,"E",IF(I16&gt;G16,"G","P")),"")</f>
        <v/>
      </c>
      <c r="K16" s="426">
        <f>+'GRUPO A'!K26</f>
        <v>0</v>
      </c>
      <c r="L16" s="426"/>
      <c r="M16" s="426"/>
      <c r="N16" s="426"/>
      <c r="O16" s="94" t="str">
        <f>+'GRUPO A'!M26</f>
        <v>CANCHA 1 C</v>
      </c>
    </row>
    <row r="17" spans="1:15" ht="7.5" customHeight="1" x14ac:dyDescent="0.35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</row>
    <row r="18" spans="1:15" ht="33.75" customHeight="1" x14ac:dyDescent="0.35">
      <c r="A18" s="95">
        <f>+'GRUPO A'!B29</f>
        <v>42965</v>
      </c>
      <c r="B18" s="96" t="str">
        <f>+'GRUPO A'!C29</f>
        <v>12:50. p.m.</v>
      </c>
      <c r="C18" s="96"/>
      <c r="D18" s="427" t="str">
        <f>+'GRUPO A'!E29</f>
        <v>COLEGIO NEIL ARMSTRONG</v>
      </c>
      <c r="E18" s="427"/>
      <c r="F18" s="111" t="str">
        <f>IF(AND(G18&lt;&gt;"",I18&lt;&gt;""),IF(G18=I18,"E",IF(G18&gt;I18,"G","P")),"")</f>
        <v/>
      </c>
      <c r="G18" s="112"/>
      <c r="H18" s="87" t="s">
        <v>15</v>
      </c>
      <c r="I18" s="112"/>
      <c r="J18" s="111" t="str">
        <f>IF(AND(I18&lt;&gt;"",G18&lt;&gt;""),IF(I18=G18,"E",IF(I18&gt;G18,"G","P")),"")</f>
        <v/>
      </c>
      <c r="K18" s="427" t="str">
        <f>+'GRUPO A'!K29</f>
        <v>CLUB CAMPESTRE IBAGUE UNO</v>
      </c>
      <c r="L18" s="427"/>
      <c r="M18" s="427"/>
      <c r="N18" s="427"/>
      <c r="O18" s="98" t="str">
        <f>+'GRUPO A'!M29</f>
        <v>CANCHA 1 C</v>
      </c>
    </row>
    <row r="19" spans="1:15" ht="15" hidden="1" customHeight="1" x14ac:dyDescent="0.3"/>
    <row r="20" spans="1:15" s="3" customFormat="1" ht="11.25" customHeight="1" x14ac:dyDescent="0.3">
      <c r="A20" s="437" t="str">
        <f>+'GRUPO B'!B4</f>
        <v>GRUPO B</v>
      </c>
      <c r="B20" s="437"/>
      <c r="C20" s="437"/>
      <c r="D20" s="437"/>
      <c r="E20" s="437"/>
      <c r="F20" s="437"/>
      <c r="G20" s="437"/>
      <c r="H20" s="437"/>
      <c r="I20" s="437"/>
      <c r="J20" s="437"/>
      <c r="K20" s="437"/>
      <c r="L20" s="437"/>
      <c r="M20" s="437"/>
      <c r="N20" s="437"/>
      <c r="O20" s="437"/>
    </row>
    <row r="21" spans="1:15" ht="21" customHeight="1" x14ac:dyDescent="0.3">
      <c r="A21" s="437"/>
      <c r="B21" s="437"/>
      <c r="C21" s="437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37"/>
    </row>
    <row r="22" spans="1:15" ht="36.75" customHeight="1" x14ac:dyDescent="0.3">
      <c r="A22" s="391" t="s">
        <v>41</v>
      </c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92">
        <f>+'GRUPO B'!B26</f>
        <v>42966</v>
      </c>
      <c r="B24" s="93" t="str">
        <f>+'GRUPO B'!C26</f>
        <v>04:40. p.m.</v>
      </c>
      <c r="C24" s="93"/>
      <c r="D24" s="426">
        <f>+'GRUPO B'!E26</f>
        <v>0</v>
      </c>
      <c r="E24" s="426"/>
      <c r="F24" s="59" t="str">
        <f>IF(AND(G24&lt;&gt;"",I24&lt;&gt;""),IF(G24=I24,"E",IF(G24&gt;I24,"G","P")),"")</f>
        <v/>
      </c>
      <c r="G24" s="104"/>
      <c r="H24" s="14" t="s">
        <v>15</v>
      </c>
      <c r="I24" s="104"/>
      <c r="J24" s="59" t="str">
        <f>IF(AND(I24&lt;&gt;"",G24&lt;&gt;""),IF(I24=G24,"E",IF(I24&gt;G24,"G","P")),"")</f>
        <v/>
      </c>
      <c r="K24" s="426">
        <f>+'GRUPO B'!K26</f>
        <v>0</v>
      </c>
      <c r="L24" s="426"/>
      <c r="M24" s="426"/>
      <c r="N24" s="426"/>
      <c r="O24" s="94" t="str">
        <f>+'GRUPO B'!M26</f>
        <v>CANCHA 1 B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5">
        <f>+'GRUPO B'!B29</f>
        <v>42967</v>
      </c>
      <c r="B26" s="96" t="str">
        <f>+'GRUPO B'!C29</f>
        <v>10:50. a.m.</v>
      </c>
      <c r="C26" s="96"/>
      <c r="D26" s="427" t="str">
        <f>+'GRUPO B'!E29</f>
        <v>COLEGIO PRINCIPADO DE MONACO</v>
      </c>
      <c r="E26" s="427"/>
      <c r="F26" s="59" t="str">
        <f>IF(AND(G26&lt;&gt;"",I26&lt;&gt;""),IF(G26=I26,"E",IF(G26&gt;I26,"G","P")),"")</f>
        <v/>
      </c>
      <c r="G26" s="104"/>
      <c r="H26" s="14" t="s">
        <v>15</v>
      </c>
      <c r="I26" s="104"/>
      <c r="J26" s="59" t="str">
        <f>IF(AND(I26&lt;&gt;"",G26&lt;&gt;""),IF(I26=G26,"E",IF(I26&gt;G26,"G","P")),"")</f>
        <v/>
      </c>
      <c r="K26" s="427" t="str">
        <f>+'GRUPO B'!K29</f>
        <v>CENTAUROS DEL ARIARI</v>
      </c>
      <c r="L26" s="427"/>
      <c r="M26" s="427"/>
      <c r="N26" s="427"/>
      <c r="O26" s="98" t="str">
        <f>+'GRUPO B'!M29</f>
        <v>CANCHA 1 A</v>
      </c>
    </row>
    <row r="27" spans="1:15" ht="11.25" customHeight="1" x14ac:dyDescent="0.3">
      <c r="A27" s="434" t="str">
        <f>+'GRUPO C'!B4</f>
        <v>GRUPO C</v>
      </c>
      <c r="B27" s="434"/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</row>
    <row r="28" spans="1:15" ht="21" customHeight="1" x14ac:dyDescent="0.3">
      <c r="A28" s="435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35"/>
    </row>
    <row r="29" spans="1:15" ht="30" customHeight="1" x14ac:dyDescent="0.3">
      <c r="A29" s="391" t="s">
        <v>41</v>
      </c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</row>
    <row r="30" spans="1:15" s="3" customFormat="1" ht="7.5" customHeight="1" x14ac:dyDescent="0.3"/>
    <row r="31" spans="1:15" s="3" customFormat="1" ht="33.75" customHeight="1" x14ac:dyDescent="0.35">
      <c r="A31" s="92">
        <f>+'GRUPO C'!B26</f>
        <v>42966</v>
      </c>
      <c r="B31" s="93" t="str">
        <f>+'GRUPO C'!C26</f>
        <v>03:50. p.m.</v>
      </c>
      <c r="C31" s="93"/>
      <c r="D31" s="426" t="str">
        <f>+'GRUPO C'!E26</f>
        <v>GRAMA F. C.</v>
      </c>
      <c r="E31" s="426"/>
      <c r="F31" s="111" t="str">
        <f>IF(AND(G31&lt;&gt;"",I31&lt;&gt;""),IF(G31=I31,"E",IF(G31&gt;I31,"G","P")),"")</f>
        <v/>
      </c>
      <c r="G31" s="112"/>
      <c r="H31" s="87" t="s">
        <v>15</v>
      </c>
      <c r="I31" s="112"/>
      <c r="J31" s="111" t="str">
        <f>IF(AND(I31&lt;&gt;"",G31&lt;&gt;""),IF(I31=G31,"E",IF(I31&gt;G31,"G","P")),"")</f>
        <v/>
      </c>
      <c r="K31" s="426" t="str">
        <f>+'GRUPO C'!K26</f>
        <v>NOVATOS F. C.</v>
      </c>
      <c r="L31" s="426"/>
      <c r="M31" s="426"/>
      <c r="N31" s="426"/>
      <c r="O31" s="94" t="str">
        <f>+'GRUPO C'!M26</f>
        <v>CANCHA 1 C</v>
      </c>
    </row>
    <row r="32" spans="1:15" s="3" customFormat="1" ht="7.5" customHeight="1" x14ac:dyDescent="0.3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</row>
    <row r="33" spans="1:15" s="3" customFormat="1" ht="33.75" customHeight="1" x14ac:dyDescent="0.35">
      <c r="A33" s="95">
        <f>+'GRUPO C'!B29</f>
        <v>42965</v>
      </c>
      <c r="B33" s="96" t="str">
        <f>+'GRUPO C'!C29</f>
        <v>12:50. p.m.</v>
      </c>
      <c r="C33" s="96"/>
      <c r="D33" s="427" t="str">
        <f>+'GRUPO C'!E29</f>
        <v>GRAMA F. C.</v>
      </c>
      <c r="E33" s="427"/>
      <c r="F33" s="111" t="str">
        <f>IF(AND(G33&lt;&gt;"",I33&lt;&gt;""),IF(G33=I33,"E",IF(G33&gt;I33,"G","P")),"")</f>
        <v/>
      </c>
      <c r="G33" s="112"/>
      <c r="H33" s="87" t="s">
        <v>15</v>
      </c>
      <c r="I33" s="112"/>
      <c r="J33" s="111" t="str">
        <f>IF(AND(I33&lt;&gt;"",G33&lt;&gt;""),IF(I33=G33,"E",IF(I33&gt;G33,"G","P")),"")</f>
        <v/>
      </c>
      <c r="K33" s="427" t="str">
        <f>+'GRUPO C'!K29</f>
        <v>ESCUELA DE FORMACIÓN DEPORTIVA MARACANA</v>
      </c>
      <c r="L33" s="427"/>
      <c r="M33" s="427"/>
      <c r="N33" s="427"/>
      <c r="O33" s="98" t="str">
        <f>+'GRUPO C'!M29</f>
        <v>CANCHA 1 A</v>
      </c>
    </row>
    <row r="34" spans="1:15" s="3" customFormat="1" ht="11.25" customHeight="1" x14ac:dyDescent="0.3">
      <c r="A34" s="423" t="str">
        <f>+'GRUPO D'!B4</f>
        <v>GRUPO D</v>
      </c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</row>
    <row r="35" spans="1:15" s="3" customFormat="1" ht="21" customHeight="1" x14ac:dyDescent="0.3">
      <c r="A35" s="425"/>
      <c r="B35" s="425"/>
      <c r="C35" s="425"/>
      <c r="D35" s="425"/>
      <c r="E35" s="425"/>
      <c r="F35" s="425"/>
      <c r="G35" s="425"/>
      <c r="H35" s="425"/>
      <c r="I35" s="425"/>
      <c r="J35" s="425"/>
      <c r="K35" s="425"/>
      <c r="L35" s="425"/>
      <c r="M35" s="425"/>
      <c r="N35" s="425"/>
      <c r="O35" s="425"/>
    </row>
    <row r="36" spans="1:15" s="3" customFormat="1" ht="23.4" x14ac:dyDescent="0.3">
      <c r="A36" s="391" t="s">
        <v>41</v>
      </c>
      <c r="B36" s="392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</row>
    <row r="37" spans="1:15" s="3" customFormat="1" ht="7.5" customHeight="1" x14ac:dyDescent="0.3"/>
    <row r="38" spans="1:15" s="3" customFormat="1" ht="33.75" customHeight="1" x14ac:dyDescent="0.35">
      <c r="A38" s="92">
        <f>+'GRUPO D'!B26</f>
        <v>42967</v>
      </c>
      <c r="B38" s="93" t="str">
        <f>+'GRUPO D'!C26</f>
        <v>09:50. a.m.</v>
      </c>
      <c r="C38" s="93"/>
      <c r="D38" s="426" t="str">
        <f>+'GRUPO D'!E26</f>
        <v>ESCUELA DEPORTIVA DE FÚTBOL RAQUIRA</v>
      </c>
      <c r="E38" s="426"/>
      <c r="F38" s="111" t="str">
        <f>IF(AND(G38&lt;&gt;"",I38&lt;&gt;""),IF(G38=I38,"E",IF(G38&gt;I38,"G","P")),"")</f>
        <v/>
      </c>
      <c r="G38" s="112"/>
      <c r="H38" s="87" t="s">
        <v>15</v>
      </c>
      <c r="I38" s="112"/>
      <c r="J38" s="111" t="str">
        <f>IF(AND(I38&lt;&gt;"",G38&lt;&gt;""),IF(I38=G38,"E",IF(I38&gt;G38,"G","P")),"")</f>
        <v/>
      </c>
      <c r="K38" s="426" t="str">
        <f>+'GRUPO D'!K26</f>
        <v>CLUB CAMPESTRE IBAGUE DOS</v>
      </c>
      <c r="L38" s="426"/>
      <c r="M38" s="426"/>
      <c r="N38" s="426"/>
      <c r="O38" s="94" t="str">
        <f>+'GRUPO D'!M26</f>
        <v>CANCHA 1 B</v>
      </c>
    </row>
    <row r="39" spans="1:15" s="3" customFormat="1" ht="7.5" customHeight="1" x14ac:dyDescent="0.35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</row>
    <row r="40" spans="1:15" s="3" customFormat="1" ht="33.75" customHeight="1" x14ac:dyDescent="0.35">
      <c r="A40" s="95">
        <f>+'GRUPO D'!B29</f>
        <v>42965</v>
      </c>
      <c r="B40" s="96" t="str">
        <f>+'GRUPO D'!C29</f>
        <v>11:55. a.m.</v>
      </c>
      <c r="C40" s="96"/>
      <c r="D40" s="427" t="str">
        <f>+'GRUPO D'!E29</f>
        <v>ESCUELA DEPORTIVA DE FÚTBOL RAQUIRA</v>
      </c>
      <c r="E40" s="427"/>
      <c r="F40" s="111" t="str">
        <f>IF(AND(G40&lt;&gt;"",I40&lt;&gt;""),IF(G40=I40,"E",IF(G40&gt;I40,"G","P")),"")</f>
        <v/>
      </c>
      <c r="G40" s="112"/>
      <c r="H40" s="87" t="s">
        <v>15</v>
      </c>
      <c r="I40" s="112"/>
      <c r="J40" s="111" t="str">
        <f>IF(AND(I40&lt;&gt;"",G40&lt;&gt;""),IF(I40=G40,"E",IF(I40&gt;G40,"G","P")),"")</f>
        <v/>
      </c>
      <c r="K40" s="427" t="str">
        <f>+'GRUPO D'!K29</f>
        <v>CORDOBA Y SERRANO F. C.</v>
      </c>
      <c r="L40" s="427"/>
      <c r="M40" s="427"/>
      <c r="N40" s="427"/>
      <c r="O40" s="98" t="str">
        <f>+'GRUPO D'!M29</f>
        <v>CANCHA 1 A</v>
      </c>
    </row>
    <row r="41" spans="1:15" s="3" customFormat="1" x14ac:dyDescent="0.3">
      <c r="A41" s="422" t="s">
        <v>40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</row>
    <row r="42" spans="1:15" s="3" customFormat="1" x14ac:dyDescent="0.3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</row>
    <row r="43" spans="1:15" s="3" customFormat="1" x14ac:dyDescent="0.3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  <c r="N43" s="422"/>
      <c r="O43" s="422"/>
    </row>
    <row r="44" spans="1:15" s="3" customFormat="1" x14ac:dyDescent="0.3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</row>
    <row r="45" spans="1:15" s="3" customFormat="1" x14ac:dyDescent="0.3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</row>
    <row r="46" spans="1:15" s="3" customFormat="1" x14ac:dyDescent="0.3">
      <c r="A46" s="420" t="s">
        <v>28</v>
      </c>
      <c r="B46" s="420"/>
      <c r="C46" s="420"/>
      <c r="D46" s="420"/>
      <c r="E46" s="420"/>
      <c r="F46" s="420"/>
      <c r="G46" s="420"/>
      <c r="H46" s="420"/>
      <c r="I46" s="420"/>
      <c r="J46" s="420"/>
      <c r="K46" s="420"/>
      <c r="L46" s="420"/>
      <c r="M46" s="420"/>
      <c r="N46" s="420"/>
      <c r="O46" s="420"/>
    </row>
    <row r="47" spans="1:15" s="3" customFormat="1" x14ac:dyDescent="0.3">
      <c r="A47" s="420" t="s">
        <v>29</v>
      </c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0"/>
    </row>
    <row r="48" spans="1:15" s="3" customFormat="1" x14ac:dyDescent="0.3">
      <c r="A48" s="421" t="s">
        <v>30</v>
      </c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</row>
    <row r="49" spans="1:15" s="3" customFormat="1" x14ac:dyDescent="0.3">
      <c r="A49" s="420" t="s">
        <v>31</v>
      </c>
      <c r="B49" s="420"/>
      <c r="C49" s="420"/>
      <c r="D49" s="420"/>
      <c r="E49" s="420"/>
      <c r="F49" s="420"/>
      <c r="G49" s="420"/>
      <c r="H49" s="420"/>
      <c r="I49" s="420"/>
      <c r="J49" s="420"/>
      <c r="K49" s="420"/>
      <c r="L49" s="420"/>
      <c r="M49" s="420"/>
      <c r="N49" s="420"/>
      <c r="O49" s="420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900-000000000000}"/>
  </hyperlinks>
  <pageMargins left="0.7" right="0.7" top="0.75" bottom="0.75" header="0.3" footer="0.3"/>
  <pageSetup scale="68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8" t="s">
        <v>5</v>
      </c>
      <c r="C1" s="58"/>
    </row>
    <row r="2" spans="2:12" ht="40.5" customHeight="1" x14ac:dyDescent="0.5">
      <c r="B2" s="60" t="s">
        <v>6</v>
      </c>
      <c r="C2" s="60"/>
      <c r="D2" s="60"/>
      <c r="E2" s="60"/>
      <c r="F2" s="60"/>
      <c r="G2" s="60"/>
      <c r="H2" s="60"/>
      <c r="I2" s="60"/>
      <c r="J2" s="60"/>
      <c r="K2" s="60"/>
    </row>
    <row r="3" spans="2:12" ht="41.25" customHeight="1" x14ac:dyDescent="0.6">
      <c r="G3" s="82" t="e">
        <f>+'PRE BABY GRUPOS'!#REF!</f>
        <v>#REF!</v>
      </c>
    </row>
    <row r="4" spans="2:12" ht="29.25" customHeight="1" x14ac:dyDescent="0.6">
      <c r="C4" s="62"/>
      <c r="D4" s="63"/>
      <c r="E4" s="63"/>
      <c r="F4" s="63"/>
      <c r="G4" s="100" t="str">
        <f>+'PRE BABY GRUPOS'!C3</f>
        <v>NACIDOS 2012 2013</v>
      </c>
      <c r="I4" s="63"/>
      <c r="J4" s="63"/>
      <c r="K4" s="63"/>
    </row>
    <row r="5" spans="2:12" ht="15" customHeight="1" thickBot="1" x14ac:dyDescent="0.65">
      <c r="C5" s="62"/>
      <c r="D5" s="63"/>
      <c r="E5" s="63"/>
      <c r="F5" s="63"/>
      <c r="G5" s="63"/>
      <c r="H5" s="63"/>
      <c r="I5" s="63"/>
      <c r="J5" s="63"/>
      <c r="K5" s="63"/>
    </row>
    <row r="6" spans="2:12" ht="15" customHeight="1" x14ac:dyDescent="0.3">
      <c r="B6" s="449" t="str">
        <f>+'PRE BABY GRUPOS'!C6</f>
        <v>GRUPO A</v>
      </c>
      <c r="C6" s="450"/>
      <c r="D6" s="460" t="e">
        <f>+'GRUPO A'!Q20:Q21</f>
        <v>#VALUE!</v>
      </c>
      <c r="E6" s="459" t="e">
        <f>+'GRUPO A'!R20:R21</f>
        <v>#VALUE!</v>
      </c>
      <c r="F6" s="459" t="e">
        <f>+'GRUPO A'!S20:S21</f>
        <v>#VALUE!</v>
      </c>
      <c r="G6" s="459" t="e">
        <f>+'GRUPO A'!T20:T21</f>
        <v>#VALUE!</v>
      </c>
      <c r="H6" s="459" t="e">
        <f>+'GRUPO A'!U20:U21</f>
        <v>#VALUE!</v>
      </c>
      <c r="I6" s="459" t="e">
        <f>+'GRUPO A'!V20:V21</f>
        <v>#VALUE!</v>
      </c>
      <c r="J6" s="459" t="e">
        <f>+'GRUPO A'!W20:W21</f>
        <v>#VALUE!</v>
      </c>
      <c r="K6" s="459" t="e">
        <f>+'GRUPO A'!X20:X21</f>
        <v>#VALUE!</v>
      </c>
      <c r="L6" s="466" t="e">
        <f>+'GRUPO A'!Y20:Y21</f>
        <v>#VALUE!</v>
      </c>
    </row>
    <row r="7" spans="2:12" ht="15" customHeight="1" thickBot="1" x14ac:dyDescent="0.35">
      <c r="B7" s="451"/>
      <c r="C7" s="452"/>
      <c r="D7" s="458"/>
      <c r="E7" s="453"/>
      <c r="F7" s="453"/>
      <c r="G7" s="453"/>
      <c r="H7" s="453"/>
      <c r="I7" s="453"/>
      <c r="J7" s="453"/>
      <c r="K7" s="453"/>
      <c r="L7" s="467"/>
    </row>
    <row r="8" spans="2:12" ht="22.65" customHeight="1" x14ac:dyDescent="0.3">
      <c r="B8" s="454" t="e">
        <f>+'GRUPO A'!P22:P23</f>
        <v>#VALUE!</v>
      </c>
      <c r="C8" s="455"/>
      <c r="D8" s="460" t="e">
        <f>+'GRUPO A'!Q22:Q23</f>
        <v>#VALUE!</v>
      </c>
      <c r="E8" s="459" t="e">
        <f>+'GRUPO A'!R22:R23</f>
        <v>#VALUE!</v>
      </c>
      <c r="F8" s="459" t="e">
        <f>+'GRUPO A'!S22:S23</f>
        <v>#VALUE!</v>
      </c>
      <c r="G8" s="459" t="e">
        <f>+'GRUPO A'!T22:T23</f>
        <v>#VALUE!</v>
      </c>
      <c r="H8" s="459" t="e">
        <f>+'GRUPO A'!U22:U23</f>
        <v>#VALUE!</v>
      </c>
      <c r="I8" s="459" t="e">
        <f>+'GRUPO A'!V22:V23</f>
        <v>#VALUE!</v>
      </c>
      <c r="J8" s="459" t="e">
        <f>+'GRUPO A'!W22:W23</f>
        <v>#VALUE!</v>
      </c>
      <c r="K8" s="459" t="e">
        <f>+'GRUPO A'!X22:X23</f>
        <v>#VALUE!</v>
      </c>
      <c r="L8" s="468" t="e">
        <f>+'GRUPO A'!Y22:Y23</f>
        <v>#VALUE!</v>
      </c>
    </row>
    <row r="9" spans="2:12" ht="11.1" customHeight="1" x14ac:dyDescent="0.3">
      <c r="B9" s="447"/>
      <c r="C9" s="448"/>
      <c r="D9" s="439"/>
      <c r="E9" s="438"/>
      <c r="F9" s="438"/>
      <c r="G9" s="438"/>
      <c r="H9" s="438"/>
      <c r="I9" s="438"/>
      <c r="J9" s="438"/>
      <c r="K9" s="438"/>
      <c r="L9" s="469"/>
    </row>
    <row r="10" spans="2:12" ht="22.65" customHeight="1" x14ac:dyDescent="0.3">
      <c r="B10" s="447" t="e">
        <f>+'GRUPO A'!P24:P25</f>
        <v>#VALUE!</v>
      </c>
      <c r="C10" s="448"/>
      <c r="D10" s="439" t="e">
        <f>+'GRUPO A'!Q24:Q25</f>
        <v>#VALUE!</v>
      </c>
      <c r="E10" s="438" t="e">
        <f>+'GRUPO A'!R24:R25</f>
        <v>#VALUE!</v>
      </c>
      <c r="F10" s="438" t="e">
        <f>+'GRUPO A'!S24:S25</f>
        <v>#VALUE!</v>
      </c>
      <c r="G10" s="438" t="e">
        <f>+'GRUPO A'!T24:T25</f>
        <v>#VALUE!</v>
      </c>
      <c r="H10" s="438" t="e">
        <f>+'GRUPO A'!U24:U25</f>
        <v>#VALUE!</v>
      </c>
      <c r="I10" s="438" t="e">
        <f>+'GRUPO A'!V24:V25</f>
        <v>#VALUE!</v>
      </c>
      <c r="J10" s="438" t="e">
        <f>+'GRUPO A'!W24:W25</f>
        <v>#VALUE!</v>
      </c>
      <c r="K10" s="438" t="e">
        <f>+'GRUPO A'!X24:X25</f>
        <v>#VALUE!</v>
      </c>
      <c r="L10" s="469" t="e">
        <f>+'GRUPO A'!Y24:Y25</f>
        <v>#VALUE!</v>
      </c>
    </row>
    <row r="11" spans="2:12" ht="11.1" customHeight="1" x14ac:dyDescent="0.3">
      <c r="B11" s="447"/>
      <c r="C11" s="448"/>
      <c r="D11" s="439"/>
      <c r="E11" s="438"/>
      <c r="F11" s="438"/>
      <c r="G11" s="438"/>
      <c r="H11" s="438"/>
      <c r="I11" s="438"/>
      <c r="J11" s="438"/>
      <c r="K11" s="438"/>
      <c r="L11" s="469"/>
    </row>
    <row r="12" spans="2:12" ht="22.65" customHeight="1" x14ac:dyDescent="0.3">
      <c r="B12" s="447" t="e">
        <f>+'GRUPO A'!P26:P27</f>
        <v>#VALUE!</v>
      </c>
      <c r="C12" s="448"/>
      <c r="D12" s="439" t="e">
        <f>+'GRUPO A'!Q26:Q27</f>
        <v>#VALUE!</v>
      </c>
      <c r="E12" s="438" t="e">
        <f>+'GRUPO A'!R26:R27</f>
        <v>#VALUE!</v>
      </c>
      <c r="F12" s="438" t="e">
        <f>+'GRUPO A'!S26:S27</f>
        <v>#VALUE!</v>
      </c>
      <c r="G12" s="438" t="e">
        <f>+'GRUPO A'!T26:T27</f>
        <v>#VALUE!</v>
      </c>
      <c r="H12" s="438" t="e">
        <f>+'GRUPO A'!U26:U27</f>
        <v>#VALUE!</v>
      </c>
      <c r="I12" s="438" t="e">
        <f>+'GRUPO A'!V26:V27</f>
        <v>#VALUE!</v>
      </c>
      <c r="J12" s="438" t="e">
        <f>+'GRUPO A'!W26:W27</f>
        <v>#VALUE!</v>
      </c>
      <c r="K12" s="438" t="e">
        <f>+'GRUPO A'!X26:X27</f>
        <v>#VALUE!</v>
      </c>
      <c r="L12" s="469" t="e">
        <f>+'GRUPO A'!Y26:Y27</f>
        <v>#VALUE!</v>
      </c>
    </row>
    <row r="13" spans="2:12" ht="11.1" customHeight="1" x14ac:dyDescent="0.3">
      <c r="B13" s="447"/>
      <c r="C13" s="448"/>
      <c r="D13" s="439"/>
      <c r="E13" s="438"/>
      <c r="F13" s="438"/>
      <c r="G13" s="438"/>
      <c r="H13" s="438"/>
      <c r="I13" s="438"/>
      <c r="J13" s="438"/>
      <c r="K13" s="438"/>
      <c r="L13" s="469"/>
    </row>
    <row r="14" spans="2:12" ht="22.65" customHeight="1" x14ac:dyDescent="0.3">
      <c r="B14" s="447" t="e">
        <f>+'GRUPO A'!P28:P29</f>
        <v>#VALUE!</v>
      </c>
      <c r="C14" s="448"/>
      <c r="D14" s="439" t="e">
        <f>+'GRUPO A'!Q28:Q29</f>
        <v>#VALUE!</v>
      </c>
      <c r="E14" s="438" t="e">
        <f>+'GRUPO A'!R28:R29</f>
        <v>#VALUE!</v>
      </c>
      <c r="F14" s="438" t="e">
        <f>+'GRUPO A'!S28:S29</f>
        <v>#VALUE!</v>
      </c>
      <c r="G14" s="438" t="e">
        <f>+'GRUPO A'!T28:T29</f>
        <v>#VALUE!</v>
      </c>
      <c r="H14" s="438" t="e">
        <f>+'GRUPO A'!U28:U29</f>
        <v>#VALUE!</v>
      </c>
      <c r="I14" s="438" t="e">
        <f>+'GRUPO A'!V28:V29</f>
        <v>#VALUE!</v>
      </c>
      <c r="J14" s="438" t="e">
        <f>+'GRUPO A'!W28:W29</f>
        <v>#VALUE!</v>
      </c>
      <c r="K14" s="438" t="e">
        <f>+'GRUPO A'!X28:X29</f>
        <v>#VALUE!</v>
      </c>
      <c r="L14" s="469" t="e">
        <f>+'GRUPO A'!Y28:Y29</f>
        <v>#VALUE!</v>
      </c>
    </row>
    <row r="15" spans="2:12" ht="11.1" customHeight="1" thickBot="1" x14ac:dyDescent="0.35">
      <c r="B15" s="456"/>
      <c r="C15" s="457"/>
      <c r="D15" s="458"/>
      <c r="E15" s="453"/>
      <c r="F15" s="453"/>
      <c r="G15" s="453"/>
      <c r="H15" s="453"/>
      <c r="I15" s="453"/>
      <c r="J15" s="453"/>
      <c r="K15" s="453"/>
      <c r="L15" s="470"/>
    </row>
    <row r="16" spans="2:12" ht="7.5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customHeight="1" x14ac:dyDescent="0.3">
      <c r="A17" s="443" t="s">
        <v>34</v>
      </c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</row>
    <row r="18" spans="1:13" ht="7.5" customHeight="1" x14ac:dyDescent="0.3"/>
    <row r="19" spans="1:13" ht="33.75" customHeight="1" x14ac:dyDescent="0.3">
      <c r="A19" s="92">
        <f>+'GRUPO A'!B32</f>
        <v>42967</v>
      </c>
      <c r="B19" s="93" t="str">
        <f>+'GRUPO A'!C32</f>
        <v>09:50. a.m.</v>
      </c>
      <c r="C19" s="121" t="str">
        <f>+'GRUPO A'!E32</f>
        <v>CLUB LOS PAPETICOS</v>
      </c>
      <c r="D19" s="97"/>
      <c r="E19" s="87" t="s">
        <v>15</v>
      </c>
      <c r="F19" s="97"/>
      <c r="G19" s="441" t="str">
        <f>+'GRUPO A'!K32</f>
        <v>CLUB CAMPESTRE IBAGUE UNO</v>
      </c>
      <c r="H19" s="426"/>
      <c r="I19" s="426"/>
      <c r="J19" s="426"/>
      <c r="K19" s="107" t="str">
        <f>+'GRUPO A'!M32</f>
        <v>CANCHA 1 A</v>
      </c>
      <c r="L19" s="94"/>
    </row>
    <row r="20" spans="1:13" ht="7.5" customHeight="1" x14ac:dyDescent="0.3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105"/>
      <c r="L20" s="86"/>
    </row>
    <row r="21" spans="1:13" ht="33.75" customHeight="1" x14ac:dyDescent="0.3">
      <c r="A21" s="95">
        <f>+'GRUPO A'!B35</f>
        <v>0</v>
      </c>
      <c r="B21" s="96">
        <f>+'GRUPO A'!C35</f>
        <v>0</v>
      </c>
      <c r="C21" s="122">
        <f>+'GRUPO A'!E35</f>
        <v>0</v>
      </c>
      <c r="D21" s="97"/>
      <c r="E21" s="87" t="s">
        <v>15</v>
      </c>
      <c r="F21" s="97"/>
      <c r="G21" s="442">
        <f>+'GRUPO A'!K35</f>
        <v>0</v>
      </c>
      <c r="H21" s="427"/>
      <c r="I21" s="427"/>
      <c r="J21" s="427"/>
      <c r="K21" s="106">
        <f>+'GRUPO A'!M35</f>
        <v>0</v>
      </c>
      <c r="L21" s="98"/>
    </row>
    <row r="22" spans="1:13" ht="7.5" customHeight="1" thickBot="1" x14ac:dyDescent="0.35">
      <c r="A22" s="64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</row>
    <row r="23" spans="1:13" ht="15" customHeight="1" x14ac:dyDescent="0.3">
      <c r="B23" s="472" t="str">
        <f>+'PRE BABY GRUPOS'!E6</f>
        <v>GRUPO B</v>
      </c>
      <c r="C23" s="473"/>
      <c r="D23" s="476" t="str">
        <f>+'GRUPO B'!Q8</f>
        <v>Pts.</v>
      </c>
      <c r="E23" s="478" t="str">
        <f>+'GRUPO B'!R8</f>
        <v>PJ</v>
      </c>
      <c r="F23" s="478" t="str">
        <f>+'GRUPO B'!S8</f>
        <v>Gan.</v>
      </c>
      <c r="G23" s="478" t="str">
        <f>+'GRUPO B'!T8</f>
        <v>Emp.</v>
      </c>
      <c r="H23" s="478" t="str">
        <f>+'GRUPO B'!U8</f>
        <v>Per.</v>
      </c>
      <c r="I23" s="478" t="str">
        <f>+'GRUPO B'!V8</f>
        <v>GF</v>
      </c>
      <c r="J23" s="478" t="str">
        <f>+'GRUPO B'!W8</f>
        <v>GC</v>
      </c>
      <c r="K23" s="478" t="str">
        <f>+'GRUPO B'!X8</f>
        <v>Dif.</v>
      </c>
      <c r="L23" s="466" t="str">
        <f>+'GRUPO B'!Y8</f>
        <v>Tj</v>
      </c>
    </row>
    <row r="24" spans="1:13" ht="15" customHeight="1" thickBot="1" x14ac:dyDescent="0.35">
      <c r="B24" s="474"/>
      <c r="C24" s="475"/>
      <c r="D24" s="477"/>
      <c r="E24" s="479"/>
      <c r="F24" s="479"/>
      <c r="G24" s="479"/>
      <c r="H24" s="479"/>
      <c r="I24" s="479"/>
      <c r="J24" s="479"/>
      <c r="K24" s="479"/>
      <c r="L24" s="467"/>
    </row>
    <row r="25" spans="1:13" ht="10.5" customHeight="1" x14ac:dyDescent="0.3">
      <c r="B25" s="454" t="str">
        <f>+'GRUPO B'!P10</f>
        <v xml:space="preserve">  1)  CLUB ARIEL ARMEL</v>
      </c>
      <c r="C25" s="471"/>
      <c r="D25" s="460">
        <f>+'GRUPO B'!Q10</f>
        <v>4</v>
      </c>
      <c r="E25" s="459">
        <f>+'GRUPO B'!R10</f>
        <v>3</v>
      </c>
      <c r="F25" s="459">
        <f>+'GRUPO B'!S10</f>
        <v>1</v>
      </c>
      <c r="G25" s="459">
        <f>+'GRUPO B'!T10</f>
        <v>1</v>
      </c>
      <c r="H25" s="459">
        <f>+'GRUPO B'!U10</f>
        <v>1</v>
      </c>
      <c r="I25" s="459">
        <f>+'GRUPO B'!V10</f>
        <v>7</v>
      </c>
      <c r="J25" s="459">
        <f>+'GRUPO B'!W10</f>
        <v>4</v>
      </c>
      <c r="K25" s="459">
        <f>+'GRUPO B'!X10</f>
        <v>3</v>
      </c>
      <c r="L25" s="466">
        <f>+'GRUPO B'!Y10</f>
        <v>0</v>
      </c>
    </row>
    <row r="26" spans="1:13" ht="22.5" customHeight="1" x14ac:dyDescent="0.3">
      <c r="B26" s="447"/>
      <c r="C26" s="465"/>
      <c r="D26" s="439"/>
      <c r="E26" s="438"/>
      <c r="F26" s="438"/>
      <c r="G26" s="438"/>
      <c r="H26" s="438"/>
      <c r="I26" s="438"/>
      <c r="J26" s="438"/>
      <c r="K26" s="438"/>
      <c r="L26" s="444"/>
    </row>
    <row r="27" spans="1:13" ht="10.5" customHeight="1" x14ac:dyDescent="0.3">
      <c r="B27" s="447" t="str">
        <f>+'GRUPO B'!P12</f>
        <v xml:space="preserve">  2)  CENTAUROS DEL ARIARI</v>
      </c>
      <c r="C27" s="465"/>
      <c r="D27" s="439">
        <f>+'GRUPO B'!Q12</f>
        <v>3</v>
      </c>
      <c r="E27" s="438">
        <f>+'GRUPO B'!R12</f>
        <v>3</v>
      </c>
      <c r="F27" s="438">
        <f>+'GRUPO B'!S12</f>
        <v>1</v>
      </c>
      <c r="G27" s="438">
        <f>+'GRUPO B'!T12</f>
        <v>0</v>
      </c>
      <c r="H27" s="438">
        <f>+'GRUPO B'!U12</f>
        <v>2</v>
      </c>
      <c r="I27" s="438">
        <f>+'GRUPO B'!V12</f>
        <v>4</v>
      </c>
      <c r="J27" s="438">
        <f>+'GRUPO B'!W12</f>
        <v>5</v>
      </c>
      <c r="K27" s="438">
        <f>+'GRUPO B'!X12</f>
        <v>-1</v>
      </c>
      <c r="L27" s="444">
        <f>+'GRUPO B'!Y12</f>
        <v>0</v>
      </c>
    </row>
    <row r="28" spans="1:13" ht="22.5" customHeight="1" x14ac:dyDescent="0.3">
      <c r="B28" s="447"/>
      <c r="C28" s="465"/>
      <c r="D28" s="439"/>
      <c r="E28" s="438"/>
      <c r="F28" s="438"/>
      <c r="G28" s="438"/>
      <c r="H28" s="438"/>
      <c r="I28" s="438"/>
      <c r="J28" s="438"/>
      <c r="K28" s="438"/>
      <c r="L28" s="444"/>
    </row>
    <row r="29" spans="1:13" ht="22.5" customHeight="1" x14ac:dyDescent="0.3">
      <c r="B29" s="447" t="str">
        <f>+'GRUPO B'!P14</f>
        <v xml:space="preserve">  3)  COLEGIO PRINCIPADO DE MONACO</v>
      </c>
      <c r="C29" s="465"/>
      <c r="D29" s="439">
        <f>+'GRUPO B'!Q14</f>
        <v>1</v>
      </c>
      <c r="E29" s="438">
        <f>+'GRUPO B'!R14</f>
        <v>3</v>
      </c>
      <c r="F29" s="438">
        <f>+'GRUPO B'!S14</f>
        <v>0</v>
      </c>
      <c r="G29" s="438">
        <f>+'GRUPO B'!T14</f>
        <v>1</v>
      </c>
      <c r="H29" s="438">
        <f>+'GRUPO B'!U14</f>
        <v>2</v>
      </c>
      <c r="I29" s="438">
        <f>+'GRUPO B'!V14</f>
        <v>7</v>
      </c>
      <c r="J29" s="438">
        <f>+'GRUPO B'!W14</f>
        <v>12</v>
      </c>
      <c r="K29" s="438">
        <f>+'GRUPO B'!X14</f>
        <v>-5</v>
      </c>
      <c r="L29" s="444">
        <f>+'GRUPO B'!Y14</f>
        <v>0</v>
      </c>
    </row>
    <row r="30" spans="1:13" ht="11.1" customHeight="1" x14ac:dyDescent="0.3">
      <c r="B30" s="447"/>
      <c r="C30" s="465"/>
      <c r="D30" s="439"/>
      <c r="E30" s="438"/>
      <c r="F30" s="438"/>
      <c r="G30" s="438"/>
      <c r="H30" s="438"/>
      <c r="I30" s="438"/>
      <c r="J30" s="438"/>
      <c r="K30" s="438"/>
      <c r="L30" s="444"/>
    </row>
    <row r="31" spans="1:13" ht="22.5" customHeight="1" x14ac:dyDescent="0.3">
      <c r="B31" s="447">
        <f>+'GRUPO B'!P16</f>
        <v>0</v>
      </c>
      <c r="C31" s="465"/>
      <c r="D31" s="439">
        <f>+'GRUPO B'!Q16</f>
        <v>0</v>
      </c>
      <c r="E31" s="438">
        <f>+'GRUPO B'!R16</f>
        <v>0</v>
      </c>
      <c r="F31" s="438">
        <f>+'GRUPO B'!S16</f>
        <v>0</v>
      </c>
      <c r="G31" s="438">
        <f>+'GRUPO B'!T16</f>
        <v>0</v>
      </c>
      <c r="H31" s="438">
        <f>+'GRUPO B'!U16</f>
        <v>0</v>
      </c>
      <c r="I31" s="438">
        <f>+'GRUPO B'!V16</f>
        <v>0</v>
      </c>
      <c r="J31" s="438">
        <f>+'GRUPO B'!W16</f>
        <v>0</v>
      </c>
      <c r="K31" s="438">
        <f>+'GRUPO B'!X16</f>
        <v>0</v>
      </c>
      <c r="L31" s="444">
        <f>+'GRUPO B'!Y16</f>
        <v>0</v>
      </c>
    </row>
    <row r="32" spans="1:13" ht="11.1" customHeight="1" thickBot="1" x14ac:dyDescent="0.35">
      <c r="B32" s="456"/>
      <c r="C32" s="482"/>
      <c r="D32" s="458"/>
      <c r="E32" s="453"/>
      <c r="F32" s="453"/>
      <c r="G32" s="453"/>
      <c r="H32" s="453"/>
      <c r="I32" s="453"/>
      <c r="J32" s="453"/>
      <c r="K32" s="453"/>
      <c r="L32" s="467"/>
    </row>
    <row r="33" spans="1:13" ht="7.5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customHeight="1" x14ac:dyDescent="0.3">
      <c r="A34" s="443" t="s">
        <v>34</v>
      </c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</row>
    <row r="35" spans="1:13" ht="7.5" customHeight="1" x14ac:dyDescent="0.3"/>
    <row r="36" spans="1:13" ht="33.75" customHeight="1" x14ac:dyDescent="0.3">
      <c r="A36" s="92">
        <f>+'GRUPO B'!B32</f>
        <v>42965</v>
      </c>
      <c r="B36" s="93" t="str">
        <f>+'GRUPO B'!C32</f>
        <v>04:30. p.m.</v>
      </c>
      <c r="C36" s="121" t="str">
        <f>+'GRUPO B'!E32</f>
        <v>CLUB ARIEL ARMEL</v>
      </c>
      <c r="D36" s="97"/>
      <c r="E36" s="87" t="s">
        <v>15</v>
      </c>
      <c r="F36" s="97"/>
      <c r="G36" s="441" t="str">
        <f>+'GRUPO B'!K32</f>
        <v>CENTAUROS DEL ARIARI</v>
      </c>
      <c r="H36" s="426"/>
      <c r="I36" s="426"/>
      <c r="J36" s="426"/>
      <c r="K36" s="107" t="str">
        <f>+'GRUPO B'!M32</f>
        <v>CANCHA 1 A</v>
      </c>
      <c r="L36" s="94"/>
    </row>
    <row r="37" spans="1:13" ht="7.5" customHeight="1" x14ac:dyDescent="0.35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105"/>
      <c r="L37" s="86"/>
    </row>
    <row r="38" spans="1:13" ht="33.75" customHeight="1" x14ac:dyDescent="0.3">
      <c r="A38" s="95">
        <f>+'GRUPO B'!B35</f>
        <v>0</v>
      </c>
      <c r="B38" s="96" t="str">
        <f>+'GRUPO B'!C32</f>
        <v>04:30. p.m.</v>
      </c>
      <c r="C38" s="122">
        <f>+'GRUPO B'!E35</f>
        <v>0</v>
      </c>
      <c r="D38" s="97"/>
      <c r="E38" s="87" t="s">
        <v>15</v>
      </c>
      <c r="F38" s="97"/>
      <c r="G38" s="442">
        <f>+'GRUPO B'!K35</f>
        <v>0</v>
      </c>
      <c r="H38" s="427"/>
      <c r="I38" s="427"/>
      <c r="J38" s="427"/>
      <c r="K38" s="106">
        <f>+'GRUPO B'!M35</f>
        <v>0</v>
      </c>
      <c r="L38" s="98"/>
    </row>
    <row r="39" spans="1:13" ht="7.5" customHeight="1" thickBot="1" x14ac:dyDescent="0.35">
      <c r="A39" s="64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</row>
    <row r="40" spans="1:13" ht="7.5" hidden="1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hidden="1" customHeight="1" x14ac:dyDescent="0.3">
      <c r="B41" s="461" t="str">
        <f>+'PRE BABY GRUPOS'!G6</f>
        <v>GRUPO C</v>
      </c>
      <c r="C41" s="462"/>
      <c r="D41" s="460" t="str">
        <f>+'GRUPO B'!Q8</f>
        <v>Pts.</v>
      </c>
      <c r="E41" s="459" t="str">
        <f>+'GRUPO B'!R8</f>
        <v>PJ</v>
      </c>
      <c r="F41" s="459" t="str">
        <f>+'GRUPO B'!S8</f>
        <v>Gan.</v>
      </c>
      <c r="G41" s="459" t="str">
        <f>+'GRUPO B'!T8</f>
        <v>Emp.</v>
      </c>
      <c r="H41" s="459" t="str">
        <f>+'GRUPO B'!U8</f>
        <v>Per.</v>
      </c>
      <c r="I41" s="459" t="str">
        <f>+'GRUPO B'!V8</f>
        <v>GF</v>
      </c>
      <c r="J41" s="459" t="str">
        <f>+'GRUPO B'!W8</f>
        <v>GC</v>
      </c>
      <c r="K41" s="459" t="str">
        <f>+'GRUPO B'!X8</f>
        <v>Dif.</v>
      </c>
      <c r="L41" s="466" t="str">
        <f>+'GRUPO B'!Y8</f>
        <v>Tj</v>
      </c>
    </row>
    <row r="42" spans="1:13" ht="7.5" hidden="1" customHeight="1" thickBot="1" x14ac:dyDescent="0.35">
      <c r="B42" s="463"/>
      <c r="C42" s="464"/>
      <c r="D42" s="458"/>
      <c r="E42" s="453"/>
      <c r="F42" s="453"/>
      <c r="G42" s="453"/>
      <c r="H42" s="453"/>
      <c r="I42" s="453"/>
      <c r="J42" s="453"/>
      <c r="K42" s="453"/>
      <c r="L42" s="467"/>
    </row>
    <row r="43" spans="1:13" ht="15" hidden="1" customHeight="1" x14ac:dyDescent="0.3">
      <c r="B43" s="445" t="str">
        <f>+'GRUPO B'!P10</f>
        <v xml:space="preserve">  1)  CLUB ARIEL ARMEL</v>
      </c>
      <c r="C43" s="446"/>
      <c r="D43" s="460">
        <f>+'GRUPO B'!Q10</f>
        <v>4</v>
      </c>
      <c r="E43" s="459">
        <f>+'GRUPO B'!R10</f>
        <v>3</v>
      </c>
      <c r="F43" s="459">
        <f>+'GRUPO B'!S10</f>
        <v>1</v>
      </c>
      <c r="G43" s="459">
        <f>+'GRUPO B'!T10</f>
        <v>1</v>
      </c>
      <c r="H43" s="459">
        <f>+'GRUPO B'!U10</f>
        <v>1</v>
      </c>
      <c r="I43" s="459">
        <f>+'GRUPO B'!V10</f>
        <v>7</v>
      </c>
      <c r="J43" s="459">
        <f>+'GRUPO B'!W10</f>
        <v>4</v>
      </c>
      <c r="K43" s="459">
        <f>+'GRUPO B'!X10</f>
        <v>3</v>
      </c>
      <c r="L43" s="466">
        <f>+'GRUPO B'!Y10</f>
        <v>0</v>
      </c>
    </row>
    <row r="44" spans="1:13" ht="15" hidden="1" customHeight="1" x14ac:dyDescent="0.3">
      <c r="B44" s="447"/>
      <c r="C44" s="448"/>
      <c r="D44" s="439"/>
      <c r="E44" s="438"/>
      <c r="F44" s="438"/>
      <c r="G44" s="438"/>
      <c r="H44" s="438"/>
      <c r="I44" s="438"/>
      <c r="J44" s="438"/>
      <c r="K44" s="438"/>
      <c r="L44" s="444"/>
    </row>
    <row r="45" spans="1:13" ht="15" hidden="1" customHeight="1" x14ac:dyDescent="0.3">
      <c r="B45" s="447" t="str">
        <f>+'GRUPO B'!P12</f>
        <v xml:space="preserve">  2)  CENTAUROS DEL ARIARI</v>
      </c>
      <c r="C45" s="448"/>
      <c r="D45" s="439">
        <f>+'GRUPO B'!Q12</f>
        <v>3</v>
      </c>
      <c r="E45" s="438">
        <f>+'GRUPO B'!R12</f>
        <v>3</v>
      </c>
      <c r="F45" s="438">
        <f>+'GRUPO B'!S12</f>
        <v>1</v>
      </c>
      <c r="G45" s="438">
        <f>+'GRUPO B'!T12</f>
        <v>0</v>
      </c>
      <c r="H45" s="438">
        <f>+'GRUPO B'!U12</f>
        <v>2</v>
      </c>
      <c r="I45" s="438">
        <f>+'GRUPO B'!V12</f>
        <v>4</v>
      </c>
      <c r="J45" s="438">
        <f>+'GRUPO B'!W12</f>
        <v>5</v>
      </c>
      <c r="K45" s="438">
        <f>+'GRUPO B'!X12</f>
        <v>-1</v>
      </c>
      <c r="L45" s="444">
        <f>+'GRUPO B'!Y12</f>
        <v>0</v>
      </c>
    </row>
    <row r="46" spans="1:13" ht="15" hidden="1" customHeight="1" x14ac:dyDescent="0.3">
      <c r="B46" s="447"/>
      <c r="C46" s="448"/>
      <c r="D46" s="439"/>
      <c r="E46" s="438"/>
      <c r="F46" s="438"/>
      <c r="G46" s="438"/>
      <c r="H46" s="438"/>
      <c r="I46" s="438"/>
      <c r="J46" s="438"/>
      <c r="K46" s="438"/>
      <c r="L46" s="444"/>
    </row>
    <row r="47" spans="1:13" ht="15" hidden="1" customHeight="1" x14ac:dyDescent="0.3">
      <c r="B47" s="447" t="str">
        <f>+'GRUPO B'!P14</f>
        <v xml:space="preserve">  3)  COLEGIO PRINCIPADO DE MONACO</v>
      </c>
      <c r="C47" s="448"/>
      <c r="D47" s="439">
        <f>+'GRUPO B'!Q14</f>
        <v>1</v>
      </c>
      <c r="E47" s="438">
        <f>+'GRUPO B'!R14</f>
        <v>3</v>
      </c>
      <c r="F47" s="438">
        <f>+'GRUPO B'!S14</f>
        <v>0</v>
      </c>
      <c r="G47" s="438">
        <f>+'GRUPO B'!T14</f>
        <v>1</v>
      </c>
      <c r="H47" s="438">
        <f>+'GRUPO B'!U14</f>
        <v>2</v>
      </c>
      <c r="I47" s="438">
        <f>+'GRUPO B'!V14</f>
        <v>7</v>
      </c>
      <c r="J47" s="438">
        <f>+'GRUPO B'!W14</f>
        <v>12</v>
      </c>
      <c r="K47" s="438">
        <f>+'GRUPO B'!X14</f>
        <v>-5</v>
      </c>
      <c r="L47" s="444">
        <f>+'GRUPO B'!Y14</f>
        <v>0</v>
      </c>
    </row>
    <row r="48" spans="1:13" ht="15" hidden="1" customHeight="1" x14ac:dyDescent="0.3">
      <c r="B48" s="447"/>
      <c r="C48" s="448"/>
      <c r="D48" s="439"/>
      <c r="E48" s="438"/>
      <c r="F48" s="438"/>
      <c r="G48" s="438"/>
      <c r="H48" s="438"/>
      <c r="I48" s="438"/>
      <c r="J48" s="438"/>
      <c r="K48" s="438"/>
      <c r="L48" s="444"/>
    </row>
    <row r="49" spans="1:13" hidden="1" x14ac:dyDescent="0.3">
      <c r="B49" s="447">
        <f>+'GRUPO B'!P16</f>
        <v>0</v>
      </c>
      <c r="C49" s="448"/>
      <c r="D49" s="439">
        <f>+'GRUPO B'!Q16</f>
        <v>0</v>
      </c>
      <c r="E49" s="438">
        <f>+'GRUPO B'!R16</f>
        <v>0</v>
      </c>
      <c r="F49" s="438">
        <f>+'GRUPO B'!S16</f>
        <v>0</v>
      </c>
      <c r="G49" s="438">
        <f>+'GRUPO B'!T16</f>
        <v>0</v>
      </c>
      <c r="H49" s="438">
        <f>+'GRUPO B'!U16</f>
        <v>0</v>
      </c>
      <c r="I49" s="438">
        <f>+'GRUPO B'!V16</f>
        <v>0</v>
      </c>
      <c r="J49" s="438">
        <f>+'GRUPO B'!W16</f>
        <v>0</v>
      </c>
      <c r="K49" s="438">
        <f>+'GRUPO B'!X16</f>
        <v>0</v>
      </c>
      <c r="L49" s="444">
        <f>+'GRUPO B'!Y16</f>
        <v>0</v>
      </c>
    </row>
    <row r="50" spans="1:13" ht="15" hidden="1" thickBot="1" x14ac:dyDescent="0.35">
      <c r="B50" s="456"/>
      <c r="C50" s="457"/>
      <c r="D50" s="458"/>
      <c r="E50" s="453"/>
      <c r="F50" s="453"/>
      <c r="G50" s="453"/>
      <c r="H50" s="453"/>
      <c r="I50" s="453"/>
      <c r="J50" s="453"/>
      <c r="K50" s="453"/>
      <c r="L50" s="467"/>
    </row>
    <row r="51" spans="1:13" ht="7.5" hidden="1" customHeight="1" x14ac:dyDescent="0.3"/>
    <row r="52" spans="1:13" ht="23.4" hidden="1" x14ac:dyDescent="0.3">
      <c r="A52" s="443" t="s">
        <v>34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</row>
    <row r="53" spans="1:13" hidden="1" x14ac:dyDescent="0.3"/>
    <row r="54" spans="1:13" ht="33.75" hidden="1" customHeight="1" x14ac:dyDescent="0.3">
      <c r="A54" s="92">
        <f>+'GRUPO C'!B32</f>
        <v>42967</v>
      </c>
      <c r="B54" s="93" t="str">
        <f>+'GRUPO C'!C32</f>
        <v>09:50. a.m.</v>
      </c>
      <c r="C54" s="121" t="str">
        <f>+'GRUPO C'!E32</f>
        <v>NOVATOS F. C.</v>
      </c>
      <c r="D54" s="97"/>
      <c r="E54" s="87" t="s">
        <v>15</v>
      </c>
      <c r="F54" s="97"/>
      <c r="G54" s="441" t="str">
        <f>+'GRUPO C'!K32</f>
        <v>ESCUELA DE FORMACIÓN DEPORTIVA MARACANA</v>
      </c>
      <c r="H54" s="426"/>
      <c r="I54" s="426"/>
      <c r="J54" s="426"/>
      <c r="K54" s="107" t="str">
        <f>+'GRUPO C'!M32</f>
        <v>CANCHA 1 C</v>
      </c>
      <c r="L54" s="107"/>
    </row>
    <row r="55" spans="1:13" ht="17.399999999999999" hidden="1" x14ac:dyDescent="0.3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105"/>
      <c r="L55" s="105"/>
    </row>
    <row r="56" spans="1:13" ht="33.75" hidden="1" customHeight="1" x14ac:dyDescent="0.3">
      <c r="A56" s="95">
        <f>+'GRUPO C'!B35</f>
        <v>0</v>
      </c>
      <c r="B56" s="96">
        <f>+'GRUPO C'!C35</f>
        <v>0</v>
      </c>
      <c r="C56" s="122">
        <f>+'GRUPO C'!E35</f>
        <v>0</v>
      </c>
      <c r="D56" s="97"/>
      <c r="E56" s="87" t="s">
        <v>15</v>
      </c>
      <c r="F56" s="97"/>
      <c r="G56" s="442">
        <f>+'GRUPO C'!K35</f>
        <v>0</v>
      </c>
      <c r="H56" s="427"/>
      <c r="I56" s="427"/>
      <c r="J56" s="427"/>
      <c r="K56" s="110">
        <f>+'GRUPO C'!M35</f>
        <v>0</v>
      </c>
      <c r="L56" s="110"/>
    </row>
    <row r="57" spans="1:13" ht="15" hidden="1" thickBot="1" x14ac:dyDescent="0.35">
      <c r="A57" s="64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</row>
    <row r="58" spans="1:13" ht="15" hidden="1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hidden="1" customHeight="1" x14ac:dyDescent="0.3">
      <c r="B59" s="480" t="str">
        <f>+'PRE BABY GRUPOS'!I6</f>
        <v>GRUPO D</v>
      </c>
      <c r="C59" s="480"/>
      <c r="D59" s="460" t="str">
        <f>+'GRUPO D'!Q8</f>
        <v>Pts.</v>
      </c>
      <c r="E59" s="459" t="str">
        <f>+'GRUPO D'!R8</f>
        <v>PJ</v>
      </c>
      <c r="F59" s="459" t="str">
        <f>+'GRUPO D'!S8</f>
        <v>Gan.</v>
      </c>
      <c r="G59" s="459" t="str">
        <f>+'GRUPO D'!T8</f>
        <v>Emp.</v>
      </c>
      <c r="H59" s="459" t="str">
        <f>+'GRUPO D'!U8</f>
        <v>Per.</v>
      </c>
      <c r="I59" s="459" t="str">
        <f>+'GRUPO D'!V8</f>
        <v>GF</v>
      </c>
      <c r="J59" s="459" t="str">
        <f>+'GRUPO D'!W8</f>
        <v>GC</v>
      </c>
      <c r="K59" s="459" t="str">
        <f>+'GRUPO D'!X8</f>
        <v>Dif.</v>
      </c>
      <c r="L59" s="466" t="str">
        <f>+'GRUPO D'!Y8</f>
        <v>Tj</v>
      </c>
    </row>
    <row r="60" spans="1:13" ht="15.75" hidden="1" customHeight="1" thickBot="1" x14ac:dyDescent="0.35">
      <c r="B60" s="481"/>
      <c r="C60" s="481"/>
      <c r="D60" s="439"/>
      <c r="E60" s="438"/>
      <c r="F60" s="438"/>
      <c r="G60" s="438"/>
      <c r="H60" s="438"/>
      <c r="I60" s="438"/>
      <c r="J60" s="438"/>
      <c r="K60" s="438"/>
      <c r="L60" s="444"/>
    </row>
    <row r="61" spans="1:13" ht="15" hidden="1" customHeight="1" x14ac:dyDescent="0.3">
      <c r="B61" s="445" t="str">
        <f>+'GRUPO D'!P10</f>
        <v xml:space="preserve">  1)  CLUB CAMPESTRE IBAGUE DOS</v>
      </c>
      <c r="C61" s="446"/>
      <c r="D61" s="439">
        <f>+'GRUPO D'!Q10</f>
        <v>7</v>
      </c>
      <c r="E61" s="438">
        <f>+'GRUPO D'!R10</f>
        <v>3</v>
      </c>
      <c r="F61" s="438">
        <f>+'GRUPO D'!S10</f>
        <v>2</v>
      </c>
      <c r="G61" s="438">
        <f>+'GRUPO D'!T10</f>
        <v>1</v>
      </c>
      <c r="H61" s="438">
        <f>+'GRUPO D'!U10</f>
        <v>0</v>
      </c>
      <c r="I61" s="438">
        <f>+'GRUPO D'!V10</f>
        <v>12</v>
      </c>
      <c r="J61" s="438">
        <f>+'GRUPO D'!W10</f>
        <v>9</v>
      </c>
      <c r="K61" s="438">
        <f>+'GRUPO D'!X10</f>
        <v>3</v>
      </c>
      <c r="L61" s="444">
        <f>+'GRUPO D'!Y10</f>
        <v>0</v>
      </c>
    </row>
    <row r="62" spans="1:13" ht="15" hidden="1" customHeight="1" x14ac:dyDescent="0.3">
      <c r="B62" s="447"/>
      <c r="C62" s="448"/>
      <c r="D62" s="439"/>
      <c r="E62" s="438"/>
      <c r="F62" s="438"/>
      <c r="G62" s="438"/>
      <c r="H62" s="438"/>
      <c r="I62" s="438"/>
      <c r="J62" s="438"/>
      <c r="K62" s="438"/>
      <c r="L62" s="444"/>
    </row>
    <row r="63" spans="1:13" ht="15" hidden="1" customHeight="1" x14ac:dyDescent="0.3">
      <c r="B63" s="445" t="str">
        <f>+'GRUPO D'!P12</f>
        <v xml:space="preserve">  2)  CORDOBA Y SERRANO F. C.</v>
      </c>
      <c r="C63" s="446"/>
      <c r="D63" s="439">
        <f>+'GRUPO D'!Q12</f>
        <v>5</v>
      </c>
      <c r="E63" s="438">
        <f>+'GRUPO D'!R12</f>
        <v>3</v>
      </c>
      <c r="F63" s="438">
        <f>+'GRUPO D'!S12</f>
        <v>1</v>
      </c>
      <c r="G63" s="438">
        <f>+'GRUPO D'!T12</f>
        <v>2</v>
      </c>
      <c r="H63" s="438">
        <f>+'GRUPO D'!U12</f>
        <v>0</v>
      </c>
      <c r="I63" s="438">
        <f>+'GRUPO D'!V12</f>
        <v>18</v>
      </c>
      <c r="J63" s="438">
        <f>+'GRUPO D'!W12</f>
        <v>6</v>
      </c>
      <c r="K63" s="438">
        <f>+'GRUPO D'!X12</f>
        <v>12</v>
      </c>
      <c r="L63" s="444">
        <f>+'GRUPO D'!Y12</f>
        <v>0</v>
      </c>
    </row>
    <row r="64" spans="1:13" ht="15" hidden="1" customHeight="1" x14ac:dyDescent="0.3">
      <c r="B64" s="447"/>
      <c r="C64" s="448"/>
      <c r="D64" s="439"/>
      <c r="E64" s="438"/>
      <c r="F64" s="438"/>
      <c r="G64" s="438"/>
      <c r="H64" s="438"/>
      <c r="I64" s="438"/>
      <c r="J64" s="438"/>
      <c r="K64" s="438"/>
      <c r="L64" s="444"/>
    </row>
    <row r="65" spans="1:13" ht="15" hidden="1" customHeight="1" x14ac:dyDescent="0.3">
      <c r="B65" s="445" t="str">
        <f>+'GRUPO D'!P14</f>
        <v xml:space="preserve">  3)  ESCUELA DEPORTIVA DE FÚTBOL RAQUIRA</v>
      </c>
      <c r="C65" s="446"/>
      <c r="D65" s="439">
        <f>+'GRUPO D'!Q14</f>
        <v>3</v>
      </c>
      <c r="E65" s="438">
        <f>+'GRUPO D'!R14</f>
        <v>3</v>
      </c>
      <c r="F65" s="438">
        <f>+'GRUPO D'!S14</f>
        <v>1</v>
      </c>
      <c r="G65" s="438">
        <f>+'GRUPO D'!T14</f>
        <v>0</v>
      </c>
      <c r="H65" s="438">
        <f>+'GRUPO D'!U14</f>
        <v>2</v>
      </c>
      <c r="I65" s="438">
        <f>+'GRUPO D'!V14</f>
        <v>5</v>
      </c>
      <c r="J65" s="438">
        <f>+'GRUPO D'!W14</f>
        <v>17</v>
      </c>
      <c r="K65" s="438">
        <f>+'GRUPO D'!X14</f>
        <v>-12</v>
      </c>
      <c r="L65" s="444">
        <f>+'GRUPO D'!Y14</f>
        <v>0</v>
      </c>
    </row>
    <row r="66" spans="1:13" ht="15" hidden="1" customHeight="1" x14ac:dyDescent="0.3">
      <c r="B66" s="447"/>
      <c r="C66" s="448"/>
      <c r="D66" s="439"/>
      <c r="E66" s="438"/>
      <c r="F66" s="438"/>
      <c r="G66" s="438"/>
      <c r="H66" s="438"/>
      <c r="I66" s="438"/>
      <c r="J66" s="438"/>
      <c r="K66" s="438"/>
      <c r="L66" s="444"/>
    </row>
    <row r="67" spans="1:13" ht="15" hidden="1" customHeight="1" x14ac:dyDescent="0.3">
      <c r="B67" s="445">
        <f>+'GRUPO D'!P16</f>
        <v>0</v>
      </c>
      <c r="C67" s="446"/>
      <c r="D67" s="439">
        <f>+'GRUPO D'!Q16</f>
        <v>0</v>
      </c>
      <c r="E67" s="438">
        <f>+'GRUPO D'!R16</f>
        <v>0</v>
      </c>
      <c r="F67" s="438">
        <f>+'GRUPO D'!S16</f>
        <v>0</v>
      </c>
      <c r="G67" s="438">
        <f>+'GRUPO D'!T16</f>
        <v>0</v>
      </c>
      <c r="H67" s="438">
        <f>+'GRUPO D'!U16</f>
        <v>0</v>
      </c>
      <c r="I67" s="438">
        <f>+'GRUPO D'!V16</f>
        <v>0</v>
      </c>
      <c r="J67" s="438">
        <f>+'GRUPO D'!W16</f>
        <v>0</v>
      </c>
      <c r="K67" s="438">
        <f>+'GRUPO D'!X16</f>
        <v>0</v>
      </c>
      <c r="L67" s="444">
        <f>+'GRUPO D'!Y16</f>
        <v>0</v>
      </c>
    </row>
    <row r="68" spans="1:13" ht="15.75" hidden="1" customHeight="1" thickBot="1" x14ac:dyDescent="0.35">
      <c r="B68" s="447"/>
      <c r="C68" s="448"/>
      <c r="D68" s="458"/>
      <c r="E68" s="453"/>
      <c r="F68" s="453"/>
      <c r="G68" s="453"/>
      <c r="H68" s="453"/>
      <c r="I68" s="453"/>
      <c r="J68" s="453"/>
      <c r="K68" s="453"/>
      <c r="L68" s="467"/>
    </row>
    <row r="69" spans="1:13" hidden="1" x14ac:dyDescent="0.3"/>
    <row r="70" spans="1:13" ht="23.4" hidden="1" x14ac:dyDescent="0.3">
      <c r="A70" s="443" t="s">
        <v>34</v>
      </c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</row>
    <row r="71" spans="1:13" hidden="1" x14ac:dyDescent="0.3"/>
    <row r="72" spans="1:13" ht="33.75" hidden="1" customHeight="1" x14ac:dyDescent="0.3">
      <c r="A72" s="92">
        <f>+'GRUPO D'!B32</f>
        <v>42966</v>
      </c>
      <c r="B72" s="93" t="str">
        <f>+'GRUPO D'!C32</f>
        <v>12:40. p.m.</v>
      </c>
      <c r="C72" s="121" t="str">
        <f>+'GRUPO D'!E32</f>
        <v>CLUB CAMPESTRE IBAGUE DOS</v>
      </c>
      <c r="D72" s="97"/>
      <c r="E72" s="87" t="s">
        <v>15</v>
      </c>
      <c r="F72" s="97"/>
      <c r="G72" s="441" t="str">
        <f>+'GRUPO D'!K32</f>
        <v>CORDOBA Y SERRANO F. C.</v>
      </c>
      <c r="H72" s="426"/>
      <c r="I72" s="426"/>
      <c r="J72" s="426"/>
      <c r="K72" s="107" t="str">
        <f>+'GRUPO D'!M32</f>
        <v>CANCHA 1 A</v>
      </c>
      <c r="L72" s="107"/>
    </row>
    <row r="73" spans="1:13" ht="17.399999999999999" hidden="1" x14ac:dyDescent="0.3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105"/>
      <c r="L73" s="105"/>
    </row>
    <row r="74" spans="1:13" ht="33.75" hidden="1" customHeight="1" x14ac:dyDescent="0.3">
      <c r="A74" s="95">
        <f>+'GRUPO D'!B35</f>
        <v>0</v>
      </c>
      <c r="B74" s="96" t="str">
        <f>+'GRUPO D'!C32</f>
        <v>12:40. p.m.</v>
      </c>
      <c r="C74" s="122">
        <f>+'GRUPO D'!E35</f>
        <v>0</v>
      </c>
      <c r="D74" s="97"/>
      <c r="E74" s="87" t="s">
        <v>15</v>
      </c>
      <c r="F74" s="97"/>
      <c r="G74" s="442">
        <f>+'GRUPO D'!K35</f>
        <v>0</v>
      </c>
      <c r="H74" s="427"/>
      <c r="I74" s="427"/>
      <c r="J74" s="427"/>
      <c r="K74" s="110">
        <f>+'GRUPO D'!M35</f>
        <v>0</v>
      </c>
      <c r="L74" s="110"/>
    </row>
    <row r="75" spans="1:13" x14ac:dyDescent="0.3">
      <c r="A75" s="440" t="s">
        <v>32</v>
      </c>
      <c r="B75" s="440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</row>
    <row r="76" spans="1:13" x14ac:dyDescent="0.3">
      <c r="A76" s="440"/>
      <c r="B76" s="440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</row>
    <row r="77" spans="1:13" x14ac:dyDescent="0.3">
      <c r="A77" s="440"/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</row>
    <row r="78" spans="1:13" x14ac:dyDescent="0.3">
      <c r="A78" s="420" t="s">
        <v>28</v>
      </c>
      <c r="B78" s="420"/>
      <c r="C78" s="420"/>
      <c r="D78" s="420"/>
      <c r="E78" s="420"/>
      <c r="F78" s="420"/>
      <c r="G78" s="420"/>
      <c r="H78" s="420"/>
      <c r="I78" s="420"/>
      <c r="J78" s="420"/>
      <c r="K78" s="420"/>
      <c r="L78" s="420"/>
      <c r="M78" s="420"/>
    </row>
    <row r="79" spans="1:13" x14ac:dyDescent="0.3">
      <c r="A79" s="420" t="s">
        <v>29</v>
      </c>
      <c r="B79" s="420"/>
      <c r="C79" s="420"/>
      <c r="D79" s="420"/>
      <c r="E79" s="420"/>
      <c r="F79" s="420"/>
      <c r="G79" s="420"/>
      <c r="H79" s="420"/>
      <c r="I79" s="420"/>
      <c r="J79" s="420"/>
      <c r="K79" s="420"/>
      <c r="L79" s="420"/>
      <c r="M79" s="420"/>
    </row>
    <row r="80" spans="1:13" x14ac:dyDescent="0.3">
      <c r="A80" s="421" t="s">
        <v>30</v>
      </c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</row>
    <row r="81" spans="1:13" x14ac:dyDescent="0.3">
      <c r="A81" s="420" t="s">
        <v>31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A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8" t="s">
        <v>5</v>
      </c>
      <c r="C1" s="58"/>
    </row>
    <row r="2" spans="2:12" ht="40.5" customHeight="1" x14ac:dyDescent="0.5">
      <c r="B2" s="60" t="s">
        <v>6</v>
      </c>
      <c r="C2" s="60"/>
      <c r="D2" s="60"/>
      <c r="E2" s="60"/>
      <c r="F2" s="60"/>
      <c r="G2" s="60"/>
      <c r="H2" s="60"/>
      <c r="I2" s="60"/>
      <c r="J2" s="60"/>
      <c r="K2" s="60"/>
    </row>
    <row r="3" spans="2:12" ht="41.25" customHeight="1" x14ac:dyDescent="0.6">
      <c r="G3" s="82" t="e">
        <f>+'PRE BABY GRUPOS'!#REF!</f>
        <v>#REF!</v>
      </c>
    </row>
    <row r="4" spans="2:12" ht="29.25" customHeight="1" x14ac:dyDescent="0.6">
      <c r="C4" s="62"/>
      <c r="D4" s="63"/>
      <c r="E4" s="63"/>
      <c r="F4" s="63"/>
      <c r="G4" s="100" t="str">
        <f>+'PRE BABY GRUPOS'!C3</f>
        <v>NACIDOS 2012 2013</v>
      </c>
      <c r="I4" s="63"/>
      <c r="J4" s="63"/>
      <c r="K4" s="63"/>
    </row>
    <row r="5" spans="2:12" ht="15" hidden="1" customHeight="1" thickBot="1" x14ac:dyDescent="0.65">
      <c r="C5" s="62"/>
      <c r="D5" s="63"/>
      <c r="E5" s="63"/>
      <c r="F5" s="63"/>
      <c r="G5" s="63"/>
      <c r="H5" s="63"/>
      <c r="I5" s="63"/>
      <c r="J5" s="63"/>
      <c r="K5" s="63"/>
    </row>
    <row r="6" spans="2:12" ht="15" hidden="1" customHeight="1" x14ac:dyDescent="0.3">
      <c r="B6" s="449" t="str">
        <f>+'PRE BABY GRUPOS'!C6</f>
        <v>GRUPO A</v>
      </c>
      <c r="C6" s="450"/>
      <c r="D6" s="460" t="e">
        <f>+'GRUPO A'!Q20:Q21</f>
        <v>#VALUE!</v>
      </c>
      <c r="E6" s="459" t="e">
        <f>+'GRUPO A'!R20:R21</f>
        <v>#VALUE!</v>
      </c>
      <c r="F6" s="459" t="e">
        <f>+'GRUPO A'!S20:S21</f>
        <v>#VALUE!</v>
      </c>
      <c r="G6" s="459" t="e">
        <f>+'GRUPO A'!T20:T21</f>
        <v>#VALUE!</v>
      </c>
      <c r="H6" s="459" t="e">
        <f>+'GRUPO A'!U20:U21</f>
        <v>#VALUE!</v>
      </c>
      <c r="I6" s="459" t="e">
        <f>+'GRUPO A'!V20:V21</f>
        <v>#VALUE!</v>
      </c>
      <c r="J6" s="459" t="e">
        <f>+'GRUPO A'!W20:W21</f>
        <v>#VALUE!</v>
      </c>
      <c r="K6" s="459" t="e">
        <f>+'GRUPO A'!X20:X21</f>
        <v>#VALUE!</v>
      </c>
      <c r="L6" s="466" t="e">
        <f>+'GRUPO A'!Y20:Y21</f>
        <v>#VALUE!</v>
      </c>
    </row>
    <row r="7" spans="2:12" ht="15" hidden="1" customHeight="1" thickBot="1" x14ac:dyDescent="0.35">
      <c r="B7" s="451"/>
      <c r="C7" s="452"/>
      <c r="D7" s="458"/>
      <c r="E7" s="453"/>
      <c r="F7" s="453"/>
      <c r="G7" s="453"/>
      <c r="H7" s="453"/>
      <c r="I7" s="453"/>
      <c r="J7" s="453"/>
      <c r="K7" s="453"/>
      <c r="L7" s="467"/>
    </row>
    <row r="8" spans="2:12" ht="22.65" hidden="1" customHeight="1" x14ac:dyDescent="0.3">
      <c r="B8" s="454" t="e">
        <f>+'GRUPO A'!P22:P23</f>
        <v>#VALUE!</v>
      </c>
      <c r="C8" s="455"/>
      <c r="D8" s="460" t="e">
        <f>+'GRUPO A'!Q22:Q23</f>
        <v>#VALUE!</v>
      </c>
      <c r="E8" s="459" t="e">
        <f>+'GRUPO A'!R22:R23</f>
        <v>#VALUE!</v>
      </c>
      <c r="F8" s="459" t="e">
        <f>+'GRUPO A'!S22:S23</f>
        <v>#VALUE!</v>
      </c>
      <c r="G8" s="459" t="e">
        <f>+'GRUPO A'!T22:T23</f>
        <v>#VALUE!</v>
      </c>
      <c r="H8" s="459" t="e">
        <f>+'GRUPO A'!U22:U23</f>
        <v>#VALUE!</v>
      </c>
      <c r="I8" s="459" t="e">
        <f>+'GRUPO A'!V22:V23</f>
        <v>#VALUE!</v>
      </c>
      <c r="J8" s="459" t="e">
        <f>+'GRUPO A'!W22:W23</f>
        <v>#VALUE!</v>
      </c>
      <c r="K8" s="459" t="e">
        <f>+'GRUPO A'!X22:X23</f>
        <v>#VALUE!</v>
      </c>
      <c r="L8" s="468" t="e">
        <f>+'GRUPO A'!Y22:Y23</f>
        <v>#VALUE!</v>
      </c>
    </row>
    <row r="9" spans="2:12" ht="11.1" hidden="1" customHeight="1" x14ac:dyDescent="0.3">
      <c r="B9" s="447"/>
      <c r="C9" s="448"/>
      <c r="D9" s="439"/>
      <c r="E9" s="438"/>
      <c r="F9" s="438"/>
      <c r="G9" s="438"/>
      <c r="H9" s="438"/>
      <c r="I9" s="438"/>
      <c r="J9" s="438"/>
      <c r="K9" s="438"/>
      <c r="L9" s="469"/>
    </row>
    <row r="10" spans="2:12" ht="22.65" hidden="1" customHeight="1" x14ac:dyDescent="0.3">
      <c r="B10" s="447" t="e">
        <f>+'GRUPO A'!P24:P25</f>
        <v>#VALUE!</v>
      </c>
      <c r="C10" s="448"/>
      <c r="D10" s="439" t="e">
        <f>+'GRUPO A'!Q24:Q25</f>
        <v>#VALUE!</v>
      </c>
      <c r="E10" s="438" t="e">
        <f>+'GRUPO A'!R24:R25</f>
        <v>#VALUE!</v>
      </c>
      <c r="F10" s="438" t="e">
        <f>+'GRUPO A'!S24:S25</f>
        <v>#VALUE!</v>
      </c>
      <c r="G10" s="438" t="e">
        <f>+'GRUPO A'!T24:T25</f>
        <v>#VALUE!</v>
      </c>
      <c r="H10" s="438" t="e">
        <f>+'GRUPO A'!U24:U25</f>
        <v>#VALUE!</v>
      </c>
      <c r="I10" s="438" t="e">
        <f>+'GRUPO A'!V24:V25</f>
        <v>#VALUE!</v>
      </c>
      <c r="J10" s="438" t="e">
        <f>+'GRUPO A'!W24:W25</f>
        <v>#VALUE!</v>
      </c>
      <c r="K10" s="438" t="e">
        <f>+'GRUPO A'!X24:X25</f>
        <v>#VALUE!</v>
      </c>
      <c r="L10" s="469" t="e">
        <f>+'GRUPO A'!Y24:Y25</f>
        <v>#VALUE!</v>
      </c>
    </row>
    <row r="11" spans="2:12" ht="11.1" hidden="1" customHeight="1" x14ac:dyDescent="0.3">
      <c r="B11" s="447"/>
      <c r="C11" s="448"/>
      <c r="D11" s="439"/>
      <c r="E11" s="438"/>
      <c r="F11" s="438"/>
      <c r="G11" s="438"/>
      <c r="H11" s="438"/>
      <c r="I11" s="438"/>
      <c r="J11" s="438"/>
      <c r="K11" s="438"/>
      <c r="L11" s="469"/>
    </row>
    <row r="12" spans="2:12" ht="22.65" hidden="1" customHeight="1" x14ac:dyDescent="0.3">
      <c r="B12" s="447" t="e">
        <f>+'GRUPO A'!P26:P27</f>
        <v>#VALUE!</v>
      </c>
      <c r="C12" s="448"/>
      <c r="D12" s="439" t="e">
        <f>+'GRUPO A'!Q26:Q27</f>
        <v>#VALUE!</v>
      </c>
      <c r="E12" s="438" t="e">
        <f>+'GRUPO A'!R26:R27</f>
        <v>#VALUE!</v>
      </c>
      <c r="F12" s="438" t="e">
        <f>+'GRUPO A'!S26:S27</f>
        <v>#VALUE!</v>
      </c>
      <c r="G12" s="438" t="e">
        <f>+'GRUPO A'!T26:T27</f>
        <v>#VALUE!</v>
      </c>
      <c r="H12" s="438" t="e">
        <f>+'GRUPO A'!U26:U27</f>
        <v>#VALUE!</v>
      </c>
      <c r="I12" s="438" t="e">
        <f>+'GRUPO A'!V26:V27</f>
        <v>#VALUE!</v>
      </c>
      <c r="J12" s="438" t="e">
        <f>+'GRUPO A'!W26:W27</f>
        <v>#VALUE!</v>
      </c>
      <c r="K12" s="438" t="e">
        <f>+'GRUPO A'!X26:X27</f>
        <v>#VALUE!</v>
      </c>
      <c r="L12" s="469" t="e">
        <f>+'GRUPO A'!Y26:Y27</f>
        <v>#VALUE!</v>
      </c>
    </row>
    <row r="13" spans="2:12" ht="11.1" hidden="1" customHeight="1" x14ac:dyDescent="0.3">
      <c r="B13" s="447"/>
      <c r="C13" s="448"/>
      <c r="D13" s="439"/>
      <c r="E13" s="438"/>
      <c r="F13" s="438"/>
      <c r="G13" s="438"/>
      <c r="H13" s="438"/>
      <c r="I13" s="438"/>
      <c r="J13" s="438"/>
      <c r="K13" s="438"/>
      <c r="L13" s="469"/>
    </row>
    <row r="14" spans="2:12" ht="22.65" hidden="1" customHeight="1" x14ac:dyDescent="0.3">
      <c r="B14" s="447" t="e">
        <f>+'GRUPO A'!P28:P29</f>
        <v>#VALUE!</v>
      </c>
      <c r="C14" s="448"/>
      <c r="D14" s="439" t="e">
        <f>+'GRUPO A'!Q28:Q29</f>
        <v>#VALUE!</v>
      </c>
      <c r="E14" s="438" t="e">
        <f>+'GRUPO A'!R28:R29</f>
        <v>#VALUE!</v>
      </c>
      <c r="F14" s="438" t="e">
        <f>+'GRUPO A'!S28:S29</f>
        <v>#VALUE!</v>
      </c>
      <c r="G14" s="438" t="e">
        <f>+'GRUPO A'!T28:T29</f>
        <v>#VALUE!</v>
      </c>
      <c r="H14" s="438" t="e">
        <f>+'GRUPO A'!U28:U29</f>
        <v>#VALUE!</v>
      </c>
      <c r="I14" s="438" t="e">
        <f>+'GRUPO A'!V28:V29</f>
        <v>#VALUE!</v>
      </c>
      <c r="J14" s="438" t="e">
        <f>+'GRUPO A'!W28:W29</f>
        <v>#VALUE!</v>
      </c>
      <c r="K14" s="438" t="e">
        <f>+'GRUPO A'!X28:X29</f>
        <v>#VALUE!</v>
      </c>
      <c r="L14" s="469" t="e">
        <f>+'GRUPO A'!Y28:Y29</f>
        <v>#VALUE!</v>
      </c>
    </row>
    <row r="15" spans="2:12" ht="11.1" hidden="1" customHeight="1" thickBot="1" x14ac:dyDescent="0.35">
      <c r="B15" s="456"/>
      <c r="C15" s="457"/>
      <c r="D15" s="458"/>
      <c r="E15" s="453"/>
      <c r="F15" s="453"/>
      <c r="G15" s="453"/>
      <c r="H15" s="453"/>
      <c r="I15" s="453"/>
      <c r="J15" s="453"/>
      <c r="K15" s="453"/>
      <c r="L15" s="470"/>
    </row>
    <row r="16" spans="2:12" ht="7.5" hidden="1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hidden="1" customHeight="1" x14ac:dyDescent="0.3">
      <c r="A17" s="443" t="s">
        <v>34</v>
      </c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</row>
    <row r="18" spans="1:13" ht="7.5" hidden="1" customHeight="1" x14ac:dyDescent="0.3"/>
    <row r="19" spans="1:13" ht="33.75" hidden="1" customHeight="1" x14ac:dyDescent="0.3">
      <c r="A19" s="92">
        <f>+'GRUPO A'!B32</f>
        <v>42967</v>
      </c>
      <c r="B19" s="93" t="str">
        <f>+'GRUPO A'!C32</f>
        <v>09:50. a.m.</v>
      </c>
      <c r="C19" s="121" t="str">
        <f>+'GRUPO A'!E32</f>
        <v>CLUB LOS PAPETICOS</v>
      </c>
      <c r="D19" s="97"/>
      <c r="E19" s="87" t="s">
        <v>15</v>
      </c>
      <c r="F19" s="97"/>
      <c r="G19" s="441" t="str">
        <f>+'GRUPO A'!K32</f>
        <v>CLUB CAMPESTRE IBAGUE UNO</v>
      </c>
      <c r="H19" s="426"/>
      <c r="I19" s="426"/>
      <c r="J19" s="426"/>
      <c r="K19" s="107" t="str">
        <f>+'GRUPO A'!M32</f>
        <v>CANCHA 1 A</v>
      </c>
      <c r="L19" s="94"/>
    </row>
    <row r="20" spans="1:13" ht="7.5" hidden="1" customHeight="1" x14ac:dyDescent="0.35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105"/>
      <c r="L20" s="86"/>
    </row>
    <row r="21" spans="1:13" ht="33.75" hidden="1" customHeight="1" x14ac:dyDescent="0.3">
      <c r="A21" s="95">
        <f>+'GRUPO A'!B35</f>
        <v>0</v>
      </c>
      <c r="B21" s="96">
        <f>+'GRUPO A'!C35</f>
        <v>0</v>
      </c>
      <c r="C21" s="122">
        <f>+'GRUPO A'!E35</f>
        <v>0</v>
      </c>
      <c r="D21" s="97"/>
      <c r="E21" s="87" t="s">
        <v>15</v>
      </c>
      <c r="F21" s="97"/>
      <c r="G21" s="442">
        <f>+'GRUPO A'!K35</f>
        <v>0</v>
      </c>
      <c r="H21" s="427"/>
      <c r="I21" s="427"/>
      <c r="J21" s="427"/>
      <c r="K21" s="106">
        <f>+'GRUPO A'!M35</f>
        <v>0</v>
      </c>
      <c r="L21" s="98"/>
    </row>
    <row r="22" spans="1:13" ht="7.5" hidden="1" customHeight="1" thickBot="1" x14ac:dyDescent="0.35">
      <c r="A22" s="64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</row>
    <row r="23" spans="1:13" ht="15" hidden="1" customHeight="1" x14ac:dyDescent="0.3">
      <c r="B23" s="472" t="str">
        <f>+'PRE BABY GRUPOS'!E6</f>
        <v>GRUPO B</v>
      </c>
      <c r="C23" s="473"/>
      <c r="D23" s="476" t="str">
        <f>+'GRUPO B'!Q8</f>
        <v>Pts.</v>
      </c>
      <c r="E23" s="478" t="str">
        <f>+'GRUPO B'!R8</f>
        <v>PJ</v>
      </c>
      <c r="F23" s="478" t="str">
        <f>+'GRUPO B'!S8</f>
        <v>Gan.</v>
      </c>
      <c r="G23" s="478" t="str">
        <f>+'GRUPO B'!T8</f>
        <v>Emp.</v>
      </c>
      <c r="H23" s="478" t="str">
        <f>+'GRUPO B'!U8</f>
        <v>Per.</v>
      </c>
      <c r="I23" s="478" t="str">
        <f>+'GRUPO B'!V8</f>
        <v>GF</v>
      </c>
      <c r="J23" s="478" t="str">
        <f>+'GRUPO B'!W8</f>
        <v>GC</v>
      </c>
      <c r="K23" s="478" t="str">
        <f>+'GRUPO B'!X8</f>
        <v>Dif.</v>
      </c>
      <c r="L23" s="466" t="str">
        <f>+'GRUPO B'!Y8</f>
        <v>Tj</v>
      </c>
    </row>
    <row r="24" spans="1:13" ht="15" hidden="1" customHeight="1" thickBot="1" x14ac:dyDescent="0.35">
      <c r="B24" s="474"/>
      <c r="C24" s="475"/>
      <c r="D24" s="477"/>
      <c r="E24" s="479"/>
      <c r="F24" s="479"/>
      <c r="G24" s="479"/>
      <c r="H24" s="479"/>
      <c r="I24" s="479"/>
      <c r="J24" s="479"/>
      <c r="K24" s="479"/>
      <c r="L24" s="467"/>
    </row>
    <row r="25" spans="1:13" ht="10.5" hidden="1" customHeight="1" x14ac:dyDescent="0.3">
      <c r="B25" s="454" t="str">
        <f>+'GRUPO B'!P10</f>
        <v xml:space="preserve">  1)  CLUB ARIEL ARMEL</v>
      </c>
      <c r="C25" s="471"/>
      <c r="D25" s="460">
        <f>+'GRUPO B'!Q10</f>
        <v>4</v>
      </c>
      <c r="E25" s="459">
        <f>+'GRUPO B'!R10</f>
        <v>3</v>
      </c>
      <c r="F25" s="459">
        <f>+'GRUPO B'!S10</f>
        <v>1</v>
      </c>
      <c r="G25" s="459">
        <f>+'GRUPO B'!T10</f>
        <v>1</v>
      </c>
      <c r="H25" s="459">
        <f>+'GRUPO B'!U10</f>
        <v>1</v>
      </c>
      <c r="I25" s="459">
        <f>+'GRUPO B'!V10</f>
        <v>7</v>
      </c>
      <c r="J25" s="459">
        <f>+'GRUPO B'!W10</f>
        <v>4</v>
      </c>
      <c r="K25" s="459">
        <f>+'GRUPO B'!X10</f>
        <v>3</v>
      </c>
      <c r="L25" s="466">
        <f>+'GRUPO B'!Y10</f>
        <v>0</v>
      </c>
    </row>
    <row r="26" spans="1:13" ht="22.5" hidden="1" customHeight="1" x14ac:dyDescent="0.3">
      <c r="B26" s="447"/>
      <c r="C26" s="465"/>
      <c r="D26" s="439"/>
      <c r="E26" s="438"/>
      <c r="F26" s="438"/>
      <c r="G26" s="438"/>
      <c r="H26" s="438"/>
      <c r="I26" s="438"/>
      <c r="J26" s="438"/>
      <c r="K26" s="438"/>
      <c r="L26" s="444"/>
    </row>
    <row r="27" spans="1:13" ht="10.5" hidden="1" customHeight="1" x14ac:dyDescent="0.3">
      <c r="B27" s="447" t="str">
        <f>+'GRUPO B'!P12</f>
        <v xml:space="preserve">  2)  CENTAUROS DEL ARIARI</v>
      </c>
      <c r="C27" s="465"/>
      <c r="D27" s="439">
        <f>+'GRUPO B'!Q12</f>
        <v>3</v>
      </c>
      <c r="E27" s="438">
        <f>+'GRUPO B'!R12</f>
        <v>3</v>
      </c>
      <c r="F27" s="438">
        <f>+'GRUPO B'!S12</f>
        <v>1</v>
      </c>
      <c r="G27" s="438">
        <f>+'GRUPO B'!T12</f>
        <v>0</v>
      </c>
      <c r="H27" s="438">
        <f>+'GRUPO B'!U12</f>
        <v>2</v>
      </c>
      <c r="I27" s="438">
        <f>+'GRUPO B'!V12</f>
        <v>4</v>
      </c>
      <c r="J27" s="438">
        <f>+'GRUPO B'!W12</f>
        <v>5</v>
      </c>
      <c r="K27" s="438">
        <f>+'GRUPO B'!X12</f>
        <v>-1</v>
      </c>
      <c r="L27" s="444">
        <f>+'GRUPO B'!Y12</f>
        <v>0</v>
      </c>
    </row>
    <row r="28" spans="1:13" ht="22.5" hidden="1" customHeight="1" x14ac:dyDescent="0.3">
      <c r="B28" s="447"/>
      <c r="C28" s="465"/>
      <c r="D28" s="439"/>
      <c r="E28" s="438"/>
      <c r="F28" s="438"/>
      <c r="G28" s="438"/>
      <c r="H28" s="438"/>
      <c r="I28" s="438"/>
      <c r="J28" s="438"/>
      <c r="K28" s="438"/>
      <c r="L28" s="444"/>
    </row>
    <row r="29" spans="1:13" ht="22.5" hidden="1" customHeight="1" x14ac:dyDescent="0.3">
      <c r="B29" s="447" t="str">
        <f>+'GRUPO B'!P14</f>
        <v xml:space="preserve">  3)  COLEGIO PRINCIPADO DE MONACO</v>
      </c>
      <c r="C29" s="465"/>
      <c r="D29" s="439">
        <f>+'GRUPO B'!Q14</f>
        <v>1</v>
      </c>
      <c r="E29" s="438">
        <f>+'GRUPO B'!R14</f>
        <v>3</v>
      </c>
      <c r="F29" s="438">
        <f>+'GRUPO B'!S14</f>
        <v>0</v>
      </c>
      <c r="G29" s="438">
        <f>+'GRUPO B'!T14</f>
        <v>1</v>
      </c>
      <c r="H29" s="438">
        <f>+'GRUPO B'!U14</f>
        <v>2</v>
      </c>
      <c r="I29" s="438">
        <f>+'GRUPO B'!V14</f>
        <v>7</v>
      </c>
      <c r="J29" s="438">
        <f>+'GRUPO B'!W14</f>
        <v>12</v>
      </c>
      <c r="K29" s="438">
        <f>+'GRUPO B'!X14</f>
        <v>-5</v>
      </c>
      <c r="L29" s="444">
        <f>+'GRUPO B'!Y14</f>
        <v>0</v>
      </c>
    </row>
    <row r="30" spans="1:13" ht="11.1" hidden="1" customHeight="1" x14ac:dyDescent="0.3">
      <c r="B30" s="447"/>
      <c r="C30" s="465"/>
      <c r="D30" s="439"/>
      <c r="E30" s="438"/>
      <c r="F30" s="438"/>
      <c r="G30" s="438"/>
      <c r="H30" s="438"/>
      <c r="I30" s="438"/>
      <c r="J30" s="438"/>
      <c r="K30" s="438"/>
      <c r="L30" s="444"/>
    </row>
    <row r="31" spans="1:13" ht="22.5" hidden="1" customHeight="1" x14ac:dyDescent="0.3">
      <c r="B31" s="447">
        <f>+'GRUPO B'!P16</f>
        <v>0</v>
      </c>
      <c r="C31" s="465"/>
      <c r="D31" s="439">
        <f>+'GRUPO B'!Q16</f>
        <v>0</v>
      </c>
      <c r="E31" s="438">
        <f>+'GRUPO B'!R16</f>
        <v>0</v>
      </c>
      <c r="F31" s="438">
        <f>+'GRUPO B'!S16</f>
        <v>0</v>
      </c>
      <c r="G31" s="438">
        <f>+'GRUPO B'!T16</f>
        <v>0</v>
      </c>
      <c r="H31" s="438">
        <f>+'GRUPO B'!U16</f>
        <v>0</v>
      </c>
      <c r="I31" s="438">
        <f>+'GRUPO B'!V16</f>
        <v>0</v>
      </c>
      <c r="J31" s="438">
        <f>+'GRUPO B'!W16</f>
        <v>0</v>
      </c>
      <c r="K31" s="438">
        <f>+'GRUPO B'!X16</f>
        <v>0</v>
      </c>
      <c r="L31" s="444">
        <f>+'GRUPO B'!Y16</f>
        <v>0</v>
      </c>
    </row>
    <row r="32" spans="1:13" ht="11.1" hidden="1" customHeight="1" thickBot="1" x14ac:dyDescent="0.35">
      <c r="B32" s="456"/>
      <c r="C32" s="482"/>
      <c r="D32" s="458"/>
      <c r="E32" s="453"/>
      <c r="F32" s="453"/>
      <c r="G32" s="453"/>
      <c r="H32" s="453"/>
      <c r="I32" s="453"/>
      <c r="J32" s="453"/>
      <c r="K32" s="453"/>
      <c r="L32" s="467"/>
    </row>
    <row r="33" spans="1:13" ht="7.5" hidden="1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hidden="1" customHeight="1" x14ac:dyDescent="0.3">
      <c r="A34" s="443" t="s">
        <v>34</v>
      </c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</row>
    <row r="35" spans="1:13" ht="7.5" hidden="1" customHeight="1" x14ac:dyDescent="0.3"/>
    <row r="36" spans="1:13" ht="33.75" hidden="1" customHeight="1" x14ac:dyDescent="0.3">
      <c r="A36" s="92">
        <f>+'GRUPO B'!B32</f>
        <v>42965</v>
      </c>
      <c r="B36" s="93" t="str">
        <f>+'GRUPO B'!C32</f>
        <v>04:30. p.m.</v>
      </c>
      <c r="C36" s="121" t="str">
        <f>+'GRUPO B'!E32</f>
        <v>CLUB ARIEL ARMEL</v>
      </c>
      <c r="D36" s="97"/>
      <c r="E36" s="87" t="s">
        <v>15</v>
      </c>
      <c r="F36" s="97"/>
      <c r="G36" s="441" t="str">
        <f>+'GRUPO B'!K32</f>
        <v>CENTAUROS DEL ARIARI</v>
      </c>
      <c r="H36" s="426"/>
      <c r="I36" s="426"/>
      <c r="J36" s="426"/>
      <c r="K36" s="107" t="str">
        <f>+'GRUPO B'!M32</f>
        <v>CANCHA 1 A</v>
      </c>
      <c r="L36" s="94"/>
    </row>
    <row r="37" spans="1:13" ht="7.5" hidden="1" customHeight="1" x14ac:dyDescent="0.35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105"/>
      <c r="L37" s="86"/>
    </row>
    <row r="38" spans="1:13" ht="33.75" hidden="1" customHeight="1" x14ac:dyDescent="0.3">
      <c r="A38" s="95">
        <f>+'GRUPO B'!B35</f>
        <v>0</v>
      </c>
      <c r="B38" s="96" t="str">
        <f>+'GRUPO B'!C32</f>
        <v>04:30. p.m.</v>
      </c>
      <c r="C38" s="122">
        <f>+'GRUPO B'!E35</f>
        <v>0</v>
      </c>
      <c r="D38" s="142"/>
      <c r="E38" s="87" t="s">
        <v>15</v>
      </c>
      <c r="F38" s="142"/>
      <c r="G38" s="442">
        <f>+'GRUPO B'!K35</f>
        <v>0</v>
      </c>
      <c r="H38" s="427"/>
      <c r="I38" s="427"/>
      <c r="J38" s="427"/>
      <c r="K38" s="106">
        <f>+'GRUPO B'!M35</f>
        <v>0</v>
      </c>
      <c r="L38" s="98"/>
    </row>
    <row r="39" spans="1:13" ht="7.5" customHeight="1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7.5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customHeight="1" x14ac:dyDescent="0.3">
      <c r="B41" s="461" t="str">
        <f>+'PRE BABY GRUPOS'!G6</f>
        <v>GRUPO C</v>
      </c>
      <c r="C41" s="462"/>
      <c r="D41" s="460" t="str">
        <f>+'GRUPO B'!Q8</f>
        <v>Pts.</v>
      </c>
      <c r="E41" s="459" t="str">
        <f>+'GRUPO B'!R8</f>
        <v>PJ</v>
      </c>
      <c r="F41" s="459" t="str">
        <f>+'GRUPO B'!S8</f>
        <v>Gan.</v>
      </c>
      <c r="G41" s="459" t="str">
        <f>+'GRUPO B'!T8</f>
        <v>Emp.</v>
      </c>
      <c r="H41" s="459" t="str">
        <f>+'GRUPO B'!U8</f>
        <v>Per.</v>
      </c>
      <c r="I41" s="459" t="str">
        <f>+'GRUPO B'!V8</f>
        <v>GF</v>
      </c>
      <c r="J41" s="459" t="str">
        <f>+'GRUPO B'!W8</f>
        <v>GC</v>
      </c>
      <c r="K41" s="459" t="str">
        <f>+'GRUPO B'!X8</f>
        <v>Dif.</v>
      </c>
      <c r="L41" s="466" t="str">
        <f>+'GRUPO B'!Y8</f>
        <v>Tj</v>
      </c>
    </row>
    <row r="42" spans="1:13" ht="15" customHeight="1" thickBot="1" x14ac:dyDescent="0.35">
      <c r="B42" s="463"/>
      <c r="C42" s="464"/>
      <c r="D42" s="458"/>
      <c r="E42" s="453"/>
      <c r="F42" s="453"/>
      <c r="G42" s="453"/>
      <c r="H42" s="453"/>
      <c r="I42" s="453"/>
      <c r="J42" s="453"/>
      <c r="K42" s="453"/>
      <c r="L42" s="467"/>
    </row>
    <row r="43" spans="1:13" ht="15" customHeight="1" x14ac:dyDescent="0.3">
      <c r="B43" s="445" t="str">
        <f>+'GRUPO B'!P10</f>
        <v xml:space="preserve">  1)  CLUB ARIEL ARMEL</v>
      </c>
      <c r="C43" s="446"/>
      <c r="D43" s="460">
        <f>+'GRUPO B'!Q10</f>
        <v>4</v>
      </c>
      <c r="E43" s="459">
        <f>+'GRUPO B'!R10</f>
        <v>3</v>
      </c>
      <c r="F43" s="459">
        <f>+'GRUPO B'!S10</f>
        <v>1</v>
      </c>
      <c r="G43" s="459">
        <f>+'GRUPO B'!T10</f>
        <v>1</v>
      </c>
      <c r="H43" s="459">
        <f>+'GRUPO B'!U10</f>
        <v>1</v>
      </c>
      <c r="I43" s="459">
        <f>+'GRUPO B'!V10</f>
        <v>7</v>
      </c>
      <c r="J43" s="459">
        <f>+'GRUPO B'!W10</f>
        <v>4</v>
      </c>
      <c r="K43" s="459">
        <f>+'GRUPO B'!X10</f>
        <v>3</v>
      </c>
      <c r="L43" s="466">
        <f>+'GRUPO B'!Y10</f>
        <v>0</v>
      </c>
    </row>
    <row r="44" spans="1:13" ht="15" customHeight="1" x14ac:dyDescent="0.3">
      <c r="B44" s="447"/>
      <c r="C44" s="448"/>
      <c r="D44" s="439"/>
      <c r="E44" s="438"/>
      <c r="F44" s="438"/>
      <c r="G44" s="438"/>
      <c r="H44" s="438"/>
      <c r="I44" s="438"/>
      <c r="J44" s="438"/>
      <c r="K44" s="438"/>
      <c r="L44" s="444"/>
    </row>
    <row r="45" spans="1:13" ht="15" customHeight="1" x14ac:dyDescent="0.3">
      <c r="B45" s="447" t="str">
        <f>+'GRUPO B'!P12</f>
        <v xml:space="preserve">  2)  CENTAUROS DEL ARIARI</v>
      </c>
      <c r="C45" s="448"/>
      <c r="D45" s="439">
        <f>+'GRUPO B'!Q12</f>
        <v>3</v>
      </c>
      <c r="E45" s="438">
        <f>+'GRUPO B'!R12</f>
        <v>3</v>
      </c>
      <c r="F45" s="438">
        <f>+'GRUPO B'!S12</f>
        <v>1</v>
      </c>
      <c r="G45" s="438">
        <f>+'GRUPO B'!T12</f>
        <v>0</v>
      </c>
      <c r="H45" s="438">
        <f>+'GRUPO B'!U12</f>
        <v>2</v>
      </c>
      <c r="I45" s="438">
        <f>+'GRUPO B'!V12</f>
        <v>4</v>
      </c>
      <c r="J45" s="438">
        <f>+'GRUPO B'!W12</f>
        <v>5</v>
      </c>
      <c r="K45" s="438">
        <f>+'GRUPO B'!X12</f>
        <v>-1</v>
      </c>
      <c r="L45" s="444">
        <f>+'GRUPO B'!Y12</f>
        <v>0</v>
      </c>
    </row>
    <row r="46" spans="1:13" ht="15" customHeight="1" x14ac:dyDescent="0.3">
      <c r="B46" s="447"/>
      <c r="C46" s="448"/>
      <c r="D46" s="439"/>
      <c r="E46" s="438"/>
      <c r="F46" s="438"/>
      <c r="G46" s="438"/>
      <c r="H46" s="438"/>
      <c r="I46" s="438"/>
      <c r="J46" s="438"/>
      <c r="K46" s="438"/>
      <c r="L46" s="444"/>
    </row>
    <row r="47" spans="1:13" ht="15" customHeight="1" x14ac:dyDescent="0.3">
      <c r="B47" s="447" t="str">
        <f>+'GRUPO B'!P14</f>
        <v xml:space="preserve">  3)  COLEGIO PRINCIPADO DE MONACO</v>
      </c>
      <c r="C47" s="448"/>
      <c r="D47" s="439">
        <f>+'GRUPO B'!Q14</f>
        <v>1</v>
      </c>
      <c r="E47" s="438">
        <f>+'GRUPO B'!R14</f>
        <v>3</v>
      </c>
      <c r="F47" s="438">
        <f>+'GRUPO B'!S14</f>
        <v>0</v>
      </c>
      <c r="G47" s="438">
        <f>+'GRUPO B'!T14</f>
        <v>1</v>
      </c>
      <c r="H47" s="438">
        <f>+'GRUPO B'!U14</f>
        <v>2</v>
      </c>
      <c r="I47" s="438">
        <f>+'GRUPO B'!V14</f>
        <v>7</v>
      </c>
      <c r="J47" s="438">
        <f>+'GRUPO B'!W14</f>
        <v>12</v>
      </c>
      <c r="K47" s="438">
        <f>+'GRUPO B'!X14</f>
        <v>-5</v>
      </c>
      <c r="L47" s="444">
        <f>+'GRUPO B'!Y14</f>
        <v>0</v>
      </c>
    </row>
    <row r="48" spans="1:13" ht="15" customHeight="1" x14ac:dyDescent="0.3">
      <c r="B48" s="447"/>
      <c r="C48" s="448"/>
      <c r="D48" s="439"/>
      <c r="E48" s="438"/>
      <c r="F48" s="438"/>
      <c r="G48" s="438"/>
      <c r="H48" s="438"/>
      <c r="I48" s="438"/>
      <c r="J48" s="438"/>
      <c r="K48" s="438"/>
      <c r="L48" s="444"/>
    </row>
    <row r="49" spans="1:13" x14ac:dyDescent="0.3">
      <c r="B49" s="447">
        <f>+'GRUPO B'!P16</f>
        <v>0</v>
      </c>
      <c r="C49" s="448"/>
      <c r="D49" s="439">
        <f>+'GRUPO B'!Q16</f>
        <v>0</v>
      </c>
      <c r="E49" s="438">
        <f>+'GRUPO B'!R16</f>
        <v>0</v>
      </c>
      <c r="F49" s="438">
        <f>+'GRUPO B'!S16</f>
        <v>0</v>
      </c>
      <c r="G49" s="438">
        <f>+'GRUPO B'!T16</f>
        <v>0</v>
      </c>
      <c r="H49" s="438">
        <f>+'GRUPO B'!U16</f>
        <v>0</v>
      </c>
      <c r="I49" s="438">
        <f>+'GRUPO B'!V16</f>
        <v>0</v>
      </c>
      <c r="J49" s="438">
        <f>+'GRUPO B'!W16</f>
        <v>0</v>
      </c>
      <c r="K49" s="438">
        <f>+'GRUPO B'!X16</f>
        <v>0</v>
      </c>
      <c r="L49" s="444">
        <f>+'GRUPO B'!Y16</f>
        <v>0</v>
      </c>
    </row>
    <row r="50" spans="1:13" ht="15" thickBot="1" x14ac:dyDescent="0.35">
      <c r="B50" s="456"/>
      <c r="C50" s="457"/>
      <c r="D50" s="458"/>
      <c r="E50" s="453"/>
      <c r="F50" s="453"/>
      <c r="G50" s="453"/>
      <c r="H50" s="453"/>
      <c r="I50" s="453"/>
      <c r="J50" s="453"/>
      <c r="K50" s="453"/>
      <c r="L50" s="467"/>
    </row>
    <row r="51" spans="1:13" ht="7.5" customHeight="1" x14ac:dyDescent="0.3"/>
    <row r="52" spans="1:13" ht="23.4" x14ac:dyDescent="0.3">
      <c r="A52" s="443" t="s">
        <v>34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</row>
    <row r="54" spans="1:13" ht="33.75" customHeight="1" x14ac:dyDescent="0.3">
      <c r="A54" s="92">
        <f>+'GRUPO C'!B32</f>
        <v>42967</v>
      </c>
      <c r="B54" s="93" t="str">
        <f>+'GRUPO C'!C32</f>
        <v>09:50. a.m.</v>
      </c>
      <c r="C54" s="121" t="str">
        <f>+'GRUPO C'!E32</f>
        <v>NOVATOS F. C.</v>
      </c>
      <c r="D54" s="97"/>
      <c r="E54" s="87" t="s">
        <v>15</v>
      </c>
      <c r="F54" s="97"/>
      <c r="G54" s="441" t="str">
        <f>+'GRUPO C'!K32</f>
        <v>ESCUELA DE FORMACIÓN DEPORTIVA MARACANA</v>
      </c>
      <c r="H54" s="426"/>
      <c r="I54" s="426"/>
      <c r="J54" s="426"/>
      <c r="K54" s="107" t="str">
        <f>+'GRUPO C'!M32</f>
        <v>CANCHA 1 C</v>
      </c>
      <c r="L54" s="107"/>
    </row>
    <row r="55" spans="1:13" ht="17.399999999999999" x14ac:dyDescent="0.3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105"/>
      <c r="L55" s="105"/>
    </row>
    <row r="56" spans="1:13" ht="33.75" customHeight="1" x14ac:dyDescent="0.3">
      <c r="A56" s="95">
        <f>+'GRUPO C'!B35</f>
        <v>0</v>
      </c>
      <c r="B56" s="96">
        <f>+'GRUPO C'!C35</f>
        <v>0</v>
      </c>
      <c r="C56" s="122">
        <f>+'GRUPO C'!E35</f>
        <v>0</v>
      </c>
      <c r="D56" s="97"/>
      <c r="E56" s="87" t="s">
        <v>15</v>
      </c>
      <c r="F56" s="97"/>
      <c r="G56" s="442">
        <f>+'GRUPO C'!K35</f>
        <v>0</v>
      </c>
      <c r="H56" s="427"/>
      <c r="I56" s="427"/>
      <c r="J56" s="427"/>
      <c r="K56" s="110">
        <f>+'GRUPO C'!M35</f>
        <v>0</v>
      </c>
      <c r="L56" s="110"/>
    </row>
    <row r="57" spans="1:13" ht="15" thickBot="1" x14ac:dyDescent="0.35">
      <c r="A57" s="64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</row>
    <row r="58" spans="1:13" ht="15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customHeight="1" x14ac:dyDescent="0.3">
      <c r="B59" s="480" t="str">
        <f>+'PRE BABY GRUPOS'!I6</f>
        <v>GRUPO D</v>
      </c>
      <c r="C59" s="480"/>
      <c r="D59" s="460" t="str">
        <f>+'GRUPO D'!Q8</f>
        <v>Pts.</v>
      </c>
      <c r="E59" s="459" t="str">
        <f>+'GRUPO D'!R8</f>
        <v>PJ</v>
      </c>
      <c r="F59" s="459" t="str">
        <f>+'GRUPO D'!S8</f>
        <v>Gan.</v>
      </c>
      <c r="G59" s="459" t="str">
        <f>+'GRUPO D'!T8</f>
        <v>Emp.</v>
      </c>
      <c r="H59" s="459" t="str">
        <f>+'GRUPO D'!U8</f>
        <v>Per.</v>
      </c>
      <c r="I59" s="459" t="str">
        <f>+'GRUPO D'!V8</f>
        <v>GF</v>
      </c>
      <c r="J59" s="459" t="str">
        <f>+'GRUPO D'!W8</f>
        <v>GC</v>
      </c>
      <c r="K59" s="459" t="str">
        <f>+'GRUPO D'!X8</f>
        <v>Dif.</v>
      </c>
      <c r="L59" s="466" t="str">
        <f>+'GRUPO D'!Y8</f>
        <v>Tj</v>
      </c>
    </row>
    <row r="60" spans="1:13" ht="15.75" customHeight="1" thickBot="1" x14ac:dyDescent="0.35">
      <c r="B60" s="481"/>
      <c r="C60" s="481"/>
      <c r="D60" s="439"/>
      <c r="E60" s="438"/>
      <c r="F60" s="438"/>
      <c r="G60" s="438"/>
      <c r="H60" s="438"/>
      <c r="I60" s="438"/>
      <c r="J60" s="438"/>
      <c r="K60" s="438"/>
      <c r="L60" s="444"/>
    </row>
    <row r="61" spans="1:13" ht="15" customHeight="1" x14ac:dyDescent="0.3">
      <c r="B61" s="445" t="str">
        <f>+'GRUPO D'!P10</f>
        <v xml:space="preserve">  1)  CLUB CAMPESTRE IBAGUE DOS</v>
      </c>
      <c r="C61" s="446"/>
      <c r="D61" s="439">
        <f>+'GRUPO D'!Q10</f>
        <v>7</v>
      </c>
      <c r="E61" s="438">
        <f>+'GRUPO D'!R10</f>
        <v>3</v>
      </c>
      <c r="F61" s="438">
        <f>+'GRUPO D'!S10</f>
        <v>2</v>
      </c>
      <c r="G61" s="438">
        <f>+'GRUPO D'!T10</f>
        <v>1</v>
      </c>
      <c r="H61" s="438">
        <f>+'GRUPO D'!U10</f>
        <v>0</v>
      </c>
      <c r="I61" s="438">
        <f>+'GRUPO D'!V10</f>
        <v>12</v>
      </c>
      <c r="J61" s="438">
        <f>+'GRUPO D'!W10</f>
        <v>9</v>
      </c>
      <c r="K61" s="438">
        <f>+'GRUPO D'!X10</f>
        <v>3</v>
      </c>
      <c r="L61" s="444">
        <f>+'GRUPO D'!Y10</f>
        <v>0</v>
      </c>
    </row>
    <row r="62" spans="1:13" ht="15" customHeight="1" x14ac:dyDescent="0.3">
      <c r="B62" s="447"/>
      <c r="C62" s="448"/>
      <c r="D62" s="439"/>
      <c r="E62" s="438"/>
      <c r="F62" s="438"/>
      <c r="G62" s="438"/>
      <c r="H62" s="438"/>
      <c r="I62" s="438"/>
      <c r="J62" s="438"/>
      <c r="K62" s="438"/>
      <c r="L62" s="444"/>
    </row>
    <row r="63" spans="1:13" ht="15" customHeight="1" x14ac:dyDescent="0.3">
      <c r="B63" s="445" t="str">
        <f>+'GRUPO D'!P12</f>
        <v xml:space="preserve">  2)  CORDOBA Y SERRANO F. C.</v>
      </c>
      <c r="C63" s="446"/>
      <c r="D63" s="439">
        <f>+'GRUPO D'!Q12</f>
        <v>5</v>
      </c>
      <c r="E63" s="438">
        <f>+'GRUPO D'!R12</f>
        <v>3</v>
      </c>
      <c r="F63" s="438">
        <f>+'GRUPO D'!S12</f>
        <v>1</v>
      </c>
      <c r="G63" s="438">
        <f>+'GRUPO D'!T12</f>
        <v>2</v>
      </c>
      <c r="H63" s="438">
        <f>+'GRUPO D'!U12</f>
        <v>0</v>
      </c>
      <c r="I63" s="438">
        <f>+'GRUPO D'!V12</f>
        <v>18</v>
      </c>
      <c r="J63" s="438">
        <f>+'GRUPO D'!W12</f>
        <v>6</v>
      </c>
      <c r="K63" s="438">
        <f>+'GRUPO D'!X12</f>
        <v>12</v>
      </c>
      <c r="L63" s="444">
        <f>+'GRUPO D'!Y12</f>
        <v>0</v>
      </c>
    </row>
    <row r="64" spans="1:13" ht="15" customHeight="1" x14ac:dyDescent="0.3">
      <c r="B64" s="447"/>
      <c r="C64" s="448"/>
      <c r="D64" s="439"/>
      <c r="E64" s="438"/>
      <c r="F64" s="438"/>
      <c r="G64" s="438"/>
      <c r="H64" s="438"/>
      <c r="I64" s="438"/>
      <c r="J64" s="438"/>
      <c r="K64" s="438"/>
      <c r="L64" s="444"/>
    </row>
    <row r="65" spans="1:13" ht="15" customHeight="1" x14ac:dyDescent="0.3">
      <c r="B65" s="445" t="str">
        <f>+'GRUPO D'!P14</f>
        <v xml:space="preserve">  3)  ESCUELA DEPORTIVA DE FÚTBOL RAQUIRA</v>
      </c>
      <c r="C65" s="446"/>
      <c r="D65" s="439">
        <f>+'GRUPO D'!Q14</f>
        <v>3</v>
      </c>
      <c r="E65" s="438">
        <f>+'GRUPO D'!R14</f>
        <v>3</v>
      </c>
      <c r="F65" s="438">
        <f>+'GRUPO D'!S14</f>
        <v>1</v>
      </c>
      <c r="G65" s="438">
        <f>+'GRUPO D'!T14</f>
        <v>0</v>
      </c>
      <c r="H65" s="438">
        <f>+'GRUPO D'!U14</f>
        <v>2</v>
      </c>
      <c r="I65" s="438">
        <f>+'GRUPO D'!V14</f>
        <v>5</v>
      </c>
      <c r="J65" s="438">
        <f>+'GRUPO D'!W14</f>
        <v>17</v>
      </c>
      <c r="K65" s="438">
        <f>+'GRUPO D'!X14</f>
        <v>-12</v>
      </c>
      <c r="L65" s="444">
        <f>+'GRUPO D'!Y14</f>
        <v>0</v>
      </c>
    </row>
    <row r="66" spans="1:13" ht="15" customHeight="1" x14ac:dyDescent="0.3">
      <c r="B66" s="447"/>
      <c r="C66" s="448"/>
      <c r="D66" s="439"/>
      <c r="E66" s="438"/>
      <c r="F66" s="438"/>
      <c r="G66" s="438"/>
      <c r="H66" s="438"/>
      <c r="I66" s="438"/>
      <c r="J66" s="438"/>
      <c r="K66" s="438"/>
      <c r="L66" s="444"/>
    </row>
    <row r="67" spans="1:13" ht="15" customHeight="1" x14ac:dyDescent="0.3">
      <c r="B67" s="445">
        <f>+'GRUPO D'!P16</f>
        <v>0</v>
      </c>
      <c r="C67" s="446"/>
      <c r="D67" s="439">
        <f>+'GRUPO D'!Q16</f>
        <v>0</v>
      </c>
      <c r="E67" s="438">
        <f>+'GRUPO D'!R16</f>
        <v>0</v>
      </c>
      <c r="F67" s="438">
        <f>+'GRUPO D'!S16</f>
        <v>0</v>
      </c>
      <c r="G67" s="438">
        <f>+'GRUPO D'!T16</f>
        <v>0</v>
      </c>
      <c r="H67" s="438">
        <f>+'GRUPO D'!U16</f>
        <v>0</v>
      </c>
      <c r="I67" s="438">
        <f>+'GRUPO D'!V16</f>
        <v>0</v>
      </c>
      <c r="J67" s="438">
        <f>+'GRUPO D'!W16</f>
        <v>0</v>
      </c>
      <c r="K67" s="438">
        <f>+'GRUPO D'!X16</f>
        <v>0</v>
      </c>
      <c r="L67" s="444">
        <f>+'GRUPO D'!Y16</f>
        <v>0</v>
      </c>
    </row>
    <row r="68" spans="1:13" ht="15.75" customHeight="1" thickBot="1" x14ac:dyDescent="0.35">
      <c r="B68" s="447"/>
      <c r="C68" s="448"/>
      <c r="D68" s="458"/>
      <c r="E68" s="453"/>
      <c r="F68" s="453"/>
      <c r="G68" s="453"/>
      <c r="H68" s="453"/>
      <c r="I68" s="453"/>
      <c r="J68" s="453"/>
      <c r="K68" s="453"/>
      <c r="L68" s="467"/>
    </row>
    <row r="70" spans="1:13" ht="23.4" x14ac:dyDescent="0.3">
      <c r="A70" s="443" t="s">
        <v>34</v>
      </c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</row>
    <row r="72" spans="1:13" ht="33.75" customHeight="1" x14ac:dyDescent="0.3">
      <c r="A72" s="92">
        <f>+'GRUPO D'!B32</f>
        <v>42966</v>
      </c>
      <c r="B72" s="93" t="str">
        <f>+'GRUPO D'!C32</f>
        <v>12:40. p.m.</v>
      </c>
      <c r="C72" s="121" t="str">
        <f>+'GRUPO D'!E32</f>
        <v>CLUB CAMPESTRE IBAGUE DOS</v>
      </c>
      <c r="D72" s="97"/>
      <c r="E72" s="87" t="s">
        <v>15</v>
      </c>
      <c r="F72" s="97"/>
      <c r="G72" s="441" t="str">
        <f>+'GRUPO D'!K32</f>
        <v>CORDOBA Y SERRANO F. C.</v>
      </c>
      <c r="H72" s="426"/>
      <c r="I72" s="426"/>
      <c r="J72" s="426"/>
      <c r="K72" s="107" t="str">
        <f>+'GRUPO D'!M32</f>
        <v>CANCHA 1 A</v>
      </c>
      <c r="L72" s="107"/>
    </row>
    <row r="73" spans="1:13" ht="17.399999999999999" x14ac:dyDescent="0.3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105"/>
      <c r="L73" s="105"/>
    </row>
    <row r="74" spans="1:13" ht="33.75" customHeight="1" x14ac:dyDescent="0.3">
      <c r="A74" s="95">
        <f>+'GRUPO D'!B35</f>
        <v>0</v>
      </c>
      <c r="B74" s="96" t="str">
        <f>+'GRUPO D'!C32</f>
        <v>12:40. p.m.</v>
      </c>
      <c r="C74" s="122">
        <f>+'GRUPO D'!E35</f>
        <v>0</v>
      </c>
      <c r="D74" s="97"/>
      <c r="E74" s="87" t="s">
        <v>15</v>
      </c>
      <c r="F74" s="97"/>
      <c r="G74" s="442">
        <f>+'GRUPO D'!K35</f>
        <v>0</v>
      </c>
      <c r="H74" s="427"/>
      <c r="I74" s="427"/>
      <c r="J74" s="427"/>
      <c r="K74" s="110">
        <f>+'GRUPO D'!M35</f>
        <v>0</v>
      </c>
      <c r="L74" s="110"/>
    </row>
    <row r="75" spans="1:13" x14ac:dyDescent="0.3">
      <c r="A75" s="440" t="s">
        <v>32</v>
      </c>
      <c r="B75" s="440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440"/>
    </row>
    <row r="76" spans="1:13" x14ac:dyDescent="0.3">
      <c r="A76" s="440"/>
      <c r="B76" s="440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</row>
    <row r="77" spans="1:13" x14ac:dyDescent="0.3">
      <c r="A77" s="440"/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</row>
    <row r="78" spans="1:13" x14ac:dyDescent="0.3">
      <c r="A78" s="420" t="s">
        <v>28</v>
      </c>
      <c r="B78" s="420"/>
      <c r="C78" s="420"/>
      <c r="D78" s="420"/>
      <c r="E78" s="420"/>
      <c r="F78" s="420"/>
      <c r="G78" s="420"/>
      <c r="H78" s="420"/>
      <c r="I78" s="420"/>
      <c r="J78" s="420"/>
      <c r="K78" s="420"/>
      <c r="L78" s="420"/>
      <c r="M78" s="420"/>
    </row>
    <row r="79" spans="1:13" x14ac:dyDescent="0.3">
      <c r="A79" s="420" t="s">
        <v>29</v>
      </c>
      <c r="B79" s="420"/>
      <c r="C79" s="420"/>
      <c r="D79" s="420"/>
      <c r="E79" s="420"/>
      <c r="F79" s="420"/>
      <c r="G79" s="420"/>
      <c r="H79" s="420"/>
      <c r="I79" s="420"/>
      <c r="J79" s="420"/>
      <c r="K79" s="420"/>
      <c r="L79" s="420"/>
      <c r="M79" s="420"/>
    </row>
    <row r="80" spans="1:13" x14ac:dyDescent="0.3">
      <c r="A80" s="421" t="s">
        <v>30</v>
      </c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</row>
    <row r="81" spans="1:13" x14ac:dyDescent="0.3">
      <c r="A81" s="420" t="s">
        <v>31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B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33" t="s">
        <v>5</v>
      </c>
      <c r="I1" s="333"/>
      <c r="J1" s="333"/>
      <c r="K1" s="333"/>
      <c r="L1" s="333"/>
      <c r="M1" s="333"/>
      <c r="N1" s="333"/>
      <c r="O1" s="333"/>
      <c r="P1" s="333"/>
      <c r="Q1" s="46"/>
    </row>
    <row r="2" spans="1:17" s="3" customFormat="1" ht="38.25" customHeight="1" x14ac:dyDescent="0.3">
      <c r="B2" s="148" t="s">
        <v>42</v>
      </c>
      <c r="C2" s="149"/>
      <c r="D2" s="149"/>
      <c r="E2" s="149"/>
      <c r="F2" s="149"/>
      <c r="G2" s="149"/>
      <c r="H2" s="360" t="s">
        <v>6</v>
      </c>
      <c r="I2" s="360"/>
      <c r="J2" s="360"/>
      <c r="K2" s="360"/>
      <c r="L2" s="360"/>
      <c r="M2" s="360"/>
      <c r="N2" s="360"/>
      <c r="O2" s="360"/>
      <c r="P2" s="360"/>
      <c r="Q2" s="47"/>
    </row>
    <row r="3" spans="1:17" s="3" customFormat="1" ht="15" customHeight="1" x14ac:dyDescent="0.3">
      <c r="B3" s="150" t="s">
        <v>17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7" ht="21.75" customHeight="1" x14ac:dyDescent="0.45">
      <c r="A4" s="3"/>
      <c r="B4" s="361" t="s">
        <v>4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  <c r="O4" s="19"/>
      <c r="P4" s="17" t="s">
        <v>18</v>
      </c>
    </row>
    <row r="5" spans="1:17" ht="15" thickBot="1" x14ac:dyDescent="0.35">
      <c r="A5" s="3"/>
      <c r="B5" s="152"/>
      <c r="C5" s="152"/>
      <c r="D5" s="152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63">
        <f>+'CUARTOS DE FINAL.'!B6:B7</f>
        <v>42596</v>
      </c>
      <c r="C6" s="363" t="str">
        <f>+'CUARTOS DE FINAL.'!C6:C7</f>
        <v>LLAVE A</v>
      </c>
      <c r="D6" s="363" t="str">
        <f>+'CUARTOS DE FINAL.'!D6:D7</f>
        <v>03:00. p.m.</v>
      </c>
      <c r="E6" s="153"/>
      <c r="F6" s="154" t="str">
        <f>IF(AND(H6&lt;&gt;"",J6&lt;&gt;""),IF(H6=J6,"E",IF(H6&gt;J6,"G","P")),"")</f>
        <v>E</v>
      </c>
      <c r="G6" s="369" t="e">
        <f>+'CUARTOS DE FINAL.'!G6:G7</f>
        <v>#N/A</v>
      </c>
      <c r="H6" s="284" t="s">
        <v>36</v>
      </c>
      <c r="I6" s="301" t="s">
        <v>15</v>
      </c>
      <c r="J6" s="284" t="s">
        <v>36</v>
      </c>
      <c r="K6" s="301" t="str">
        <f>IF(AND(J6&lt;&gt;"",H6&lt;&gt;""),IF(J6=H6,"E",IF(J6&gt;H6,"G","P")),"")</f>
        <v>E</v>
      </c>
      <c r="L6" s="376" t="str">
        <f>+'CUARTOS DE FINAL.'!L6:L7</f>
        <v>ESCUELA DE FORMACIÓN DEPORTIVA MARACANA</v>
      </c>
      <c r="M6" s="153"/>
      <c r="N6" s="379" t="str">
        <f>+'CUARTOS DE FINAL.'!N6:N7</f>
        <v>PALMARA</v>
      </c>
      <c r="P6" s="377" t="str">
        <f>IF(OR(F6="E",F6=""),"",IF(F6="G",G6,L6))</f>
        <v/>
      </c>
    </row>
    <row r="7" spans="1:17" ht="15" thickBot="1" x14ac:dyDescent="0.35">
      <c r="A7" s="3"/>
      <c r="B7" s="364"/>
      <c r="C7" s="364"/>
      <c r="D7" s="364"/>
      <c r="E7" s="153"/>
      <c r="F7" s="154"/>
      <c r="G7" s="369"/>
      <c r="H7" s="285"/>
      <c r="I7" s="301"/>
      <c r="J7" s="285"/>
      <c r="K7" s="301"/>
      <c r="L7" s="376"/>
      <c r="M7" s="153"/>
      <c r="N7" s="379"/>
      <c r="P7" s="378"/>
    </row>
    <row r="8" spans="1:17" ht="6.75" customHeight="1" thickBot="1" x14ac:dyDescent="0.35">
      <c r="A8" s="3"/>
      <c r="B8" s="155"/>
      <c r="C8" s="155"/>
      <c r="D8" s="156"/>
      <c r="E8" s="153"/>
      <c r="F8" s="14"/>
      <c r="G8" s="14"/>
      <c r="H8" s="14"/>
      <c r="I8" s="14"/>
      <c r="J8" s="14"/>
      <c r="K8" s="14"/>
      <c r="L8" s="153"/>
      <c r="M8" s="153"/>
      <c r="N8" s="157"/>
      <c r="P8" s="158"/>
    </row>
    <row r="9" spans="1:17" ht="15" customHeight="1" x14ac:dyDescent="0.3">
      <c r="A9" s="3"/>
      <c r="B9" s="370">
        <f>+'CUARTOS DE FINAL.'!B9:B10</f>
        <v>42596</v>
      </c>
      <c r="C9" s="370" t="str">
        <f>+'CUARTOS DE FINAL.'!C9:C10</f>
        <v>LLAVE B</v>
      </c>
      <c r="D9" s="370" t="str">
        <f>+'CUARTOS DE FINAL.'!D9:D10</f>
        <v>04:20. p.m.</v>
      </c>
      <c r="E9" s="153"/>
      <c r="F9" s="301" t="str">
        <f>IF(AND(H9&lt;&gt;"",J9&lt;&gt;""),IF(H9=J9,"E",IF(H9&gt;J9,"G","P")),"")</f>
        <v>E</v>
      </c>
      <c r="G9" s="376" t="str">
        <f>+'CUARTOS DE FINAL.'!G9:G10</f>
        <v>CLUB ARIEL ARMEL</v>
      </c>
      <c r="H9" s="284" t="s">
        <v>36</v>
      </c>
      <c r="I9" s="301" t="s">
        <v>15</v>
      </c>
      <c r="J9" s="284" t="s">
        <v>36</v>
      </c>
      <c r="K9" s="301" t="str">
        <f>IF(AND(J9&lt;&gt;"",H9&lt;&gt;""),IF(J9=H9,"E",IF(J9&gt;H9,"G","P")),"")</f>
        <v>E</v>
      </c>
      <c r="L9" s="376" t="str">
        <f>+'CUARTOS DE FINAL.'!L9:L10</f>
        <v>CORDOBA Y SERRANO F. C.</v>
      </c>
      <c r="M9" s="153"/>
      <c r="N9" s="379" t="str">
        <f>+'CUARTOS DE FINAL.'!N9:N10</f>
        <v>CANCHA 2</v>
      </c>
      <c r="P9" s="377" t="str">
        <f>IF(OR(F9="E",F9=""),"",IF(F9="G",G9,L9))</f>
        <v/>
      </c>
    </row>
    <row r="10" spans="1:17" ht="15" thickBot="1" x14ac:dyDescent="0.35">
      <c r="A10" s="3"/>
      <c r="B10" s="371"/>
      <c r="C10" s="371"/>
      <c r="D10" s="371"/>
      <c r="E10" s="153"/>
      <c r="F10" s="301"/>
      <c r="G10" s="376"/>
      <c r="H10" s="285"/>
      <c r="I10" s="301"/>
      <c r="J10" s="285"/>
      <c r="K10" s="301"/>
      <c r="L10" s="376"/>
      <c r="M10" s="153"/>
      <c r="N10" s="379"/>
      <c r="P10" s="378"/>
    </row>
    <row r="11" spans="1:17" ht="8.25" customHeight="1" thickBot="1" x14ac:dyDescent="0.35">
      <c r="A11" s="3"/>
      <c r="B11" s="159"/>
      <c r="C11" s="155"/>
      <c r="D11" s="156"/>
      <c r="E11" s="153"/>
      <c r="F11" s="14"/>
      <c r="G11" s="153"/>
      <c r="H11" s="14"/>
      <c r="I11" s="14"/>
      <c r="J11" s="14"/>
      <c r="K11" s="14"/>
      <c r="L11" s="153"/>
      <c r="M11" s="153"/>
      <c r="N11" s="157"/>
      <c r="P11" s="158"/>
    </row>
    <row r="12" spans="1:17" x14ac:dyDescent="0.3">
      <c r="A12" s="3"/>
      <c r="B12" s="363">
        <f>+'CUARTOS DE FINAL.'!B12:B13</f>
        <v>42596</v>
      </c>
      <c r="C12" s="363" t="str">
        <f>+'CUARTOS DE FINAL.'!C12:C13</f>
        <v>LLAVE C</v>
      </c>
      <c r="D12" s="363" t="str">
        <f>+'CUARTOS DE FINAL.'!D12:D13</f>
        <v>03:00. p.m.</v>
      </c>
      <c r="E12" s="153"/>
      <c r="F12" s="301" t="str">
        <f>IF(AND(H12&lt;&gt;"",J12&lt;&gt;""),IF(H12=J12,"E",IF(H12&gt;J12,"G","P")),"")</f>
        <v>E</v>
      </c>
      <c r="G12" s="376" t="str">
        <f>+'CUARTOS DE FINAL.'!G12:G13</f>
        <v>GRAMA F. C.</v>
      </c>
      <c r="H12" s="284" t="s">
        <v>36</v>
      </c>
      <c r="I12" s="301" t="s">
        <v>15</v>
      </c>
      <c r="J12" s="284" t="s">
        <v>36</v>
      </c>
      <c r="K12" s="301" t="str">
        <f>IF(AND(J12&lt;&gt;"",H12&lt;&gt;""),IF(J12=H12,"E",IF(J12&gt;H12,"G","P")),"")</f>
        <v>E</v>
      </c>
      <c r="L12" s="376" t="e">
        <f>+'CUARTOS DE FINAL.'!L12:L13</f>
        <v>#N/A</v>
      </c>
      <c r="M12" s="153"/>
      <c r="N12" s="379" t="str">
        <f>+'CUARTOS DE FINAL.'!N12:N13</f>
        <v>CANCHA 2</v>
      </c>
      <c r="P12" s="377" t="str">
        <f>IF(OR(F12="E",F12=""),"",IF(F12="G",G12,L12))</f>
        <v/>
      </c>
    </row>
    <row r="13" spans="1:17" ht="15" thickBot="1" x14ac:dyDescent="0.35">
      <c r="A13" s="3"/>
      <c r="B13" s="364"/>
      <c r="C13" s="364"/>
      <c r="D13" s="364"/>
      <c r="E13" s="153"/>
      <c r="F13" s="301"/>
      <c r="G13" s="376"/>
      <c r="H13" s="285"/>
      <c r="I13" s="301"/>
      <c r="J13" s="285"/>
      <c r="K13" s="301"/>
      <c r="L13" s="376"/>
      <c r="M13" s="153"/>
      <c r="N13" s="379"/>
      <c r="P13" s="378"/>
    </row>
    <row r="14" spans="1:17" ht="8.25" customHeight="1" thickBot="1" x14ac:dyDescent="0.35">
      <c r="A14" s="3"/>
      <c r="B14" s="159"/>
      <c r="C14" s="155"/>
      <c r="D14" s="156"/>
      <c r="E14" s="153"/>
      <c r="F14" s="14"/>
      <c r="G14" s="153"/>
      <c r="H14" s="14"/>
      <c r="I14" s="14"/>
      <c r="J14" s="14"/>
      <c r="K14" s="14"/>
      <c r="L14" s="153"/>
      <c r="M14" s="153"/>
      <c r="N14" s="157"/>
      <c r="P14" s="158"/>
    </row>
    <row r="15" spans="1:17" x14ac:dyDescent="0.3">
      <c r="A15" s="3"/>
      <c r="B15" s="370">
        <f>+'CUARTOS DE FINAL.'!B15:B16</f>
        <v>42596</v>
      </c>
      <c r="C15" s="370" t="str">
        <f>+'CUARTOS DE FINAL.'!C15:C16</f>
        <v>LLAVE D</v>
      </c>
      <c r="D15" s="370" t="str">
        <f>+'CUARTOS DE FINAL.'!D15:D16</f>
        <v>04:20. p.m.</v>
      </c>
      <c r="E15" s="153"/>
      <c r="F15" s="301" t="str">
        <f>IF(AND(H15&lt;&gt;"",J15&lt;&gt;""),IF(H15=J15,"E",IF(H15&gt;J15,"G","P")),"")</f>
        <v>E</v>
      </c>
      <c r="G15" s="376" t="str">
        <f>+'CUARTOS DE FINAL.'!G15:G16</f>
        <v>CLUB CAMPESTRE IBAGUE DOS</v>
      </c>
      <c r="H15" s="284" t="s">
        <v>36</v>
      </c>
      <c r="I15" s="301" t="s">
        <v>15</v>
      </c>
      <c r="J15" s="284" t="s">
        <v>36</v>
      </c>
      <c r="K15" s="301" t="str">
        <f>IF(AND(J15&lt;&gt;"",H15&lt;&gt;""),IF(J15=H15,"E",IF(J15&gt;H15,"G","P")),"")</f>
        <v>E</v>
      </c>
      <c r="L15" s="376" t="str">
        <f>+'CUARTOS DE FINAL.'!L15:L16</f>
        <v>CENTAUROS DEL ARIARI</v>
      </c>
      <c r="M15" s="153"/>
      <c r="N15" s="379" t="str">
        <f>+'CUARTOS DE FINAL.'!N15:N16</f>
        <v>PALMARA</v>
      </c>
      <c r="P15" s="377" t="str">
        <f>IF(OR(F15="E",F15=""),"",IF(F15="G",G15,L15))</f>
        <v/>
      </c>
    </row>
    <row r="16" spans="1:17" ht="15" thickBot="1" x14ac:dyDescent="0.35">
      <c r="A16" s="3"/>
      <c r="B16" s="371"/>
      <c r="C16" s="371"/>
      <c r="D16" s="371"/>
      <c r="E16" s="153"/>
      <c r="F16" s="301"/>
      <c r="G16" s="376"/>
      <c r="H16" s="285"/>
      <c r="I16" s="301"/>
      <c r="J16" s="285"/>
      <c r="K16" s="301"/>
      <c r="L16" s="376"/>
      <c r="M16" s="11"/>
      <c r="N16" s="379"/>
      <c r="P16" s="378"/>
    </row>
    <row r="17" spans="2:7" s="3" customFormat="1" ht="7.5" customHeight="1" x14ac:dyDescent="0.3"/>
    <row r="18" spans="2:7" s="3" customFormat="1" x14ac:dyDescent="0.3">
      <c r="B18" s="380" t="s">
        <v>87</v>
      </c>
      <c r="C18" s="380"/>
      <c r="D18" s="380"/>
      <c r="E18" s="380"/>
      <c r="F18" s="380"/>
      <c r="G18" s="380"/>
    </row>
    <row r="19" spans="2:7" s="3" customFormat="1" x14ac:dyDescent="0.3">
      <c r="B19" s="380"/>
      <c r="C19" s="380"/>
      <c r="D19" s="380"/>
      <c r="E19" s="380"/>
      <c r="F19" s="380"/>
      <c r="G19" s="380"/>
    </row>
    <row r="20" spans="2:7" s="3" customFormat="1" x14ac:dyDescent="0.3">
      <c r="B20" s="380"/>
      <c r="C20" s="380"/>
      <c r="D20" s="380"/>
      <c r="E20" s="380"/>
      <c r="F20" s="380"/>
      <c r="G20" s="380"/>
    </row>
    <row r="21" spans="2:7" s="3" customFormat="1" x14ac:dyDescent="0.3">
      <c r="B21" s="381" t="s">
        <v>88</v>
      </c>
      <c r="C21" s="381"/>
      <c r="D21" s="381"/>
      <c r="E21" s="381"/>
      <c r="F21" s="381"/>
      <c r="G21" s="381"/>
    </row>
    <row r="22" spans="2:7" s="3" customFormat="1" x14ac:dyDescent="0.3">
      <c r="B22" s="381"/>
      <c r="C22" s="381"/>
      <c r="D22" s="381"/>
      <c r="E22" s="381"/>
      <c r="F22" s="381"/>
      <c r="G22" s="381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33" t="s">
        <v>5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</row>
    <row r="2" spans="1:19" s="3" customFormat="1" ht="34.799999999999997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65"/>
      <c r="R2" s="65"/>
      <c r="S2" s="65"/>
    </row>
    <row r="3" spans="1:19" s="3" customFormat="1" ht="38.25" customHeight="1" x14ac:dyDescent="0.3">
      <c r="A3" s="493" t="s">
        <v>19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</row>
    <row r="4" spans="1:19" s="3" customFormat="1" x14ac:dyDescent="0.3">
      <c r="B4" s="49" t="s">
        <v>17</v>
      </c>
      <c r="N4" s="49"/>
    </row>
    <row r="5" spans="1:19" s="3" customFormat="1" ht="23.4" x14ac:dyDescent="0.45">
      <c r="A5" s="19"/>
      <c r="B5" s="391" t="s">
        <v>20</v>
      </c>
      <c r="C5" s="392"/>
      <c r="D5" s="392"/>
      <c r="E5" s="392"/>
      <c r="F5" s="340"/>
      <c r="G5" s="340"/>
      <c r="H5" s="340"/>
      <c r="I5" s="340"/>
      <c r="J5" s="340"/>
      <c r="K5" s="340"/>
      <c r="L5" s="340"/>
      <c r="M5" s="340"/>
      <c r="N5" s="340"/>
      <c r="O5" s="393"/>
      <c r="P5" s="19"/>
      <c r="Q5" s="17" t="s">
        <v>18</v>
      </c>
      <c r="S5"/>
    </row>
    <row r="6" spans="1:19" s="3" customFormat="1" x14ac:dyDescent="0.3">
      <c r="B6" s="7"/>
      <c r="C6" s="9"/>
      <c r="D6" s="9"/>
      <c r="E6" s="37"/>
      <c r="F6" s="8"/>
      <c r="G6" s="8"/>
      <c r="H6" s="8"/>
      <c r="I6" s="8"/>
      <c r="J6" s="8"/>
      <c r="K6" s="8"/>
      <c r="L6" s="8"/>
      <c r="M6" s="8"/>
      <c r="N6" s="8"/>
      <c r="O6" s="7"/>
      <c r="Q6"/>
      <c r="S6"/>
    </row>
    <row r="7" spans="1:19" s="3" customFormat="1" ht="15.75" customHeight="1" x14ac:dyDescent="0.35">
      <c r="B7" s="489">
        <f>+DEFINICION!B9</f>
        <v>43090</v>
      </c>
      <c r="C7" s="490" t="str">
        <f>+DEFINICION!C9</f>
        <v>LLAVE  A</v>
      </c>
      <c r="D7" s="490" t="str">
        <f>+DEFINICION!D9</f>
        <v>08:20 a.m.</v>
      </c>
      <c r="E7" s="486" t="e">
        <f>+DEFINICION!F9</f>
        <v>#N/A</v>
      </c>
      <c r="F7" s="486"/>
      <c r="G7" s="491" t="str">
        <f>IF(AND(I7&lt;&gt;"",K7&lt;&gt;""),IF(I7=K7,"E",IF(I7&gt;K7,"G","P")),"")</f>
        <v>G</v>
      </c>
      <c r="H7" s="84"/>
      <c r="I7" s="483">
        <f>+DEFINICION!I9</f>
        <v>5</v>
      </c>
      <c r="J7" s="492" t="s">
        <v>15</v>
      </c>
      <c r="K7" s="483">
        <f>+DEFINICION!K9</f>
        <v>4</v>
      </c>
      <c r="L7" s="485" t="str">
        <f>IF(AND(K7&lt;&gt;"",I7&lt;&gt;""),IF(K7=I7,"E",IF(K7&gt;I7,"G","P")),"")</f>
        <v>P</v>
      </c>
      <c r="M7" s="486" t="str">
        <f>+DEFINICION!M9</f>
        <v>CLUB CAMPESTRE IBAGUE DOS</v>
      </c>
      <c r="N7" s="85" t="s">
        <v>27</v>
      </c>
      <c r="O7" s="487" t="str">
        <f>+DEFINICION!O9</f>
        <v>CANCHA 2</v>
      </c>
      <c r="P7" s="86"/>
      <c r="Q7" s="488" t="e">
        <f>IF(OR(G7="E",G7=""),"",IF(G7="G",E7,M7))</f>
        <v>#N/A</v>
      </c>
      <c r="S7" s="387" t="str">
        <f>IF(OR(G7="E",G7=""),"",IF(G7="P",E7,M7))</f>
        <v>CLUB CAMPESTRE IBAGUE DOS</v>
      </c>
    </row>
    <row r="8" spans="1:19" s="3" customFormat="1" ht="17.399999999999999" x14ac:dyDescent="0.35">
      <c r="B8" s="489"/>
      <c r="C8" s="490"/>
      <c r="D8" s="490"/>
      <c r="E8" s="486"/>
      <c r="F8" s="486"/>
      <c r="G8" s="491"/>
      <c r="H8" s="84"/>
      <c r="I8" s="484"/>
      <c r="J8" s="492"/>
      <c r="K8" s="484"/>
      <c r="L8" s="485"/>
      <c r="M8" s="486"/>
      <c r="N8" s="85"/>
      <c r="O8" s="487"/>
      <c r="P8" s="86"/>
      <c r="Q8" s="488"/>
      <c r="S8" s="387"/>
    </row>
    <row r="9" spans="1:19" s="3" customFormat="1" ht="17.399999999999999" x14ac:dyDescent="0.35">
      <c r="B9" s="125"/>
      <c r="C9" s="126"/>
      <c r="D9" s="87"/>
      <c r="E9" s="87"/>
      <c r="F9" s="87"/>
      <c r="G9" s="87"/>
      <c r="H9" s="87"/>
      <c r="I9" s="87"/>
      <c r="J9" s="87"/>
      <c r="K9" s="87"/>
      <c r="L9" s="87"/>
      <c r="M9" s="87"/>
      <c r="N9" s="88"/>
      <c r="O9" s="89"/>
      <c r="P9" s="86"/>
      <c r="Q9" s="90"/>
      <c r="S9"/>
    </row>
    <row r="10" spans="1:19" s="3" customFormat="1" ht="17.399999999999999" x14ac:dyDescent="0.35">
      <c r="B10" s="489">
        <f>+DEFINICION!B12</f>
        <v>43090</v>
      </c>
      <c r="C10" s="490" t="str">
        <f>+DEFINICION!C12</f>
        <v>LLAVE  B</v>
      </c>
      <c r="D10" s="490" t="str">
        <f>+DEFINICION!D12</f>
        <v>09:30 a.m.</v>
      </c>
      <c r="E10" s="486" t="str">
        <f>+DEFINICION!F12</f>
        <v>CLUB ARIEL ARMEL</v>
      </c>
      <c r="F10" s="486"/>
      <c r="G10" s="491" t="str">
        <f>IF(AND(I10&lt;&gt;"",K10&lt;&gt;""),IF(I10=K10,"E",IF(I10&gt;K10,"G","P")),"")</f>
        <v>G</v>
      </c>
      <c r="H10" s="84"/>
      <c r="I10" s="483">
        <f>+DEFINICION!I12</f>
        <v>3</v>
      </c>
      <c r="J10" s="492" t="s">
        <v>15</v>
      </c>
      <c r="K10" s="483">
        <f>+DEFINICION!K12</f>
        <v>0</v>
      </c>
      <c r="L10" s="485" t="str">
        <f>IF(AND(K10&lt;&gt;"",I10&lt;&gt;""),IF(K10=I10,"E",IF(K10&gt;I10,"G","P")),"")</f>
        <v>P</v>
      </c>
      <c r="M10" s="486" t="str">
        <f>+DEFINICION!M12</f>
        <v>GRAMA F. C.</v>
      </c>
      <c r="N10" s="91" t="s">
        <v>27</v>
      </c>
      <c r="O10" s="487" t="str">
        <f>+DEFINICION!O12</f>
        <v>CANCHA 2</v>
      </c>
      <c r="P10" s="86"/>
      <c r="Q10" s="488" t="str">
        <f>IF(OR(G10="E",G10=""),"",IF(G10="G",E10,M10))</f>
        <v>CLUB ARIEL ARMEL</v>
      </c>
      <c r="S10" s="387" t="str">
        <f>IF(OR(G10="E",G10=""),"",IF(G10="P",E10,M10))</f>
        <v>GRAMA F. C.</v>
      </c>
    </row>
    <row r="11" spans="1:19" s="3" customFormat="1" ht="17.399999999999999" x14ac:dyDescent="0.35">
      <c r="B11" s="489"/>
      <c r="C11" s="490"/>
      <c r="D11" s="490"/>
      <c r="E11" s="486"/>
      <c r="F11" s="486"/>
      <c r="G11" s="491"/>
      <c r="H11" s="84"/>
      <c r="I11" s="484"/>
      <c r="J11" s="492"/>
      <c r="K11" s="484"/>
      <c r="L11" s="485"/>
      <c r="M11" s="486"/>
      <c r="N11" s="91"/>
      <c r="O11" s="487"/>
      <c r="P11" s="86"/>
      <c r="Q11" s="488"/>
      <c r="S11" s="387"/>
    </row>
    <row r="12" spans="1:19" s="3" customFormat="1" x14ac:dyDescent="0.3">
      <c r="B12" s="39"/>
      <c r="C12" s="42"/>
      <c r="D12" s="42"/>
      <c r="E12" s="42"/>
      <c r="F12" s="42"/>
      <c r="G12" s="43"/>
      <c r="H12" s="31"/>
      <c r="I12" s="31"/>
      <c r="J12" s="31"/>
      <c r="K12" s="31"/>
      <c r="L12" s="31"/>
      <c r="M12" s="31"/>
      <c r="N12" s="31"/>
      <c r="O12" s="30"/>
      <c r="Q12"/>
      <c r="S12"/>
    </row>
    <row r="13" spans="1:19" s="3" customFormat="1" x14ac:dyDescent="0.3"/>
    <row r="14" spans="1:19" s="3" customFormat="1" ht="24.75" customHeight="1" x14ac:dyDescent="0.45">
      <c r="C14" s="494" t="e">
        <f>+'PRE BABY GRUPOS'!#REF!</f>
        <v>#REF!</v>
      </c>
      <c r="D14" s="494"/>
      <c r="E14" s="494"/>
      <c r="F14" s="494"/>
      <c r="J14" s="101" t="str">
        <f>+'PRE BABY GRUPOS'!C3</f>
        <v>NACIDOS 2012 2013</v>
      </c>
    </row>
    <row r="15" spans="1:19" s="3" customFormat="1" x14ac:dyDescent="0.3">
      <c r="C15" s="494"/>
      <c r="D15" s="494"/>
      <c r="E15" s="494"/>
      <c r="F15" s="494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33" t="s">
        <v>5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</row>
    <row r="2" spans="1:18" ht="34.799999999999997" x14ac:dyDescent="0.3">
      <c r="A2" s="334" t="s">
        <v>6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65"/>
      <c r="R2" s="65"/>
    </row>
    <row r="3" spans="1:18" ht="37.5" customHeight="1" x14ac:dyDescent="0.3">
      <c r="A3" s="493" t="s">
        <v>26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7"/>
      <c r="R3" s="47"/>
    </row>
    <row r="4" spans="1:18" ht="15" customHeight="1" x14ac:dyDescent="0.3">
      <c r="B4" s="49" t="s">
        <v>17</v>
      </c>
      <c r="C4"/>
      <c r="D4"/>
      <c r="E4"/>
      <c r="F4"/>
      <c r="G4"/>
      <c r="H4"/>
      <c r="I4"/>
      <c r="J4"/>
      <c r="K4" s="48"/>
      <c r="L4" s="48"/>
      <c r="M4" s="48"/>
      <c r="N4" s="48"/>
      <c r="O4" s="48"/>
      <c r="P4" s="48"/>
      <c r="Q4" s="48"/>
      <c r="R4" s="48"/>
    </row>
    <row r="5" spans="1:18" ht="18" x14ac:dyDescent="0.3">
      <c r="B5" s="416" t="s">
        <v>21</v>
      </c>
      <c r="C5" s="417"/>
      <c r="D5" s="417"/>
      <c r="E5" s="417"/>
      <c r="F5" s="418"/>
      <c r="G5" s="418"/>
      <c r="H5" s="418"/>
      <c r="I5" s="418"/>
      <c r="J5" s="418"/>
      <c r="K5" s="418"/>
      <c r="L5" s="418"/>
      <c r="M5" s="418"/>
      <c r="N5" s="418"/>
      <c r="O5" s="419"/>
      <c r="Q5" s="34" t="s">
        <v>22</v>
      </c>
    </row>
    <row r="6" spans="1:18" ht="15" customHeight="1" x14ac:dyDescent="0.3">
      <c r="B6" s="7"/>
      <c r="C6" s="45"/>
      <c r="D6" s="8"/>
      <c r="E6" s="41"/>
      <c r="F6" s="8"/>
      <c r="G6" s="8"/>
      <c r="H6" s="8"/>
      <c r="I6" s="8"/>
      <c r="J6" s="8"/>
      <c r="K6" s="8"/>
      <c r="L6" s="8"/>
      <c r="M6" s="8"/>
      <c r="N6" s="8"/>
      <c r="O6" s="7"/>
      <c r="Q6" s="413" t="str">
        <f>IF(OR(G7="E",G7=""),"",IF(G7="G",H7,M7))</f>
        <v/>
      </c>
    </row>
    <row r="7" spans="1:18" ht="17.25" customHeight="1" x14ac:dyDescent="0.35">
      <c r="B7" s="495">
        <f>+FINAL!B9</f>
        <v>43090</v>
      </c>
      <c r="C7" s="124"/>
      <c r="D7" s="496" t="str">
        <f>+FINAL!D9</f>
        <v>2:50 p.m.</v>
      </c>
      <c r="E7" s="108"/>
      <c r="F7" s="86"/>
      <c r="G7" s="485" t="str">
        <f>IF(AND(I7&lt;&gt;"",K7&lt;&gt;""),IF(I7=K7,"E",IF(I7&gt;K7,"G","P")),"")</f>
        <v>E</v>
      </c>
      <c r="H7" s="497" t="str">
        <f>+DEFINICION!S9</f>
        <v>CLUB CAMPESTRE IBAGUE DOS</v>
      </c>
      <c r="I7" s="483">
        <f>+FINAL!I9</f>
        <v>0</v>
      </c>
      <c r="J7" s="498" t="s">
        <v>15</v>
      </c>
      <c r="K7" s="483">
        <f>+FINAL!K9</f>
        <v>0</v>
      </c>
      <c r="L7" s="485" t="str">
        <f>IF(AND(K7&lt;&gt;"",I7&lt;&gt;""),IF(K7=I7,"E",IF(K7&gt;I7,"G","P")),"")</f>
        <v>E</v>
      </c>
      <c r="M7" s="497" t="str">
        <f>+DEFINICION!S12</f>
        <v>GRAMA F. C.</v>
      </c>
      <c r="N7" s="85"/>
      <c r="O7" s="487" t="str">
        <f>+FINAL!O9</f>
        <v>CANCHA 2</v>
      </c>
      <c r="Q7" s="414"/>
    </row>
    <row r="8" spans="1:18" ht="17.25" customHeight="1" x14ac:dyDescent="0.35">
      <c r="B8" s="495"/>
      <c r="C8" s="124"/>
      <c r="D8" s="496"/>
      <c r="E8" s="108"/>
      <c r="F8" s="86"/>
      <c r="G8" s="485"/>
      <c r="H8" s="497"/>
      <c r="I8" s="484"/>
      <c r="J8" s="498"/>
      <c r="K8" s="484"/>
      <c r="L8" s="485"/>
      <c r="M8" s="497"/>
      <c r="N8" s="85"/>
      <c r="O8" s="487"/>
      <c r="Q8" s="414"/>
    </row>
    <row r="9" spans="1:18" x14ac:dyDescent="0.3">
      <c r="B9" s="30"/>
      <c r="C9" s="31"/>
      <c r="D9" s="31"/>
      <c r="E9" s="31"/>
      <c r="F9" s="31"/>
      <c r="G9" s="31"/>
      <c r="H9" s="31"/>
      <c r="I9" s="31"/>
      <c r="J9" s="31"/>
      <c r="K9" s="40"/>
      <c r="L9" s="31"/>
      <c r="M9" s="31"/>
      <c r="N9" s="31"/>
      <c r="O9" s="30"/>
      <c r="Q9" s="415"/>
    </row>
    <row r="11" spans="1:18" ht="21" x14ac:dyDescent="0.3">
      <c r="B11" s="402" t="s">
        <v>23</v>
      </c>
      <c r="C11" s="403"/>
      <c r="D11" s="403"/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4"/>
      <c r="Q11" s="35" t="s">
        <v>24</v>
      </c>
    </row>
    <row r="12" spans="1:18" ht="15" customHeight="1" x14ac:dyDescent="0.3">
      <c r="B12" s="45"/>
      <c r="C12" s="4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Q12" s="410" t="str">
        <f>IF(OR(G13="E",G13=""),"",IF(G13="P",H13,M13))</f>
        <v/>
      </c>
    </row>
    <row r="13" spans="1:18" ht="17.25" customHeight="1" x14ac:dyDescent="0.35">
      <c r="B13" s="495">
        <f>+FINAL!B15</f>
        <v>43090</v>
      </c>
      <c r="C13" s="124"/>
      <c r="D13" s="496" t="str">
        <f>+FINAL!D15</f>
        <v>4:00 p.m.</v>
      </c>
      <c r="E13" s="109"/>
      <c r="F13" s="86"/>
      <c r="G13" s="485" t="str">
        <f>IF(AND(I13&lt;&gt;"",K13&lt;&gt;""),IF(I13=K13,"E",IF(I13&gt;K13,"G","P")),"")</f>
        <v>E</v>
      </c>
      <c r="H13" s="497" t="e">
        <f>+DEFINICION!Q9</f>
        <v>#N/A</v>
      </c>
      <c r="I13" s="483">
        <f>+FINAL!I15</f>
        <v>0</v>
      </c>
      <c r="J13" s="498" t="s">
        <v>15</v>
      </c>
      <c r="K13" s="483">
        <f>+FINAL!K15</f>
        <v>0</v>
      </c>
      <c r="L13" s="485" t="str">
        <f>IF(AND(K13&lt;&gt;"",I13&lt;&gt;""),IF(K13=I13,"E",IF(K13&gt;I13,"G","P")),"")</f>
        <v>E</v>
      </c>
      <c r="M13" s="497" t="str">
        <f>+DEFINICION!Q12</f>
        <v>CLUB ARIEL ARMEL</v>
      </c>
      <c r="N13" s="500"/>
      <c r="O13" s="487" t="str">
        <f>+FINAL!O15</f>
        <v>CANCHA 2</v>
      </c>
      <c r="Q13" s="411"/>
    </row>
    <row r="14" spans="1:18" ht="17.25" customHeight="1" x14ac:dyDescent="0.35">
      <c r="B14" s="495"/>
      <c r="C14" s="124"/>
      <c r="D14" s="496"/>
      <c r="E14" s="109"/>
      <c r="F14" s="86"/>
      <c r="G14" s="485"/>
      <c r="H14" s="497"/>
      <c r="I14" s="484"/>
      <c r="J14" s="498"/>
      <c r="K14" s="484"/>
      <c r="L14" s="485"/>
      <c r="M14" s="497"/>
      <c r="N14" s="500"/>
      <c r="O14" s="487"/>
      <c r="Q14" s="411"/>
    </row>
    <row r="15" spans="1:18" x14ac:dyDescent="0.3"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0"/>
      <c r="Q15" s="412"/>
    </row>
    <row r="16" spans="1:18" ht="10.5" customHeight="1" x14ac:dyDescent="0.3"/>
    <row r="17" spans="2:18" ht="15" customHeight="1" x14ac:dyDescent="0.3">
      <c r="B17" s="407" t="s">
        <v>25</v>
      </c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</row>
    <row r="18" spans="2:18" ht="15" customHeight="1" x14ac:dyDescent="0.3"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</row>
    <row r="19" spans="2:18" ht="15" customHeight="1" x14ac:dyDescent="0.3">
      <c r="B19" s="499" t="str">
        <f>IF(OR(G13="E",G13=""),"",IF(G13="G",H13,M13))</f>
        <v/>
      </c>
      <c r="C19" s="499"/>
      <c r="D19" s="499"/>
      <c r="E19" s="499"/>
      <c r="F19" s="499"/>
      <c r="G19" s="499"/>
      <c r="H19" s="499"/>
      <c r="I19" s="499"/>
      <c r="J19" s="499"/>
      <c r="K19" s="499"/>
      <c r="L19" s="499"/>
      <c r="M19" s="499"/>
      <c r="N19" s="499"/>
      <c r="O19" s="499"/>
      <c r="P19" s="499"/>
      <c r="Q19" s="499"/>
    </row>
    <row r="20" spans="2:18" ht="25.5" customHeight="1" x14ac:dyDescent="0.3">
      <c r="B20" s="499"/>
      <c r="C20" s="499"/>
      <c r="D20" s="499"/>
      <c r="E20" s="499"/>
      <c r="F20" s="499"/>
      <c r="G20" s="499"/>
      <c r="H20" s="499"/>
      <c r="I20" s="499"/>
      <c r="J20" s="499"/>
      <c r="K20" s="499"/>
      <c r="L20" s="499"/>
      <c r="M20" s="499"/>
      <c r="N20" s="499"/>
      <c r="O20" s="499"/>
      <c r="P20" s="499"/>
      <c r="Q20" s="499"/>
    </row>
    <row r="21" spans="2:18" ht="3.75" customHeight="1" x14ac:dyDescent="0.85">
      <c r="D21" s="50"/>
      <c r="E21" s="50"/>
      <c r="F21" s="50"/>
      <c r="J21" s="72"/>
      <c r="O21" s="72"/>
    </row>
    <row r="22" spans="2:18" ht="25.5" customHeight="1" x14ac:dyDescent="0.45">
      <c r="C22" s="494" t="e">
        <f>+'PRE BABY GRUPOS'!#REF!</f>
        <v>#REF!</v>
      </c>
      <c r="D22" s="494"/>
      <c r="E22" s="494"/>
      <c r="F22" s="494"/>
      <c r="G22" s="494"/>
      <c r="H22" s="494"/>
      <c r="I22" s="494"/>
      <c r="J22" s="494"/>
      <c r="K22" s="494"/>
      <c r="O22" s="101" t="str">
        <f>+'PRE BABY GRUPOS'!C3</f>
        <v>NACIDOS 2012 2013</v>
      </c>
      <c r="Q22" s="47"/>
      <c r="R22" s="47"/>
    </row>
    <row r="23" spans="2:18" ht="15" customHeight="1" x14ac:dyDescent="0.3">
      <c r="C23" s="494"/>
      <c r="D23" s="494"/>
      <c r="E23" s="494"/>
      <c r="F23" s="494"/>
      <c r="G23" s="494"/>
      <c r="H23" s="494"/>
      <c r="I23" s="494"/>
      <c r="J23" s="494"/>
      <c r="K23" s="494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504" t="s">
        <v>86</v>
      </c>
      <c r="D1" s="504"/>
      <c r="E1" s="504"/>
      <c r="F1" s="504"/>
      <c r="G1" s="504"/>
      <c r="H1" s="504"/>
      <c r="I1" s="504"/>
    </row>
    <row r="2" spans="2:9" ht="17.399999999999999" x14ac:dyDescent="0.3">
      <c r="C2" s="505" t="s">
        <v>6</v>
      </c>
      <c r="D2" s="505"/>
      <c r="E2" s="505"/>
      <c r="F2" s="505"/>
      <c r="G2" s="505"/>
      <c r="H2" s="505"/>
      <c r="I2" s="505"/>
    </row>
    <row r="4" spans="2:9" ht="15.6" x14ac:dyDescent="0.3">
      <c r="C4" s="506" t="s">
        <v>45</v>
      </c>
      <c r="D4" s="506"/>
      <c r="E4" s="506"/>
      <c r="F4" s="506"/>
      <c r="G4" s="506"/>
      <c r="H4" s="506"/>
      <c r="I4" s="506"/>
    </row>
    <row r="5" spans="2:9" ht="16.2" thickBot="1" x14ac:dyDescent="0.35">
      <c r="C5" s="160"/>
      <c r="D5" s="160"/>
      <c r="E5" s="160"/>
      <c r="F5" s="160"/>
      <c r="G5" s="160"/>
      <c r="H5" s="160"/>
      <c r="I5" s="160"/>
    </row>
    <row r="6" spans="2:9" ht="15.6" x14ac:dyDescent="0.3">
      <c r="C6" s="161" t="s">
        <v>0</v>
      </c>
      <c r="D6" s="162"/>
      <c r="E6" s="163" t="s">
        <v>1</v>
      </c>
      <c r="F6" s="164"/>
      <c r="G6" s="165" t="s">
        <v>38</v>
      </c>
      <c r="H6" s="166"/>
      <c r="I6" s="167" t="s">
        <v>39</v>
      </c>
    </row>
    <row r="7" spans="2:9" ht="18" x14ac:dyDescent="0.3">
      <c r="C7" s="119">
        <v>1</v>
      </c>
      <c r="D7" s="168"/>
      <c r="E7" s="119">
        <v>5</v>
      </c>
      <c r="G7" s="119">
        <v>9</v>
      </c>
      <c r="H7" s="36"/>
      <c r="I7" s="119">
        <v>13</v>
      </c>
    </row>
    <row r="8" spans="2:9" ht="18" x14ac:dyDescent="0.3">
      <c r="C8" s="119">
        <v>2</v>
      </c>
      <c r="D8" s="168"/>
      <c r="E8" s="119">
        <v>6</v>
      </c>
      <c r="G8" s="119">
        <v>10</v>
      </c>
      <c r="H8" s="36"/>
      <c r="I8" s="119">
        <v>14</v>
      </c>
    </row>
    <row r="9" spans="2:9" ht="18" x14ac:dyDescent="0.3">
      <c r="C9" s="119">
        <v>3</v>
      </c>
      <c r="D9" s="168"/>
      <c r="E9" s="119">
        <v>7</v>
      </c>
      <c r="G9" s="119">
        <v>11</v>
      </c>
      <c r="H9" s="36"/>
      <c r="I9" s="119">
        <v>15</v>
      </c>
    </row>
    <row r="10" spans="2:9" ht="18" x14ac:dyDescent="0.3">
      <c r="C10" s="119">
        <v>4</v>
      </c>
      <c r="D10" s="168"/>
      <c r="E10" s="119">
        <v>8</v>
      </c>
      <c r="G10" s="119">
        <v>12</v>
      </c>
      <c r="H10" s="36"/>
      <c r="I10" s="119">
        <v>16</v>
      </c>
    </row>
    <row r="11" spans="2:9" x14ac:dyDescent="0.3">
      <c r="B11" s="507"/>
      <c r="C11" s="507"/>
      <c r="D11" s="507"/>
      <c r="E11" s="507"/>
      <c r="F11" s="507"/>
      <c r="G11" s="507"/>
      <c r="H11" s="507"/>
      <c r="I11" s="507"/>
    </row>
    <row r="12" spans="2:9" ht="18" x14ac:dyDescent="0.3">
      <c r="B12" s="508" t="s">
        <v>42</v>
      </c>
      <c r="C12" s="508"/>
      <c r="D12" s="508"/>
      <c r="E12" s="508"/>
      <c r="F12" s="508"/>
      <c r="G12" s="508"/>
      <c r="H12" s="508"/>
      <c r="I12" s="508"/>
    </row>
    <row r="13" spans="2:9" ht="18.600000000000001" thickBot="1" x14ac:dyDescent="0.4">
      <c r="B13" s="169"/>
      <c r="C13" s="169"/>
      <c r="D13" s="169"/>
      <c r="E13" s="169"/>
      <c r="F13" s="169"/>
      <c r="G13" s="169"/>
      <c r="H13" s="169"/>
      <c r="I13" s="169"/>
    </row>
    <row r="14" spans="2:9" ht="15" thickBot="1" x14ac:dyDescent="0.35">
      <c r="B14" s="170" t="s">
        <v>2</v>
      </c>
      <c r="C14" s="501" t="s">
        <v>46</v>
      </c>
      <c r="D14" s="502"/>
      <c r="E14" s="502"/>
      <c r="F14" s="171" t="s">
        <v>47</v>
      </c>
      <c r="G14" s="501" t="s">
        <v>52</v>
      </c>
      <c r="H14" s="502"/>
      <c r="I14" s="503"/>
    </row>
    <row r="15" spans="2:9" ht="7.5" customHeight="1" thickBot="1" x14ac:dyDescent="0.35">
      <c r="F15" s="172"/>
    </row>
    <row r="16" spans="2:9" ht="15" thickBot="1" x14ac:dyDescent="0.35">
      <c r="B16" s="170" t="s">
        <v>3</v>
      </c>
      <c r="C16" s="501" t="s">
        <v>49</v>
      </c>
      <c r="D16" s="502"/>
      <c r="E16" s="502"/>
      <c r="F16" s="171" t="s">
        <v>47</v>
      </c>
      <c r="G16" s="501" t="s">
        <v>54</v>
      </c>
      <c r="H16" s="502"/>
      <c r="I16" s="503"/>
    </row>
    <row r="18" spans="2:9" ht="15" thickBot="1" x14ac:dyDescent="0.35">
      <c r="B18" s="170" t="s">
        <v>58</v>
      </c>
      <c r="C18" s="501" t="s">
        <v>48</v>
      </c>
      <c r="D18" s="502"/>
      <c r="E18" s="502"/>
      <c r="F18" s="171" t="s">
        <v>47</v>
      </c>
      <c r="G18" s="501" t="s">
        <v>51</v>
      </c>
      <c r="H18" s="502"/>
      <c r="I18" s="503"/>
    </row>
    <row r="19" spans="2:9" ht="7.5" customHeight="1" thickBot="1" x14ac:dyDescent="0.35"/>
    <row r="20" spans="2:9" ht="15" thickBot="1" x14ac:dyDescent="0.35">
      <c r="B20" s="170" t="s">
        <v>59</v>
      </c>
      <c r="C20" s="501" t="s">
        <v>50</v>
      </c>
      <c r="D20" s="502"/>
      <c r="E20" s="502"/>
      <c r="F20" s="171" t="s">
        <v>47</v>
      </c>
      <c r="G20" s="501" t="s">
        <v>53</v>
      </c>
      <c r="H20" s="502"/>
      <c r="I20" s="503"/>
    </row>
    <row r="22" spans="2:9" ht="18" x14ac:dyDescent="0.35">
      <c r="B22" s="509" t="s">
        <v>57</v>
      </c>
      <c r="C22" s="509"/>
      <c r="D22" s="509"/>
      <c r="E22" s="509"/>
      <c r="F22" s="509"/>
      <c r="G22" s="509"/>
      <c r="H22" s="509"/>
      <c r="I22" s="509"/>
    </row>
    <row r="23" spans="2:9" ht="3.75" customHeight="1" thickBot="1" x14ac:dyDescent="0.35"/>
    <row r="24" spans="2:9" ht="15" thickBot="1" x14ac:dyDescent="0.35">
      <c r="B24" s="170" t="s">
        <v>43</v>
      </c>
      <c r="C24" s="501" t="s">
        <v>55</v>
      </c>
      <c r="D24" s="502"/>
      <c r="E24" s="503"/>
      <c r="F24" s="171" t="s">
        <v>47</v>
      </c>
      <c r="G24" s="501" t="s">
        <v>56</v>
      </c>
      <c r="H24" s="502"/>
      <c r="I24" s="503"/>
    </row>
    <row r="25" spans="2:9" ht="6.75" customHeight="1" thickBot="1" x14ac:dyDescent="0.35"/>
    <row r="26" spans="2:9" ht="15" thickBot="1" x14ac:dyDescent="0.35">
      <c r="B26" s="170" t="s">
        <v>44</v>
      </c>
      <c r="C26" s="501" t="s">
        <v>60</v>
      </c>
      <c r="D26" s="502"/>
      <c r="E26" s="503"/>
      <c r="F26" s="171" t="s">
        <v>47</v>
      </c>
      <c r="G26" s="501" t="s">
        <v>61</v>
      </c>
      <c r="H26" s="502"/>
      <c r="I26" s="503"/>
    </row>
    <row r="28" spans="2:9" ht="18" x14ac:dyDescent="0.3">
      <c r="C28" s="508" t="s">
        <v>63</v>
      </c>
      <c r="D28" s="508"/>
      <c r="E28" s="508"/>
      <c r="F28" s="508"/>
      <c r="G28" s="508"/>
      <c r="H28" s="508"/>
      <c r="I28" s="508"/>
    </row>
    <row r="29" spans="2:9" ht="7.5" customHeight="1" thickBot="1" x14ac:dyDescent="0.35"/>
    <row r="30" spans="2:9" ht="15" thickBot="1" x14ac:dyDescent="0.35">
      <c r="C30" s="501" t="s">
        <v>64</v>
      </c>
      <c r="D30" s="502"/>
      <c r="E30" s="503"/>
      <c r="F30" s="171" t="s">
        <v>47</v>
      </c>
      <c r="G30" s="501" t="s">
        <v>65</v>
      </c>
      <c r="H30" s="502"/>
      <c r="I30" s="503"/>
    </row>
    <row r="32" spans="2:9" ht="18" x14ac:dyDescent="0.3">
      <c r="C32" s="508" t="s">
        <v>62</v>
      </c>
      <c r="D32" s="508"/>
      <c r="E32" s="508"/>
      <c r="F32" s="508"/>
      <c r="G32" s="508"/>
      <c r="H32" s="508"/>
      <c r="I32" s="508"/>
    </row>
    <row r="34" spans="3:9" ht="15" thickBot="1" x14ac:dyDescent="0.35">
      <c r="C34" s="501" t="s">
        <v>66</v>
      </c>
      <c r="D34" s="502"/>
      <c r="E34" s="503"/>
      <c r="F34" s="171" t="s">
        <v>47</v>
      </c>
      <c r="G34" s="501" t="s">
        <v>67</v>
      </c>
      <c r="H34" s="502"/>
      <c r="I34" s="503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0F00-000000000000}"/>
    <hyperlink ref="E6" location="'GRUPO B'!A1" display="GRUPO B" xr:uid="{00000000-0004-0000-0F00-000001000000}"/>
    <hyperlink ref="C6" location="'GRUPO B'!A1" display="GRUPO B" xr:uid="{00000000-0004-0000-0F00-000002000000}"/>
    <hyperlink ref="I6" location="'GRUPO B'!A1" display="GRUPO B" xr:uid="{00000000-0004-0000-0F00-000003000000}"/>
  </hyperlink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3" t="e">
        <f>+'PRE BABY GRUPOS'!B1:I1</f>
        <v>#VALUE!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</row>
    <row r="2" spans="1:19" ht="28.8" x14ac:dyDescent="0.55000000000000004">
      <c r="A2" s="514" t="e">
        <f>+'PRE BABY GRUPOS'!B2:I2</f>
        <v>#VALUE!</v>
      </c>
      <c r="B2" s="514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</row>
    <row r="3" spans="1:19" ht="28.8" x14ac:dyDescent="0.55000000000000004">
      <c r="A3" s="514" t="e">
        <f>+'PRE BABY GRUPOS'!#REF!</f>
        <v>#REF!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</row>
    <row r="4" spans="1:19" ht="21" x14ac:dyDescent="0.4">
      <c r="A4" s="515" t="str">
        <f>+'PRE BABY GRUPOS'!C3</f>
        <v>NACIDOS 2012 2013</v>
      </c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515"/>
      <c r="S4" s="515"/>
    </row>
    <row r="5" spans="1:19" ht="21" x14ac:dyDescent="0.4">
      <c r="A5" s="515" t="s">
        <v>73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</row>
    <row r="6" spans="1:19" ht="21" customHeight="1" x14ac:dyDescent="0.3">
      <c r="A6"/>
      <c r="B6" s="510" t="str">
        <f>+IMPRIMIR!A14</f>
        <v>PARTIDOS                 fecha 1</v>
      </c>
      <c r="C6" s="511"/>
      <c r="D6" s="511"/>
      <c r="E6" s="511"/>
      <c r="F6" s="511"/>
      <c r="G6" s="511"/>
      <c r="H6" s="512"/>
      <c r="J6" s="178" t="str">
        <f>+'GRUPO A'!B4</f>
        <v>GRUPO A</v>
      </c>
      <c r="K6" s="178">
        <f>+'GRUPO A'!Q20</f>
        <v>0</v>
      </c>
      <c r="L6" s="178">
        <f>+'GRUPO A'!R20</f>
        <v>0</v>
      </c>
      <c r="M6" s="178">
        <f>+'GRUPO A'!S20</f>
        <v>0</v>
      </c>
      <c r="N6" s="178">
        <f>+'GRUPO A'!T20</f>
        <v>0</v>
      </c>
      <c r="O6" s="178">
        <f>+'GRUPO A'!U20</f>
        <v>0</v>
      </c>
      <c r="P6" s="178">
        <f>+'GRUPO A'!V20</f>
        <v>0</v>
      </c>
      <c r="Q6" s="178">
        <f>+'GRUPO A'!W20</f>
        <v>0</v>
      </c>
      <c r="R6" s="178">
        <f>+'GRUPO A'!X20</f>
        <v>0</v>
      </c>
      <c r="S6" s="178">
        <f>+'GRUPO A'!Y20</f>
        <v>0</v>
      </c>
    </row>
    <row r="7" spans="1:19" x14ac:dyDescent="0.3">
      <c r="B7" s="184" t="s">
        <v>68</v>
      </c>
      <c r="C7" s="184" t="s">
        <v>69</v>
      </c>
      <c r="D7" s="184" t="s">
        <v>70</v>
      </c>
      <c r="E7" s="516" t="s">
        <v>71</v>
      </c>
      <c r="F7" s="516"/>
      <c r="G7" s="184" t="s">
        <v>70</v>
      </c>
      <c r="H7" s="184" t="s">
        <v>72</v>
      </c>
      <c r="J7" s="179">
        <f>+'GRUPO A'!P22</f>
        <v>0</v>
      </c>
      <c r="K7" s="173">
        <f>+'GRUPO A'!Q22</f>
        <v>0</v>
      </c>
      <c r="L7" s="173">
        <f>+'GRUPO A'!R22</f>
        <v>0</v>
      </c>
      <c r="M7" s="173">
        <f>+'GRUPO A'!S22</f>
        <v>0</v>
      </c>
      <c r="N7" s="173">
        <f>+'GRUPO A'!T22</f>
        <v>0</v>
      </c>
      <c r="O7" s="173">
        <f>+'GRUPO A'!U22</f>
        <v>0</v>
      </c>
      <c r="P7" s="173">
        <f>+'GRUPO A'!V22</f>
        <v>0</v>
      </c>
      <c r="Q7" s="173">
        <f>+'GRUPO A'!W22</f>
        <v>0</v>
      </c>
      <c r="R7" s="173">
        <f>+'GRUPO A'!X22</f>
        <v>0</v>
      </c>
      <c r="S7" s="173">
        <f>+'GRUPO A'!Y22</f>
        <v>0</v>
      </c>
    </row>
    <row r="8" spans="1:19" ht="21" customHeight="1" x14ac:dyDescent="0.3">
      <c r="A8" s="517">
        <f>+'GRUPO A'!B20</f>
        <v>42966</v>
      </c>
      <c r="B8" s="173" t="str">
        <f>+'GRUPO A'!M20</f>
        <v>CANCHA 1 A</v>
      </c>
      <c r="C8" s="173" t="str">
        <f>+'GRUPO A'!C20</f>
        <v>11:45. a.m.</v>
      </c>
      <c r="D8" s="173">
        <f>+'GRUPO A'!E20</f>
        <v>0</v>
      </c>
      <c r="E8" s="173">
        <f>+'GRUPO A'!G20</f>
        <v>0</v>
      </c>
      <c r="F8" s="173">
        <f>+'GRUPO A'!I20</f>
        <v>0</v>
      </c>
      <c r="G8" s="173">
        <f>+'GRUPO A'!K20</f>
        <v>0</v>
      </c>
      <c r="H8" s="173" t="str">
        <f>+'GRUPO A'!B4</f>
        <v>GRUPO A</v>
      </c>
      <c r="J8" s="179">
        <f>+'GRUPO A'!P24</f>
        <v>0</v>
      </c>
      <c r="K8" s="173">
        <f>+'GRUPO A'!Q24</f>
        <v>0</v>
      </c>
      <c r="L8" s="173">
        <f>+'GRUPO A'!R24</f>
        <v>0</v>
      </c>
      <c r="M8" s="173">
        <f>+'GRUPO A'!S24</f>
        <v>0</v>
      </c>
      <c r="N8" s="173">
        <f>+'GRUPO A'!T24</f>
        <v>0</v>
      </c>
      <c r="O8" s="173">
        <f>+'GRUPO A'!U24</f>
        <v>0</v>
      </c>
      <c r="P8" s="173">
        <f>+'GRUPO A'!V24</f>
        <v>0</v>
      </c>
      <c r="Q8" s="173">
        <f>+'GRUPO A'!W24</f>
        <v>0</v>
      </c>
      <c r="R8" s="173">
        <f>+'GRUPO A'!X24</f>
        <v>0</v>
      </c>
      <c r="S8" s="173">
        <f>+'GRUPO A'!Y24</f>
        <v>0</v>
      </c>
    </row>
    <row r="9" spans="1:19" ht="21" customHeight="1" x14ac:dyDescent="0.3">
      <c r="A9" s="518"/>
      <c r="B9" s="175" t="str">
        <f>+'GRUPO A'!M23</f>
        <v>CANCHA 1 B</v>
      </c>
      <c r="C9" s="175" t="str">
        <f>+'GRUPO A'!C23</f>
        <v>11:45. a.m.</v>
      </c>
      <c r="D9" s="175">
        <f>+'GRUPO A'!E23</f>
        <v>0</v>
      </c>
      <c r="E9" s="175">
        <f>+'GRUPO A'!G23</f>
        <v>0</v>
      </c>
      <c r="F9" s="175">
        <f>+'GRUPO A'!I23</f>
        <v>0</v>
      </c>
      <c r="G9" s="175">
        <f>+'GRUPO A'!K23</f>
        <v>0</v>
      </c>
      <c r="H9" s="176" t="str">
        <f>+'GRUPO A'!B4</f>
        <v>GRUPO A</v>
      </c>
      <c r="J9" s="179">
        <f>+'GRUPO A'!P26</f>
        <v>0</v>
      </c>
      <c r="K9" s="173">
        <f>+'GRUPO A'!Q26</f>
        <v>0</v>
      </c>
      <c r="L9" s="173">
        <f>+'GRUPO A'!R26</f>
        <v>0</v>
      </c>
      <c r="M9" s="173">
        <f>+'GRUPO A'!S26</f>
        <v>0</v>
      </c>
      <c r="N9" s="173">
        <f>+'GRUPO A'!T26</f>
        <v>0</v>
      </c>
      <c r="O9" s="173">
        <f>+'GRUPO A'!U26</f>
        <v>0</v>
      </c>
      <c r="P9" s="173">
        <f>+'GRUPO A'!V26</f>
        <v>0</v>
      </c>
      <c r="Q9" s="173">
        <f>+'GRUPO A'!W26</f>
        <v>0</v>
      </c>
      <c r="R9" s="173">
        <f>+'GRUPO A'!X26</f>
        <v>0</v>
      </c>
      <c r="S9" s="173">
        <f>+'GRUPO A'!Y26</f>
        <v>0</v>
      </c>
    </row>
    <row r="10" spans="1:19" ht="21" customHeight="1" x14ac:dyDescent="0.3">
      <c r="A10" s="518"/>
      <c r="B10" s="173" t="str">
        <f>+'GRUPO B'!M20</f>
        <v>CANCHA 1 C</v>
      </c>
      <c r="C10" s="173" t="str">
        <f>+'GRUPO B'!C20</f>
        <v>11:45. a.m.</v>
      </c>
      <c r="D10" s="173">
        <f>+'GRUPO B'!E20</f>
        <v>0</v>
      </c>
      <c r="E10" s="173">
        <f>+'GRUPO B'!G20</f>
        <v>0</v>
      </c>
      <c r="F10" s="173">
        <f>+'GRUPO B'!I20</f>
        <v>0</v>
      </c>
      <c r="G10" s="173">
        <f>+'GRUPO B'!K20</f>
        <v>0</v>
      </c>
      <c r="H10" s="173" t="str">
        <f>+'GRUPO B'!B4</f>
        <v>GRUPO B</v>
      </c>
      <c r="J10" s="179">
        <f>+'GRUPO A'!P28</f>
        <v>0</v>
      </c>
      <c r="K10" s="173">
        <f>+'GRUPO A'!Q28</f>
        <v>0</v>
      </c>
      <c r="L10" s="173">
        <f>+'GRUPO A'!R28</f>
        <v>0</v>
      </c>
      <c r="M10" s="173">
        <f>+'GRUPO A'!S28</f>
        <v>0</v>
      </c>
      <c r="N10" s="173">
        <f>+'GRUPO A'!T28</f>
        <v>0</v>
      </c>
      <c r="O10" s="173">
        <f>+'GRUPO A'!U28</f>
        <v>0</v>
      </c>
      <c r="P10" s="173">
        <f>+'GRUPO A'!V28</f>
        <v>0</v>
      </c>
      <c r="Q10" s="173">
        <f>+'GRUPO A'!W28</f>
        <v>0</v>
      </c>
      <c r="R10" s="173">
        <f>+'GRUPO A'!X28</f>
        <v>0</v>
      </c>
      <c r="S10" s="173">
        <f>+'GRUPO A'!Y28</f>
        <v>0</v>
      </c>
    </row>
    <row r="11" spans="1:19" ht="21" customHeight="1" x14ac:dyDescent="0.3">
      <c r="A11" s="518"/>
      <c r="B11" s="175" t="str">
        <f>+'GRUPO B'!M23</f>
        <v>CANCHA 1 A</v>
      </c>
      <c r="C11" s="175" t="str">
        <f>+'GRUPO B'!C23</f>
        <v>04:40. a.m.</v>
      </c>
      <c r="D11" s="175">
        <f>+'GRUPO B'!E23</f>
        <v>0</v>
      </c>
      <c r="E11" s="175">
        <f>+'GRUPO B'!G23</f>
        <v>0</v>
      </c>
      <c r="F11" s="175">
        <f>+'GRUPO B'!I23</f>
        <v>0</v>
      </c>
      <c r="G11" s="175">
        <f>+'GRUPO B'!K23</f>
        <v>0</v>
      </c>
      <c r="H11" s="176" t="str">
        <f>+'GRUPO B'!B4</f>
        <v>GRUPO B</v>
      </c>
    </row>
    <row r="12" spans="1:19" ht="21" customHeight="1" x14ac:dyDescent="0.3">
      <c r="A12" s="518"/>
      <c r="B12" s="173" t="str">
        <f>+'GRUPO C'!M20</f>
        <v>CANCHA 1 B</v>
      </c>
      <c r="C12" s="173" t="str">
        <f>+'GRUPO C'!C20</f>
        <v>11:45. a.m.</v>
      </c>
      <c r="D12" s="173">
        <f>+'GRUPO C'!E20</f>
        <v>0</v>
      </c>
      <c r="E12" s="173">
        <f>+'GRUPO C'!G20</f>
        <v>0</v>
      </c>
      <c r="F12" s="173">
        <f>+'GRUPO C'!I20</f>
        <v>0</v>
      </c>
      <c r="G12" s="173">
        <f>+'GRUPO C'!K20</f>
        <v>0</v>
      </c>
      <c r="H12" s="173" t="str">
        <f>+'GRUPO C'!B4</f>
        <v>GRUPO C</v>
      </c>
      <c r="J12" s="177" t="str">
        <f>+'GRUPO B'!B4</f>
        <v>GRUPO B</v>
      </c>
      <c r="K12" s="177" t="str">
        <f>+'GRUPO B'!Q8</f>
        <v>Pts.</v>
      </c>
      <c r="L12" s="177" t="str">
        <f>+'GRUPO B'!R8</f>
        <v>PJ</v>
      </c>
      <c r="M12" s="177" t="str">
        <f>+'GRUPO B'!S8</f>
        <v>Gan.</v>
      </c>
      <c r="N12" s="177" t="str">
        <f>+'GRUPO B'!T8</f>
        <v>Emp.</v>
      </c>
      <c r="O12" s="177" t="str">
        <f>+'GRUPO B'!U8</f>
        <v>Per.</v>
      </c>
      <c r="P12" s="177" t="str">
        <f>+'GRUPO B'!V8</f>
        <v>GF</v>
      </c>
      <c r="Q12" s="177" t="str">
        <f>+'GRUPO B'!W8</f>
        <v>GC</v>
      </c>
      <c r="R12" s="177" t="str">
        <f>+'GRUPO B'!X8</f>
        <v>Dif.</v>
      </c>
      <c r="S12" s="177" t="str">
        <f>+'GRUPO B'!Y8</f>
        <v>Tj</v>
      </c>
    </row>
    <row r="13" spans="1:19" ht="21" customHeight="1" x14ac:dyDescent="0.3">
      <c r="A13" s="518"/>
      <c r="B13" s="175" t="str">
        <f>+'GRUPO C'!M23</f>
        <v>CANCHA 1 C</v>
      </c>
      <c r="C13" s="175" t="str">
        <f>+'GRUPO C'!C23</f>
        <v>12:40. p.m.</v>
      </c>
      <c r="D13" s="175">
        <f>+'GRUPO C'!E23</f>
        <v>0</v>
      </c>
      <c r="E13" s="175">
        <f>+'GRUPO C'!G20</f>
        <v>0</v>
      </c>
      <c r="F13" s="175">
        <f>+'GRUPO C'!I23</f>
        <v>0</v>
      </c>
      <c r="G13" s="175">
        <f>+'GRUPO C'!K20</f>
        <v>0</v>
      </c>
      <c r="H13" s="176" t="str">
        <f>+'GRUPO C'!B4</f>
        <v>GRUPO C</v>
      </c>
      <c r="J13" s="179" t="str">
        <f>+'GRUPO B'!P10</f>
        <v xml:space="preserve">  1)  CLUB ARIEL ARMEL</v>
      </c>
      <c r="K13" s="173">
        <f>+'GRUPO B'!Q10</f>
        <v>4</v>
      </c>
      <c r="L13" s="173">
        <f>+'GRUPO B'!R10</f>
        <v>3</v>
      </c>
      <c r="M13" s="173">
        <f>+'GRUPO B'!S10</f>
        <v>1</v>
      </c>
      <c r="N13" s="173">
        <f>+'GRUPO B'!T10</f>
        <v>1</v>
      </c>
      <c r="O13" s="173">
        <f>+'GRUPO B'!U10</f>
        <v>1</v>
      </c>
      <c r="P13" s="173">
        <f>+'GRUPO B'!V10</f>
        <v>7</v>
      </c>
      <c r="Q13" s="173">
        <f>+'GRUPO B'!W10</f>
        <v>4</v>
      </c>
      <c r="R13" s="173">
        <f>+'GRUPO B'!X10</f>
        <v>3</v>
      </c>
      <c r="S13" s="173">
        <f>+'GRUPO B'!Y10</f>
        <v>0</v>
      </c>
    </row>
    <row r="14" spans="1:19" ht="21" customHeight="1" x14ac:dyDescent="0.3">
      <c r="A14" s="518"/>
      <c r="B14" s="173" t="str">
        <f>+'GRUPO D'!M20</f>
        <v>CANCHA 1 A</v>
      </c>
      <c r="C14" s="173" t="str">
        <f>+'GRUPO D'!C20</f>
        <v>04:40. a.m.</v>
      </c>
      <c r="D14" s="173">
        <f>+'GRUPO D'!E20</f>
        <v>0</v>
      </c>
      <c r="E14" s="173">
        <f>+'GRUPO D'!G20</f>
        <v>0</v>
      </c>
      <c r="F14" s="173">
        <f>+'GRUPO D'!I20</f>
        <v>0</v>
      </c>
      <c r="G14" s="173">
        <f>+'GRUPO D'!K20</f>
        <v>0</v>
      </c>
      <c r="H14" s="173" t="str">
        <f>+'GRUPO D'!B4</f>
        <v>GRUPO D</v>
      </c>
      <c r="J14" s="179" t="str">
        <f>+'GRUPO B'!P12</f>
        <v xml:space="preserve">  2)  CENTAUROS DEL ARIARI</v>
      </c>
      <c r="K14" s="173">
        <f>+'GRUPO B'!Q12</f>
        <v>3</v>
      </c>
      <c r="L14" s="173">
        <f>+'GRUPO B'!R12</f>
        <v>3</v>
      </c>
      <c r="M14" s="173">
        <f>+'GRUPO B'!S12</f>
        <v>1</v>
      </c>
      <c r="N14" s="173">
        <f>+'GRUPO B'!T12</f>
        <v>0</v>
      </c>
      <c r="O14" s="173">
        <f>+'GRUPO B'!U12</f>
        <v>2</v>
      </c>
      <c r="P14" s="173">
        <f>+'GRUPO B'!V12</f>
        <v>4</v>
      </c>
      <c r="Q14" s="173">
        <f>+'GRUPO B'!W12</f>
        <v>5</v>
      </c>
      <c r="R14" s="173">
        <f>+'GRUPO B'!X12</f>
        <v>-1</v>
      </c>
      <c r="S14" s="173">
        <f>+'GRUPO B'!Y12</f>
        <v>0</v>
      </c>
    </row>
    <row r="15" spans="1:19" ht="21" customHeight="1" x14ac:dyDescent="0.3">
      <c r="A15" s="518"/>
      <c r="B15" s="175" t="str">
        <f>+'GRUPO D'!M23</f>
        <v>CANCHA 1 B</v>
      </c>
      <c r="C15" s="175" t="str">
        <f>+'GRUPO D'!C23</f>
        <v>04:40. p.m.</v>
      </c>
      <c r="D15" s="175">
        <f>+'GRUPO D'!E23</f>
        <v>0</v>
      </c>
      <c r="E15" s="175">
        <f>+'GRUPO D'!G23</f>
        <v>0</v>
      </c>
      <c r="F15" s="175">
        <f>+'GRUPO D'!I23</f>
        <v>0</v>
      </c>
      <c r="G15" s="175">
        <f>+'GRUPO D'!K23</f>
        <v>0</v>
      </c>
      <c r="H15" s="176" t="str">
        <f>+'GRUPO D'!B4</f>
        <v>GRUPO D</v>
      </c>
      <c r="J15" s="179" t="str">
        <f>+'GRUPO B'!P14</f>
        <v xml:space="preserve">  3)  COLEGIO PRINCIPADO DE MONACO</v>
      </c>
      <c r="K15" s="173">
        <f>+'GRUPO B'!Q14</f>
        <v>1</v>
      </c>
      <c r="L15" s="173">
        <f>+'GRUPO B'!R14</f>
        <v>3</v>
      </c>
      <c r="M15" s="173">
        <f>+'GRUPO B'!S14</f>
        <v>0</v>
      </c>
      <c r="N15" s="173">
        <f>+'GRUPO B'!T14</f>
        <v>1</v>
      </c>
      <c r="O15" s="173">
        <f>+'GRUPO B'!U14</f>
        <v>2</v>
      </c>
      <c r="P15" s="173">
        <f>+'GRUPO B'!V14</f>
        <v>7</v>
      </c>
      <c r="Q15" s="173">
        <f>+'GRUPO B'!W14</f>
        <v>12</v>
      </c>
      <c r="R15" s="173">
        <f>+'GRUPO B'!X14</f>
        <v>-5</v>
      </c>
      <c r="S15" s="173">
        <f>+'GRUPO B'!Y14</f>
        <v>0</v>
      </c>
    </row>
    <row r="16" spans="1:19" ht="2.25" customHeight="1" x14ac:dyDescent="0.3">
      <c r="J16" s="187"/>
    </row>
    <row r="17" spans="1:19" ht="21" customHeight="1" x14ac:dyDescent="0.3">
      <c r="B17" s="519" t="str">
        <f>+'IMPRIMIR 2'!A14</f>
        <v>PARTIDOS                 fecha 2</v>
      </c>
      <c r="C17" s="520"/>
      <c r="D17" s="520"/>
      <c r="E17" s="520"/>
      <c r="F17" s="520"/>
      <c r="G17" s="520"/>
      <c r="H17" s="521"/>
      <c r="J17" s="179">
        <f>+'GRUPO B'!P16</f>
        <v>0</v>
      </c>
      <c r="K17" s="173">
        <f>+'GRUPO B'!Q16</f>
        <v>0</v>
      </c>
      <c r="L17" s="173">
        <f>+'GRUPO B'!R16</f>
        <v>0</v>
      </c>
      <c r="M17" s="173">
        <f>+'GRUPO B'!S16</f>
        <v>0</v>
      </c>
      <c r="N17" s="173">
        <f>+'GRUPO B'!T16</f>
        <v>0</v>
      </c>
      <c r="O17" s="173">
        <f>+'GRUPO B'!U16</f>
        <v>0</v>
      </c>
      <c r="P17" s="173">
        <f>+'GRUPO B'!V16</f>
        <v>0</v>
      </c>
      <c r="Q17" s="173">
        <f>+'GRUPO B'!W16</f>
        <v>0</v>
      </c>
      <c r="R17" s="173">
        <f>+'GRUPO B'!X16</f>
        <v>0</v>
      </c>
      <c r="S17" s="173">
        <f>+'GRUPO B'!Y16</f>
        <v>0</v>
      </c>
    </row>
    <row r="18" spans="1:19" ht="21" customHeight="1" x14ac:dyDescent="0.3">
      <c r="B18" s="184" t="s">
        <v>68</v>
      </c>
      <c r="C18" s="184" t="s">
        <v>69</v>
      </c>
      <c r="D18" s="184" t="s">
        <v>70</v>
      </c>
      <c r="E18" s="516" t="s">
        <v>71</v>
      </c>
      <c r="F18" s="516"/>
      <c r="G18" s="184" t="s">
        <v>70</v>
      </c>
      <c r="H18" s="184" t="s">
        <v>72</v>
      </c>
    </row>
    <row r="19" spans="1:19" ht="21" customHeight="1" x14ac:dyDescent="0.3">
      <c r="A19" s="517">
        <f>+'GRUPO A'!B26</f>
        <v>42966</v>
      </c>
      <c r="B19" s="173" t="str">
        <f>+'GRUPO A'!M26</f>
        <v>CANCHA 1 C</v>
      </c>
      <c r="C19" s="173" t="str">
        <f>+'GRUPO A'!C26</f>
        <v>12:40. p.m.</v>
      </c>
      <c r="D19" s="173">
        <f>+'GRUPO A'!E26</f>
        <v>0</v>
      </c>
      <c r="E19" s="173">
        <f>+'GRUPO A'!G26</f>
        <v>0</v>
      </c>
      <c r="F19" s="173">
        <f>+'GRUPO A'!I26</f>
        <v>0</v>
      </c>
      <c r="G19" s="173">
        <f>+'GRUPO A'!K26</f>
        <v>0</v>
      </c>
      <c r="H19" s="174" t="str">
        <f>+'GRUPO A'!B4</f>
        <v>GRUPO A</v>
      </c>
      <c r="J19" s="180" t="str">
        <f>+'GRUPO C'!B4</f>
        <v>GRUPO C</v>
      </c>
      <c r="K19" s="181" t="str">
        <f>+'GRUPO C'!Q8</f>
        <v>Pts.</v>
      </c>
      <c r="L19" s="181" t="str">
        <f>+'GRUPO C'!R8</f>
        <v>PJ</v>
      </c>
      <c r="M19" s="181" t="str">
        <f>+'GRUPO C'!S8</f>
        <v>Gan.</v>
      </c>
      <c r="N19" s="181" t="str">
        <f>+'GRUPO C'!T8</f>
        <v>Emp.</v>
      </c>
      <c r="O19" s="181" t="str">
        <f>+'GRUPO C'!U8</f>
        <v>Per.</v>
      </c>
      <c r="P19" s="181" t="str">
        <f>+'GRUPO C'!V8</f>
        <v>GF</v>
      </c>
      <c r="Q19" s="181" t="str">
        <f>+'GRUPO C'!W8</f>
        <v>GC</v>
      </c>
      <c r="R19" s="181" t="str">
        <f>+'GRUPO C'!X8</f>
        <v>Dif.</v>
      </c>
      <c r="S19" s="181" t="str">
        <f>+'GRUPO C'!Y8</f>
        <v>Tj</v>
      </c>
    </row>
    <row r="20" spans="1:19" ht="21" customHeight="1" x14ac:dyDescent="0.3">
      <c r="A20" s="518"/>
      <c r="B20" s="175" t="str">
        <f>+'GRUPO A'!M29</f>
        <v>CANCHA 1 C</v>
      </c>
      <c r="C20" s="175" t="str">
        <f>+'GRUPO A'!C29</f>
        <v>12:50. p.m.</v>
      </c>
      <c r="D20" s="175" t="str">
        <f>+'GRUPO A'!E29</f>
        <v>COLEGIO NEIL ARMSTRONG</v>
      </c>
      <c r="E20" s="175">
        <f>+'GRUPO A'!G29</f>
        <v>4</v>
      </c>
      <c r="F20" s="175">
        <f>+'GRUPO A'!I29</f>
        <v>1</v>
      </c>
      <c r="G20" s="175" t="str">
        <f>+'GRUPO A'!K29</f>
        <v>CLUB CAMPESTRE IBAGUE UNO</v>
      </c>
      <c r="H20" s="176" t="str">
        <f>+'GRUPO A'!B4</f>
        <v>GRUPO A</v>
      </c>
      <c r="J20" s="179" t="str">
        <f>+'GRUPO C'!P10</f>
        <v xml:space="preserve">  1)  GRAMA F. C.</v>
      </c>
      <c r="K20" s="173">
        <f>+'GRUPO C'!Q10</f>
        <v>6</v>
      </c>
      <c r="L20" s="173">
        <f>+'GRUPO C'!R10</f>
        <v>3</v>
      </c>
      <c r="M20" s="173">
        <f>+'GRUPO C'!S10</f>
        <v>2</v>
      </c>
      <c r="N20" s="173">
        <f>+'GRUPO C'!T10</f>
        <v>0</v>
      </c>
      <c r="O20" s="173">
        <f>+'GRUPO C'!U10</f>
        <v>1</v>
      </c>
      <c r="P20" s="173">
        <f>+'GRUPO C'!V10</f>
        <v>8</v>
      </c>
      <c r="Q20" s="173">
        <f>+'GRUPO C'!W10</f>
        <v>6</v>
      </c>
      <c r="R20" s="173">
        <f>+'GRUPO C'!X10</f>
        <v>2</v>
      </c>
      <c r="S20" s="173">
        <f>+'GRUPO C'!Y10</f>
        <v>0</v>
      </c>
    </row>
    <row r="21" spans="1:19" ht="21" customHeight="1" x14ac:dyDescent="0.3">
      <c r="A21" s="518"/>
      <c r="B21" s="173" t="str">
        <f>+'GRUPO B'!M26</f>
        <v>CANCHA 1 B</v>
      </c>
      <c r="C21" s="173" t="str">
        <f>+'GRUPO B'!C26</f>
        <v>04:40. p.m.</v>
      </c>
      <c r="D21" s="173">
        <f>+'GRUPO B'!E26</f>
        <v>0</v>
      </c>
      <c r="E21" s="173">
        <f>+'GRUPO B'!G26</f>
        <v>0</v>
      </c>
      <c r="F21" s="173">
        <f>+'GRUPO B'!I26</f>
        <v>0</v>
      </c>
      <c r="G21" s="173">
        <f>+'GRUPO B'!K26</f>
        <v>0</v>
      </c>
      <c r="H21" s="174" t="str">
        <f>+'GRUPO B'!B4</f>
        <v>GRUPO B</v>
      </c>
      <c r="J21" s="179" t="str">
        <f>+'GRUPO C'!P12</f>
        <v xml:space="preserve">  2)  ESCUELA DE FORMACIÓN DEPORTIVA MARACANA</v>
      </c>
      <c r="K21" s="173">
        <f>+'GRUPO C'!Q12</f>
        <v>4</v>
      </c>
      <c r="L21" s="173">
        <f>+'GRUPO C'!R12</f>
        <v>3</v>
      </c>
      <c r="M21" s="173">
        <f>+'GRUPO C'!S12</f>
        <v>1</v>
      </c>
      <c r="N21" s="173">
        <f>+'GRUPO C'!T12</f>
        <v>1</v>
      </c>
      <c r="O21" s="173">
        <f>+'GRUPO C'!U12</f>
        <v>1</v>
      </c>
      <c r="P21" s="173">
        <f>+'GRUPO C'!V12</f>
        <v>17</v>
      </c>
      <c r="Q21" s="173">
        <f>+'GRUPO C'!W12</f>
        <v>5</v>
      </c>
      <c r="R21" s="173">
        <f>+'GRUPO C'!X12</f>
        <v>12</v>
      </c>
      <c r="S21" s="173">
        <f>+'GRUPO C'!Y12</f>
        <v>0</v>
      </c>
    </row>
    <row r="22" spans="1:19" ht="21" customHeight="1" x14ac:dyDescent="0.3">
      <c r="A22" s="518"/>
      <c r="B22" s="175" t="str">
        <f>+'GRUPO B'!M29</f>
        <v>CANCHA 1 A</v>
      </c>
      <c r="C22" s="175" t="str">
        <f>+'GRUPO B'!C29</f>
        <v>10:50. a.m.</v>
      </c>
      <c r="D22" s="175" t="str">
        <f>+'GRUPO B'!E29</f>
        <v>COLEGIO PRINCIPADO DE MONACO</v>
      </c>
      <c r="E22" s="175">
        <f>+'GRUPO B'!G29</f>
        <v>1</v>
      </c>
      <c r="F22" s="175">
        <f>+'GRUPO B'!I29</f>
        <v>4</v>
      </c>
      <c r="G22" s="175" t="str">
        <f>+'GRUPO B'!K29</f>
        <v>CENTAUROS DEL ARIARI</v>
      </c>
      <c r="H22" s="176" t="str">
        <f>+'GRUPO B'!B4</f>
        <v>GRUPO B</v>
      </c>
      <c r="J22" s="179" t="str">
        <f>+'GRUPO C'!P14</f>
        <v xml:space="preserve">  3)  NOVATOS F. C.</v>
      </c>
      <c r="K22" s="173">
        <f>+'GRUPO C'!Q14</f>
        <v>0</v>
      </c>
      <c r="L22" s="173">
        <f>+'GRUPO C'!R14</f>
        <v>3</v>
      </c>
      <c r="M22" s="173">
        <f>+'GRUPO C'!S14</f>
        <v>0</v>
      </c>
      <c r="N22" s="173">
        <f>+'GRUPO C'!T14</f>
        <v>0</v>
      </c>
      <c r="O22" s="173">
        <f>+'GRUPO C'!U14</f>
        <v>3</v>
      </c>
      <c r="P22" s="173">
        <f>+'GRUPO C'!V14</f>
        <v>1</v>
      </c>
      <c r="Q22" s="173">
        <f>+'GRUPO C'!W14</f>
        <v>21</v>
      </c>
      <c r="R22" s="173">
        <f>+'GRUPO C'!X14</f>
        <v>-20</v>
      </c>
      <c r="S22" s="173">
        <f>+'GRUPO C'!Y14</f>
        <v>0</v>
      </c>
    </row>
    <row r="23" spans="1:19" ht="21" customHeight="1" x14ac:dyDescent="0.3">
      <c r="A23" s="518"/>
      <c r="B23" s="173" t="str">
        <f>+'GRUPO C'!M26</f>
        <v>CANCHA 1 C</v>
      </c>
      <c r="C23" s="173" t="str">
        <f>+'GRUPO C'!C26</f>
        <v>03:50. p.m.</v>
      </c>
      <c r="D23" s="173" t="str">
        <f>+'GRUPO C'!E26</f>
        <v>GRAMA F. C.</v>
      </c>
      <c r="E23" s="173">
        <f>+'GRUPO C'!G26</f>
        <v>5</v>
      </c>
      <c r="F23" s="173">
        <f>+'GRUPO C'!I26</f>
        <v>1</v>
      </c>
      <c r="G23" s="173" t="str">
        <f>+'GRUPO C'!K26</f>
        <v>NOVATOS F. C.</v>
      </c>
      <c r="H23" s="173" t="str">
        <f>+'GRUPO C'!B4</f>
        <v>GRUPO C</v>
      </c>
      <c r="J23" s="179">
        <f>+'GRUPO C'!P16</f>
        <v>0</v>
      </c>
      <c r="K23" s="173">
        <f>+'GRUPO C'!Q16</f>
        <v>0</v>
      </c>
      <c r="L23" s="173">
        <f>+'GRUPO C'!R16</f>
        <v>0</v>
      </c>
      <c r="M23" s="173">
        <f>+'GRUPO C'!S16</f>
        <v>0</v>
      </c>
      <c r="N23" s="173">
        <f>+'GRUPO C'!T16</f>
        <v>0</v>
      </c>
      <c r="O23" s="173">
        <f>+'GRUPO C'!U16</f>
        <v>0</v>
      </c>
      <c r="P23" s="173">
        <f>+'GRUPO C'!V16</f>
        <v>0</v>
      </c>
      <c r="Q23" s="173">
        <f>+'GRUPO C'!W16</f>
        <v>0</v>
      </c>
      <c r="R23" s="173">
        <f>+'GRUPO C'!X16</f>
        <v>0</v>
      </c>
      <c r="S23" s="173">
        <f>+'GRUPO C'!Y16</f>
        <v>0</v>
      </c>
    </row>
    <row r="24" spans="1:19" ht="21" customHeight="1" x14ac:dyDescent="0.3">
      <c r="A24" s="518"/>
      <c r="B24" s="175" t="str">
        <f>+'GRUPO C'!M29</f>
        <v>CANCHA 1 A</v>
      </c>
      <c r="C24" s="175" t="str">
        <f>+'GRUPO C'!C29</f>
        <v>12:50. p.m.</v>
      </c>
      <c r="D24" s="175" t="str">
        <f>+'GRUPO C'!E29</f>
        <v>GRAMA F. C.</v>
      </c>
      <c r="E24" s="175">
        <f>+'GRUPO C'!G29</f>
        <v>2</v>
      </c>
      <c r="F24" s="175">
        <f>+'GRUPO C'!I29</f>
        <v>1</v>
      </c>
      <c r="G24" s="175" t="str">
        <f>+'GRUPO C'!K29</f>
        <v>ESCUELA DE FORMACIÓN DEPORTIVA MARACANA</v>
      </c>
      <c r="H24" s="176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18"/>
      <c r="B25" s="173" t="str">
        <f>+'GRUPO D'!M26</f>
        <v>CANCHA 1 B</v>
      </c>
      <c r="C25" s="173" t="str">
        <f>+'GRUPO D'!C26</f>
        <v>09:50. a.m.</v>
      </c>
      <c r="D25" s="173" t="str">
        <f>+'GRUPO D'!E26</f>
        <v>ESCUELA DEPORTIVA DE FÚTBOL RAQUIRA</v>
      </c>
      <c r="E25" s="173">
        <f>+'GRUPO D'!G26</f>
        <v>2</v>
      </c>
      <c r="F25" s="173">
        <f>+'GRUPO D'!I26</f>
        <v>5</v>
      </c>
      <c r="G25" s="173" t="str">
        <f>+'GRUPO D'!K26</f>
        <v>CLUB CAMPESTRE IBAGUE DOS</v>
      </c>
      <c r="H25" s="173" t="str">
        <f>+'GRUPO D'!B4</f>
        <v>GRUPO D</v>
      </c>
      <c r="J25" s="182" t="str">
        <f>+'GRUPO D'!B4</f>
        <v>GRUPO D</v>
      </c>
      <c r="K25" s="183" t="str">
        <f>+'GRUPO D'!Q8</f>
        <v>Pts.</v>
      </c>
      <c r="L25" s="183" t="str">
        <f>+'GRUPO D'!R8</f>
        <v>PJ</v>
      </c>
      <c r="M25" s="183" t="str">
        <f>+'GRUPO D'!S8</f>
        <v>Gan.</v>
      </c>
      <c r="N25" s="183" t="str">
        <f>+'GRUPO D'!T8</f>
        <v>Emp.</v>
      </c>
      <c r="O25" s="183" t="str">
        <f>+'GRUPO D'!U8</f>
        <v>Per.</v>
      </c>
      <c r="P25" s="183" t="str">
        <f>+'GRUPO D'!V8</f>
        <v>GF</v>
      </c>
      <c r="Q25" s="183" t="str">
        <f>+'GRUPO D'!W8</f>
        <v>GC</v>
      </c>
      <c r="R25" s="183" t="str">
        <f>+'GRUPO D'!X8</f>
        <v>Dif.</v>
      </c>
      <c r="S25" s="183" t="str">
        <f>+'GRUPO D'!Y8</f>
        <v>Tj</v>
      </c>
    </row>
    <row r="26" spans="1:19" ht="21" customHeight="1" x14ac:dyDescent="0.3">
      <c r="A26" s="518"/>
      <c r="B26" s="175" t="str">
        <f>+'GRUPO D'!M29</f>
        <v>CANCHA 1 A</v>
      </c>
      <c r="C26" s="175" t="str">
        <f>+'GRUPO D'!C29</f>
        <v>11:55. a.m.</v>
      </c>
      <c r="D26" s="175" t="str">
        <f>+'GRUPO D'!E29</f>
        <v>ESCUELA DEPORTIVA DE FÚTBOL RAQUIRA</v>
      </c>
      <c r="E26" s="175">
        <f>+'GRUPO D'!G29</f>
        <v>0</v>
      </c>
      <c r="F26" s="175">
        <f>+'GRUPO D'!I29</f>
        <v>12</v>
      </c>
      <c r="G26" s="175" t="str">
        <f>+'GRUPO D'!K29</f>
        <v>CORDOBA Y SERRANO F. C.</v>
      </c>
      <c r="H26" s="176" t="str">
        <f>+'GRUPO D'!B4</f>
        <v>GRUPO D</v>
      </c>
      <c r="J26" s="179" t="str">
        <f>+'GRUPO D'!P10</f>
        <v xml:space="preserve">  1)  CLUB CAMPESTRE IBAGUE DOS</v>
      </c>
      <c r="K26" s="173">
        <f>+'GRUPO D'!Q10</f>
        <v>7</v>
      </c>
      <c r="L26" s="173">
        <f>+'GRUPO D'!R10</f>
        <v>3</v>
      </c>
      <c r="M26" s="173">
        <f>+'GRUPO D'!S10</f>
        <v>2</v>
      </c>
      <c r="N26" s="173">
        <f>+'GRUPO D'!T10</f>
        <v>1</v>
      </c>
      <c r="O26" s="173">
        <f>+'GRUPO D'!U10</f>
        <v>0</v>
      </c>
      <c r="P26" s="173">
        <f>+'GRUPO D'!V10</f>
        <v>12</v>
      </c>
      <c r="Q26" s="173">
        <f>+'GRUPO D'!W10</f>
        <v>9</v>
      </c>
      <c r="R26" s="173">
        <f>+'GRUPO D'!X10</f>
        <v>3</v>
      </c>
      <c r="S26" s="173">
        <f>+'GRUPO D'!Y10</f>
        <v>0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10" t="str">
        <f>+'IMPRIMIR 3'!A17</f>
        <v>PARTIDOS                 fecha 3 ULTIMA</v>
      </c>
      <c r="C28" s="511"/>
      <c r="D28" s="511"/>
      <c r="E28" s="511"/>
      <c r="F28" s="511"/>
      <c r="G28" s="511"/>
      <c r="H28" s="512"/>
      <c r="J28" s="179" t="str">
        <f>+'GRUPO D'!P12</f>
        <v xml:space="preserve">  2)  CORDOBA Y SERRANO F. C.</v>
      </c>
      <c r="K28" s="173">
        <f>+'GRUPO D'!Q12</f>
        <v>5</v>
      </c>
      <c r="L28" s="173">
        <f>+'GRUPO D'!R12</f>
        <v>3</v>
      </c>
      <c r="M28" s="173">
        <f>+'GRUPO D'!S12</f>
        <v>1</v>
      </c>
      <c r="N28" s="173">
        <f>+'GRUPO D'!T12</f>
        <v>2</v>
      </c>
      <c r="O28" s="173">
        <f>+'GRUPO D'!U12</f>
        <v>0</v>
      </c>
      <c r="P28" s="173">
        <f>+'GRUPO D'!V12</f>
        <v>18</v>
      </c>
      <c r="Q28" s="173">
        <f>+'GRUPO D'!W12</f>
        <v>6</v>
      </c>
      <c r="R28" s="173">
        <f>+'GRUPO D'!X12</f>
        <v>12</v>
      </c>
      <c r="S28" s="173">
        <f>+'GRUPO D'!Y12</f>
        <v>0</v>
      </c>
    </row>
    <row r="29" spans="1:19" ht="21" customHeight="1" x14ac:dyDescent="0.3">
      <c r="B29" s="184" t="s">
        <v>68</v>
      </c>
      <c r="C29" s="184" t="s">
        <v>69</v>
      </c>
      <c r="D29" s="184" t="s">
        <v>70</v>
      </c>
      <c r="E29" s="516" t="s">
        <v>71</v>
      </c>
      <c r="F29" s="516"/>
      <c r="G29" s="184" t="s">
        <v>70</v>
      </c>
      <c r="H29" s="184" t="s">
        <v>72</v>
      </c>
      <c r="J29" s="179" t="str">
        <f>+'GRUPO D'!P14</f>
        <v xml:space="preserve">  3)  ESCUELA DEPORTIVA DE FÚTBOL RAQUIRA</v>
      </c>
      <c r="K29" s="173">
        <f>+'GRUPO D'!Q14</f>
        <v>3</v>
      </c>
      <c r="L29" s="173">
        <f>+'GRUPO D'!R14</f>
        <v>3</v>
      </c>
      <c r="M29" s="173">
        <f>+'GRUPO D'!S14</f>
        <v>1</v>
      </c>
      <c r="N29" s="173">
        <f>+'GRUPO D'!T14</f>
        <v>0</v>
      </c>
      <c r="O29" s="173">
        <f>+'GRUPO D'!U14</f>
        <v>2</v>
      </c>
      <c r="P29" s="173">
        <f>+'GRUPO D'!V14</f>
        <v>5</v>
      </c>
      <c r="Q29" s="173">
        <f>+'GRUPO D'!W14</f>
        <v>17</v>
      </c>
      <c r="R29" s="173">
        <f>+'GRUPO D'!X14</f>
        <v>-12</v>
      </c>
      <c r="S29" s="173">
        <f>+'GRUPO D'!Y14</f>
        <v>0</v>
      </c>
    </row>
    <row r="30" spans="1:19" ht="21" customHeight="1" x14ac:dyDescent="0.3">
      <c r="A30" s="517">
        <f>+'GRUPO A'!B32</f>
        <v>42967</v>
      </c>
      <c r="B30" s="173" t="str">
        <f>+'GRUPO A'!M32</f>
        <v>CANCHA 1 A</v>
      </c>
      <c r="C30" s="173" t="str">
        <f>+'GRUPO A'!C32</f>
        <v>09:50. a.m.</v>
      </c>
      <c r="D30" s="173" t="str">
        <f>+'GRUPO A'!E32</f>
        <v>CLUB LOS PAPETICOS</v>
      </c>
      <c r="E30" s="173">
        <f>+'GRUPO A'!G32</f>
        <v>9</v>
      </c>
      <c r="F30" s="173">
        <f>+'GRUPO A'!I32</f>
        <v>2</v>
      </c>
      <c r="G30" s="173" t="str">
        <f>+'GRUPO A'!K32</f>
        <v>CLUB CAMPESTRE IBAGUE UNO</v>
      </c>
      <c r="H30" s="174" t="str">
        <f>+'GRUPO A'!B4</f>
        <v>GRUPO A</v>
      </c>
      <c r="J30" s="179">
        <f>+'GRUPO D'!P16</f>
        <v>0</v>
      </c>
      <c r="K30" s="173">
        <f>+'GRUPO D'!Q16</f>
        <v>0</v>
      </c>
      <c r="L30" s="173">
        <f>+'GRUPO D'!R16</f>
        <v>0</v>
      </c>
      <c r="M30" s="173">
        <f>+'GRUPO D'!S16</f>
        <v>0</v>
      </c>
      <c r="N30" s="173">
        <f>+'GRUPO D'!T16</f>
        <v>0</v>
      </c>
      <c r="O30" s="173">
        <f>+'GRUPO D'!U16</f>
        <v>0</v>
      </c>
      <c r="P30" s="173">
        <f>+'GRUPO D'!V16</f>
        <v>0</v>
      </c>
      <c r="Q30" s="173">
        <f>+'GRUPO D'!W16</f>
        <v>0</v>
      </c>
      <c r="R30" s="173">
        <f>+'GRUPO D'!X16</f>
        <v>0</v>
      </c>
      <c r="S30" s="173">
        <f>+'GRUPO D'!Y16</f>
        <v>0</v>
      </c>
    </row>
    <row r="31" spans="1:19" ht="21" customHeight="1" x14ac:dyDescent="0.3">
      <c r="A31" s="518"/>
      <c r="B31" s="175">
        <f>+'GRUPO A'!M35</f>
        <v>0</v>
      </c>
      <c r="C31" s="175">
        <f>+'GRUPO A'!C35</f>
        <v>0</v>
      </c>
      <c r="D31" s="175">
        <f>+'GRUPO A'!E35</f>
        <v>0</v>
      </c>
      <c r="E31" s="175">
        <f>+'GRUPO A'!G35</f>
        <v>0</v>
      </c>
      <c r="F31" s="175">
        <f>+'GRUPO A'!I35</f>
        <v>0</v>
      </c>
      <c r="G31" s="175">
        <f>+'GRUPO A'!K35</f>
        <v>0</v>
      </c>
      <c r="H31" s="176" t="str">
        <f>+'GRUPO A'!B4</f>
        <v>GRUPO A</v>
      </c>
    </row>
    <row r="32" spans="1:19" ht="21" customHeight="1" x14ac:dyDescent="0.3">
      <c r="A32" s="518"/>
      <c r="B32" s="173" t="str">
        <f>+'GRUPO B'!M32</f>
        <v>CANCHA 1 A</v>
      </c>
      <c r="C32" s="173" t="str">
        <f>+'GRUPO B'!C32</f>
        <v>04:30. p.m.</v>
      </c>
      <c r="D32" s="173" t="str">
        <f>+'GRUPO B'!E32</f>
        <v>CLUB ARIEL ARMEL</v>
      </c>
      <c r="E32" s="173">
        <f>+'GRUPO B'!G32</f>
        <v>1</v>
      </c>
      <c r="F32" s="173">
        <f>+'GRUPO B'!I32</f>
        <v>0</v>
      </c>
      <c r="G32" s="173" t="str">
        <f>+'GRUPO B'!K32</f>
        <v>CENTAUROS DEL ARIARI</v>
      </c>
      <c r="H32" s="174" t="str">
        <f>+'GRUPO B'!B4</f>
        <v>GRUPO B</v>
      </c>
    </row>
    <row r="33" spans="1:8" ht="21" customHeight="1" x14ac:dyDescent="0.3">
      <c r="A33" s="518"/>
      <c r="B33" s="175">
        <f>+'GRUPO B'!M35</f>
        <v>0</v>
      </c>
      <c r="C33" s="175">
        <f>+'GRUPO B'!C35</f>
        <v>0</v>
      </c>
      <c r="D33" s="175">
        <f>+'GRUPO B'!E35</f>
        <v>0</v>
      </c>
      <c r="E33" s="175">
        <f>+'GRUPO B'!G35</f>
        <v>0</v>
      </c>
      <c r="F33" s="175">
        <f>+'GRUPO B'!I35</f>
        <v>0</v>
      </c>
      <c r="G33" s="175">
        <f>+'GRUPO B'!K35</f>
        <v>0</v>
      </c>
      <c r="H33" s="176" t="str">
        <f>+'GRUPO B'!B4</f>
        <v>GRUPO B</v>
      </c>
    </row>
    <row r="34" spans="1:8" ht="21" customHeight="1" x14ac:dyDescent="0.3">
      <c r="A34" s="518"/>
      <c r="B34" s="173" t="str">
        <f>+'GRUPO C'!M32</f>
        <v>CANCHA 1 C</v>
      </c>
      <c r="C34" s="173" t="str">
        <f>+'GRUPO C'!C32</f>
        <v>09:50. a.m.</v>
      </c>
      <c r="D34" s="173" t="str">
        <f>+'GRUPO C'!E32</f>
        <v>NOVATOS F. C.</v>
      </c>
      <c r="E34" s="173">
        <f>+'GRUPO C'!G32</f>
        <v>0</v>
      </c>
      <c r="F34" s="173">
        <f>+'GRUPO C'!I32</f>
        <v>13</v>
      </c>
      <c r="G34" s="173" t="str">
        <f>+'GRUPO C'!K32</f>
        <v>ESCUELA DE FORMACIÓN DEPORTIVA MARACANA</v>
      </c>
      <c r="H34" s="173" t="str">
        <f>+'GRUPO C'!B4</f>
        <v>GRUPO C</v>
      </c>
    </row>
    <row r="35" spans="1:8" ht="21" customHeight="1" x14ac:dyDescent="0.3">
      <c r="A35" s="518"/>
      <c r="B35" s="175">
        <f>+'GRUPO C'!M35</f>
        <v>0</v>
      </c>
      <c r="C35" s="175">
        <f>+'GRUPO C'!C35</f>
        <v>0</v>
      </c>
      <c r="D35" s="175">
        <f>+'GRUPO C'!E35</f>
        <v>0</v>
      </c>
      <c r="E35" s="175">
        <f>+'GRUPO C'!G35</f>
        <v>0</v>
      </c>
      <c r="F35" s="175">
        <f>+'GRUPO C'!I35</f>
        <v>0</v>
      </c>
      <c r="G35" s="175">
        <f>+'GRUPO C'!K35</f>
        <v>0</v>
      </c>
      <c r="H35" s="176" t="str">
        <f>+'GRUPO C'!B4</f>
        <v>GRUPO C</v>
      </c>
    </row>
    <row r="36" spans="1:8" ht="21" customHeight="1" x14ac:dyDescent="0.3">
      <c r="A36" s="518"/>
      <c r="B36" s="173" t="str">
        <f>+'GRUPO D'!M32</f>
        <v>CANCHA 1 A</v>
      </c>
      <c r="C36" s="173" t="str">
        <f>+'GRUPO D'!C32</f>
        <v>12:40. p.m.</v>
      </c>
      <c r="D36" s="173" t="str">
        <f>+'GRUPO D'!E32</f>
        <v>CLUB CAMPESTRE IBAGUE DOS</v>
      </c>
      <c r="E36" s="173">
        <f>+'GRUPO D'!G32</f>
        <v>3</v>
      </c>
      <c r="F36" s="173">
        <f>+'GRUPO D'!I32</f>
        <v>3</v>
      </c>
      <c r="G36" s="173" t="str">
        <f>+'GRUPO D'!K32</f>
        <v>CORDOBA Y SERRANO F. C.</v>
      </c>
      <c r="H36" s="173" t="str">
        <f>+'GRUPO D'!B4</f>
        <v>GRUPO D</v>
      </c>
    </row>
    <row r="37" spans="1:8" ht="21" customHeight="1" x14ac:dyDescent="0.3">
      <c r="A37" s="518"/>
      <c r="B37" s="175">
        <f>+'GRUPO D'!M35</f>
        <v>0</v>
      </c>
      <c r="C37" s="175">
        <f>+'GRUPO D'!C35</f>
        <v>0</v>
      </c>
      <c r="D37" s="175">
        <f>+'GRUPO D'!E35</f>
        <v>0</v>
      </c>
      <c r="E37" s="175">
        <f>+'GRUPO D'!G35</f>
        <v>0</v>
      </c>
      <c r="F37" s="175">
        <f>+'GRUPO D'!I35</f>
        <v>0</v>
      </c>
      <c r="G37" s="175">
        <f>+'GRUPO D'!K35</f>
        <v>0</v>
      </c>
      <c r="H37" s="176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19" t="str">
        <f>+DEFINICION!B5</f>
        <v>SEMIFINALES</v>
      </c>
      <c r="C39" s="520"/>
      <c r="D39" s="520"/>
      <c r="E39" s="520"/>
      <c r="F39" s="520"/>
      <c r="G39" s="520"/>
      <c r="H39" s="521"/>
    </row>
    <row r="40" spans="1:8" ht="21" customHeight="1" x14ac:dyDescent="0.3">
      <c r="B40" s="184" t="s">
        <v>68</v>
      </c>
      <c r="C40" s="184" t="s">
        <v>69</v>
      </c>
      <c r="D40" s="184" t="s">
        <v>70</v>
      </c>
      <c r="E40" s="516" t="s">
        <v>71</v>
      </c>
      <c r="F40" s="516"/>
      <c r="G40" s="184" t="s">
        <v>70</v>
      </c>
      <c r="H40" s="184" t="s">
        <v>75</v>
      </c>
    </row>
    <row r="41" spans="1:8" ht="21" customHeight="1" x14ac:dyDescent="0.3">
      <c r="A41" s="517">
        <f>+'CUARTOS DE FINAL.'!B9</f>
        <v>42596</v>
      </c>
      <c r="B41" s="174" t="str">
        <f>+'CUARTOS DE FINAL.'!N6</f>
        <v>PALMARA</v>
      </c>
      <c r="C41" s="173" t="str">
        <f>+'CUARTOS DE FINAL.'!D6</f>
        <v>03:00. p.m.</v>
      </c>
      <c r="D41" s="173" t="e">
        <f>+'CUARTOS DE FINAL.'!G6</f>
        <v>#N/A</v>
      </c>
      <c r="E41" s="173">
        <f>+'CUARTOS DE FINAL.'!H6</f>
        <v>1</v>
      </c>
      <c r="F41" s="173">
        <f>+'CUARTOS DE FINAL.'!J6</f>
        <v>2</v>
      </c>
      <c r="G41" s="173" t="str">
        <f>+'CUARTOS DE FINAL.'!L6</f>
        <v>ESCUELA DE FORMACIÓN DEPORTIVA MARACANA</v>
      </c>
      <c r="H41" s="174" t="str">
        <f>+'CUARTOS DE FINAL.'!C6</f>
        <v>LLAVE A</v>
      </c>
    </row>
    <row r="42" spans="1:8" ht="21" customHeight="1" x14ac:dyDescent="0.3">
      <c r="A42" s="517"/>
      <c r="B42" s="176" t="str">
        <f>+'CUARTOS DE FINAL.'!N9</f>
        <v>CANCHA 2</v>
      </c>
      <c r="C42" s="175" t="str">
        <f>+'CUARTOS DE FINAL.'!D9</f>
        <v>04:20. p.m.</v>
      </c>
      <c r="D42" s="175" t="str">
        <f>+'CUARTOS DE FINAL.'!G9</f>
        <v>CLUB ARIEL ARMEL</v>
      </c>
      <c r="E42" s="175">
        <f>+'CUARTOS DE FINAL.'!H9</f>
        <v>2</v>
      </c>
      <c r="F42" s="175">
        <f>+'CUARTOS DE FINAL.'!J9</f>
        <v>1</v>
      </c>
      <c r="G42" s="175" t="str">
        <f>+'CUARTOS DE FINAL.'!L9</f>
        <v>CORDOBA Y SERRANO F. C.</v>
      </c>
      <c r="H42" s="176" t="str">
        <f>+'CUARTOS DE FINAL.'!C9</f>
        <v>LLAVE B</v>
      </c>
    </row>
    <row r="43" spans="1:8" ht="21" customHeight="1" x14ac:dyDescent="0.3">
      <c r="A43" s="517"/>
      <c r="B43" s="174" t="str">
        <f>+'CUARTOS DE FINAL.'!N12</f>
        <v>CANCHA 2</v>
      </c>
      <c r="C43" s="173" t="str">
        <f>+'CUARTOS DE FINAL.'!D12</f>
        <v>03:00. p.m.</v>
      </c>
      <c r="D43" s="173" t="str">
        <f>+'CUARTOS DE FINAL.'!G12</f>
        <v>GRAMA F. C.</v>
      </c>
      <c r="E43" s="173">
        <f>+'CUARTOS DE FINAL.'!H12</f>
        <v>1</v>
      </c>
      <c r="F43" s="173">
        <f>+'CUARTOS DE FINAL.'!J12</f>
        <v>2</v>
      </c>
      <c r="G43" s="173" t="e">
        <f>+'CUARTOS DE FINAL.'!L12</f>
        <v>#N/A</v>
      </c>
      <c r="H43" s="174" t="str">
        <f>+'CUARTOS DE FINAL.'!C12</f>
        <v>LLAVE C</v>
      </c>
    </row>
    <row r="44" spans="1:8" ht="21" customHeight="1" x14ac:dyDescent="0.3">
      <c r="A44" s="517"/>
      <c r="B44" s="176" t="str">
        <f>+'CUARTOS DE FINAL.'!N15</f>
        <v>PALMARA</v>
      </c>
      <c r="C44" s="175" t="str">
        <f>+'CUARTOS DE FINAL.'!D15</f>
        <v>04:20. p.m.</v>
      </c>
      <c r="D44" s="175" t="str">
        <f>+'CUARTOS DE FINAL.'!G15</f>
        <v>CLUB CAMPESTRE IBAGUE DOS</v>
      </c>
      <c r="E44" s="175">
        <f>+'CUARTOS DE FINAL.'!H15</f>
        <v>2</v>
      </c>
      <c r="F44" s="175">
        <f>+'CUARTOS DE FINAL.'!J15</f>
        <v>1</v>
      </c>
      <c r="G44" s="175" t="str">
        <f>+'CUARTOS DE FINAL.'!L15</f>
        <v>CENTAUROS DEL ARIARI</v>
      </c>
      <c r="H44" s="176" t="str">
        <f>+'CUARTOS DE FINAL.'!C15</f>
        <v>LLAVE D</v>
      </c>
    </row>
    <row r="45" spans="1:8" ht="21" customHeight="1" x14ac:dyDescent="0.3">
      <c r="A45" s="185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3" t="e">
        <f>+'PRE BABY GRUPOS'!B1:I1</f>
        <v>#VALUE!</v>
      </c>
      <c r="B1" s="513"/>
      <c r="C1" s="513"/>
      <c r="D1" s="513"/>
      <c r="E1" s="513"/>
      <c r="F1" s="513"/>
      <c r="G1" s="513"/>
      <c r="H1" s="513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</row>
    <row r="2" spans="1:19" ht="28.8" x14ac:dyDescent="0.55000000000000004">
      <c r="A2" s="514" t="e">
        <f>+'PRE BABY GRUPOS'!B2:I2</f>
        <v>#VALUE!</v>
      </c>
      <c r="B2" s="514"/>
      <c r="C2" s="514"/>
      <c r="D2" s="514"/>
      <c r="E2" s="514"/>
      <c r="F2" s="514"/>
      <c r="G2" s="514"/>
      <c r="H2" s="514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</row>
    <row r="3" spans="1:19" ht="28.8" x14ac:dyDescent="0.55000000000000004">
      <c r="A3" s="514" t="e">
        <f>+'PRE BABY GRUPOS'!#REF!</f>
        <v>#REF!</v>
      </c>
      <c r="B3" s="514"/>
      <c r="C3" s="514"/>
      <c r="D3" s="514"/>
      <c r="E3" s="514"/>
      <c r="F3" s="514"/>
      <c r="G3" s="514"/>
      <c r="H3" s="514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</row>
    <row r="4" spans="1:19" ht="21" x14ac:dyDescent="0.4">
      <c r="A4" s="515" t="str">
        <f>+'PRE BABY GRUPOS'!C3</f>
        <v>NACIDOS 2012 2013</v>
      </c>
      <c r="B4" s="515"/>
      <c r="C4" s="515"/>
      <c r="D4" s="515"/>
      <c r="E4" s="515"/>
      <c r="F4" s="515"/>
      <c r="G4" s="515"/>
      <c r="H4" s="515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</row>
    <row r="5" spans="1:19" ht="21" x14ac:dyDescent="0.4">
      <c r="A5" s="515" t="s">
        <v>73</v>
      </c>
      <c r="B5" s="515"/>
      <c r="C5" s="515"/>
      <c r="D5" s="515"/>
      <c r="E5" s="515"/>
      <c r="F5" s="515"/>
      <c r="G5" s="515"/>
      <c r="H5" s="515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</row>
    <row r="6" spans="1:19" ht="21" hidden="1" customHeight="1" x14ac:dyDescent="0.3">
      <c r="A6"/>
      <c r="B6" s="510" t="str">
        <f>+IMPRIMIR!A14</f>
        <v>PARTIDOS                 fecha 1</v>
      </c>
      <c r="C6" s="511"/>
      <c r="D6" s="511"/>
      <c r="E6" s="511"/>
      <c r="F6" s="511"/>
      <c r="G6" s="511"/>
      <c r="H6" s="512"/>
      <c r="J6" s="178" t="str">
        <f>+'GRUPO A'!B4</f>
        <v>GRUPO A</v>
      </c>
      <c r="K6" s="178">
        <f>+'GRUPO A'!Q20</f>
        <v>0</v>
      </c>
      <c r="L6" s="178">
        <f>+'GRUPO A'!R20</f>
        <v>0</v>
      </c>
      <c r="M6" s="178">
        <f>+'GRUPO A'!S20</f>
        <v>0</v>
      </c>
      <c r="N6" s="178">
        <f>+'GRUPO A'!T20</f>
        <v>0</v>
      </c>
      <c r="O6" s="178">
        <f>+'GRUPO A'!U20</f>
        <v>0</v>
      </c>
      <c r="P6" s="178">
        <f>+'GRUPO A'!V20</f>
        <v>0</v>
      </c>
      <c r="Q6" s="178">
        <f>+'GRUPO A'!W20</f>
        <v>0</v>
      </c>
      <c r="R6" s="178">
        <f>+'GRUPO A'!X20</f>
        <v>0</v>
      </c>
      <c r="S6" s="178">
        <f>+'GRUPO A'!Y20</f>
        <v>0</v>
      </c>
    </row>
    <row r="7" spans="1:19" hidden="1" x14ac:dyDescent="0.3">
      <c r="B7" s="184" t="s">
        <v>68</v>
      </c>
      <c r="C7" s="184" t="s">
        <v>69</v>
      </c>
      <c r="D7" s="184" t="s">
        <v>70</v>
      </c>
      <c r="E7" s="516" t="s">
        <v>71</v>
      </c>
      <c r="F7" s="516"/>
      <c r="G7" s="184" t="s">
        <v>70</v>
      </c>
      <c r="H7" s="184" t="s">
        <v>72</v>
      </c>
      <c r="J7" s="179">
        <f>+'GRUPO A'!P22</f>
        <v>0</v>
      </c>
      <c r="K7" s="173">
        <f>+'GRUPO A'!Q22</f>
        <v>0</v>
      </c>
      <c r="L7" s="173">
        <f>+'GRUPO A'!R22</f>
        <v>0</v>
      </c>
      <c r="M7" s="173">
        <f>+'GRUPO A'!S22</f>
        <v>0</v>
      </c>
      <c r="N7" s="173">
        <f>+'GRUPO A'!T22</f>
        <v>0</v>
      </c>
      <c r="O7" s="173">
        <f>+'GRUPO A'!U22</f>
        <v>0</v>
      </c>
      <c r="P7" s="173">
        <f>+'GRUPO A'!V22</f>
        <v>0</v>
      </c>
      <c r="Q7" s="173">
        <f>+'GRUPO A'!W22</f>
        <v>0</v>
      </c>
      <c r="R7" s="173">
        <f>+'GRUPO A'!X22</f>
        <v>0</v>
      </c>
      <c r="S7" s="173">
        <f>+'GRUPO A'!Y22</f>
        <v>0</v>
      </c>
    </row>
    <row r="8" spans="1:19" ht="21" hidden="1" customHeight="1" x14ac:dyDescent="0.3">
      <c r="A8" s="517">
        <f>+'GRUPO A'!B20</f>
        <v>42966</v>
      </c>
      <c r="B8" s="173" t="str">
        <f>+'GRUPO A'!M20</f>
        <v>CANCHA 1 A</v>
      </c>
      <c r="C8" s="173" t="str">
        <f>+'GRUPO A'!C20</f>
        <v>11:45. a.m.</v>
      </c>
      <c r="D8" s="173">
        <f>+'GRUPO A'!E20</f>
        <v>0</v>
      </c>
      <c r="E8" s="173">
        <f>+'GRUPO A'!G20</f>
        <v>0</v>
      </c>
      <c r="F8" s="173">
        <f>+'GRUPO A'!I20</f>
        <v>0</v>
      </c>
      <c r="G8" s="173">
        <f>+'GRUPO A'!K20</f>
        <v>0</v>
      </c>
      <c r="H8" s="173" t="str">
        <f>+'GRUPO A'!B4</f>
        <v>GRUPO A</v>
      </c>
      <c r="J8" s="179">
        <f>+'GRUPO A'!P24</f>
        <v>0</v>
      </c>
      <c r="K8" s="173">
        <f>+'GRUPO A'!Q24</f>
        <v>0</v>
      </c>
      <c r="L8" s="173">
        <f>+'GRUPO A'!R24</f>
        <v>0</v>
      </c>
      <c r="M8" s="173">
        <f>+'GRUPO A'!S24</f>
        <v>0</v>
      </c>
      <c r="N8" s="173">
        <f>+'GRUPO A'!T24</f>
        <v>0</v>
      </c>
      <c r="O8" s="173">
        <f>+'GRUPO A'!U24</f>
        <v>0</v>
      </c>
      <c r="P8" s="173">
        <f>+'GRUPO A'!V24</f>
        <v>0</v>
      </c>
      <c r="Q8" s="173">
        <f>+'GRUPO A'!W24</f>
        <v>0</v>
      </c>
      <c r="R8" s="173">
        <f>+'GRUPO A'!X24</f>
        <v>0</v>
      </c>
      <c r="S8" s="173">
        <f>+'GRUPO A'!Y24</f>
        <v>0</v>
      </c>
    </row>
    <row r="9" spans="1:19" ht="21" hidden="1" customHeight="1" x14ac:dyDescent="0.3">
      <c r="A9" s="518"/>
      <c r="B9" s="175" t="str">
        <f>+'GRUPO A'!M23</f>
        <v>CANCHA 1 B</v>
      </c>
      <c r="C9" s="175" t="str">
        <f>+'GRUPO A'!C23</f>
        <v>11:45. a.m.</v>
      </c>
      <c r="D9" s="175">
        <f>+'GRUPO A'!E23</f>
        <v>0</v>
      </c>
      <c r="E9" s="175">
        <f>+'GRUPO A'!G23</f>
        <v>0</v>
      </c>
      <c r="F9" s="175">
        <f>+'GRUPO A'!I23</f>
        <v>0</v>
      </c>
      <c r="G9" s="175">
        <f>+'GRUPO A'!K23</f>
        <v>0</v>
      </c>
      <c r="H9" s="176" t="str">
        <f>+'GRUPO A'!B4</f>
        <v>GRUPO A</v>
      </c>
      <c r="J9" s="179">
        <f>+'GRUPO A'!P26</f>
        <v>0</v>
      </c>
      <c r="K9" s="173">
        <f>+'GRUPO A'!Q26</f>
        <v>0</v>
      </c>
      <c r="L9" s="173">
        <f>+'GRUPO A'!R26</f>
        <v>0</v>
      </c>
      <c r="M9" s="173">
        <f>+'GRUPO A'!S26</f>
        <v>0</v>
      </c>
      <c r="N9" s="173">
        <f>+'GRUPO A'!T26</f>
        <v>0</v>
      </c>
      <c r="O9" s="173">
        <f>+'GRUPO A'!U26</f>
        <v>0</v>
      </c>
      <c r="P9" s="173">
        <f>+'GRUPO A'!V26</f>
        <v>0</v>
      </c>
      <c r="Q9" s="173">
        <f>+'GRUPO A'!W26</f>
        <v>0</v>
      </c>
      <c r="R9" s="173">
        <f>+'GRUPO A'!X26</f>
        <v>0</v>
      </c>
      <c r="S9" s="173">
        <f>+'GRUPO A'!Y26</f>
        <v>0</v>
      </c>
    </row>
    <row r="10" spans="1:19" ht="21" hidden="1" customHeight="1" x14ac:dyDescent="0.3">
      <c r="A10" s="518"/>
      <c r="B10" s="173" t="str">
        <f>+'GRUPO B'!M20</f>
        <v>CANCHA 1 C</v>
      </c>
      <c r="C10" s="173" t="str">
        <f>+'GRUPO B'!C20</f>
        <v>11:45. a.m.</v>
      </c>
      <c r="D10" s="173">
        <f>+'GRUPO B'!E20</f>
        <v>0</v>
      </c>
      <c r="E10" s="173">
        <f>+'GRUPO B'!G20</f>
        <v>0</v>
      </c>
      <c r="F10" s="173">
        <f>+'GRUPO B'!I20</f>
        <v>0</v>
      </c>
      <c r="G10" s="173">
        <f>+'GRUPO B'!K20</f>
        <v>0</v>
      </c>
      <c r="H10" s="173" t="str">
        <f>+'GRUPO B'!B4</f>
        <v>GRUPO B</v>
      </c>
      <c r="J10" s="179">
        <f>+'GRUPO A'!P28</f>
        <v>0</v>
      </c>
      <c r="K10" s="173">
        <f>+'GRUPO A'!Q28</f>
        <v>0</v>
      </c>
      <c r="L10" s="173">
        <f>+'GRUPO A'!R28</f>
        <v>0</v>
      </c>
      <c r="M10" s="173">
        <f>+'GRUPO A'!S28</f>
        <v>0</v>
      </c>
      <c r="N10" s="173">
        <f>+'GRUPO A'!T28</f>
        <v>0</v>
      </c>
      <c r="O10" s="173">
        <f>+'GRUPO A'!U28</f>
        <v>0</v>
      </c>
      <c r="P10" s="173">
        <f>+'GRUPO A'!V28</f>
        <v>0</v>
      </c>
      <c r="Q10" s="173">
        <f>+'GRUPO A'!W28</f>
        <v>0</v>
      </c>
      <c r="R10" s="173">
        <f>+'GRUPO A'!X28</f>
        <v>0</v>
      </c>
      <c r="S10" s="173">
        <f>+'GRUPO A'!Y28</f>
        <v>0</v>
      </c>
    </row>
    <row r="11" spans="1:19" ht="21" hidden="1" customHeight="1" x14ac:dyDescent="0.3">
      <c r="A11" s="518"/>
      <c r="B11" s="175" t="str">
        <f>+'GRUPO B'!M23</f>
        <v>CANCHA 1 A</v>
      </c>
      <c r="C11" s="175" t="str">
        <f>+'GRUPO B'!C23</f>
        <v>04:40. a.m.</v>
      </c>
      <c r="D11" s="175">
        <f>+'GRUPO B'!E23</f>
        <v>0</v>
      </c>
      <c r="E11" s="175">
        <f>+'GRUPO B'!G23</f>
        <v>0</v>
      </c>
      <c r="F11" s="175">
        <f>+'GRUPO B'!I23</f>
        <v>0</v>
      </c>
      <c r="G11" s="175">
        <f>+'GRUPO B'!K23</f>
        <v>0</v>
      </c>
      <c r="H11" s="176" t="str">
        <f>+'GRUPO B'!B4</f>
        <v>GRUPO B</v>
      </c>
    </row>
    <row r="12" spans="1:19" ht="21" hidden="1" customHeight="1" x14ac:dyDescent="0.3">
      <c r="A12" s="518"/>
      <c r="B12" s="173" t="str">
        <f>+'GRUPO C'!M20</f>
        <v>CANCHA 1 B</v>
      </c>
      <c r="C12" s="173" t="str">
        <f>+'GRUPO C'!C20</f>
        <v>11:45. a.m.</v>
      </c>
      <c r="D12" s="173">
        <f>+'GRUPO C'!E20</f>
        <v>0</v>
      </c>
      <c r="E12" s="173">
        <f>+'GRUPO C'!G20</f>
        <v>0</v>
      </c>
      <c r="F12" s="173">
        <f>+'GRUPO C'!I20</f>
        <v>0</v>
      </c>
      <c r="G12" s="173">
        <f>+'GRUPO C'!K20</f>
        <v>0</v>
      </c>
      <c r="H12" s="173" t="str">
        <f>+'GRUPO C'!B4</f>
        <v>GRUPO C</v>
      </c>
      <c r="J12" s="177" t="str">
        <f>+'GRUPO B'!B4</f>
        <v>GRUPO B</v>
      </c>
      <c r="K12" s="177" t="str">
        <f>+'GRUPO B'!Q8</f>
        <v>Pts.</v>
      </c>
      <c r="L12" s="177" t="str">
        <f>+'GRUPO B'!R8</f>
        <v>PJ</v>
      </c>
      <c r="M12" s="177" t="str">
        <f>+'GRUPO B'!S8</f>
        <v>Gan.</v>
      </c>
      <c r="N12" s="177" t="str">
        <f>+'GRUPO B'!T8</f>
        <v>Emp.</v>
      </c>
      <c r="O12" s="177" t="str">
        <f>+'GRUPO B'!U8</f>
        <v>Per.</v>
      </c>
      <c r="P12" s="177" t="str">
        <f>+'GRUPO B'!V8</f>
        <v>GF</v>
      </c>
      <c r="Q12" s="177" t="str">
        <f>+'GRUPO B'!W8</f>
        <v>GC</v>
      </c>
      <c r="R12" s="177" t="str">
        <f>+'GRUPO B'!X8</f>
        <v>Dif.</v>
      </c>
      <c r="S12" s="177" t="str">
        <f>+'GRUPO B'!Y8</f>
        <v>Tj</v>
      </c>
    </row>
    <row r="13" spans="1:19" ht="21" hidden="1" customHeight="1" x14ac:dyDescent="0.3">
      <c r="A13" s="518"/>
      <c r="B13" s="175" t="str">
        <f>+'GRUPO C'!M23</f>
        <v>CANCHA 1 C</v>
      </c>
      <c r="C13" s="175" t="str">
        <f>+'GRUPO C'!C23</f>
        <v>12:40. p.m.</v>
      </c>
      <c r="D13" s="175">
        <f>+'GRUPO C'!E23</f>
        <v>0</v>
      </c>
      <c r="E13" s="175">
        <f>+'GRUPO C'!G20</f>
        <v>0</v>
      </c>
      <c r="F13" s="175">
        <f>+'GRUPO C'!I23</f>
        <v>0</v>
      </c>
      <c r="G13" s="175">
        <f>+'GRUPO C'!K20</f>
        <v>0</v>
      </c>
      <c r="H13" s="176" t="str">
        <f>+'GRUPO C'!B4</f>
        <v>GRUPO C</v>
      </c>
      <c r="J13" s="179" t="str">
        <f>+'GRUPO B'!P10</f>
        <v xml:space="preserve">  1)  CLUB ARIEL ARMEL</v>
      </c>
      <c r="K13" s="173">
        <f>+'GRUPO B'!Q10</f>
        <v>4</v>
      </c>
      <c r="L13" s="173">
        <f>+'GRUPO B'!R10</f>
        <v>3</v>
      </c>
      <c r="M13" s="173">
        <f>+'GRUPO B'!S10</f>
        <v>1</v>
      </c>
      <c r="N13" s="173">
        <f>+'GRUPO B'!T10</f>
        <v>1</v>
      </c>
      <c r="O13" s="173">
        <f>+'GRUPO B'!U10</f>
        <v>1</v>
      </c>
      <c r="P13" s="173">
        <f>+'GRUPO B'!V10</f>
        <v>7</v>
      </c>
      <c r="Q13" s="173">
        <f>+'GRUPO B'!W10</f>
        <v>4</v>
      </c>
      <c r="R13" s="173">
        <f>+'GRUPO B'!X10</f>
        <v>3</v>
      </c>
      <c r="S13" s="173">
        <f>+'GRUPO B'!Y10</f>
        <v>0</v>
      </c>
    </row>
    <row r="14" spans="1:19" ht="21" hidden="1" customHeight="1" x14ac:dyDescent="0.3">
      <c r="A14" s="518"/>
      <c r="B14" s="173" t="str">
        <f>+'GRUPO D'!M20</f>
        <v>CANCHA 1 A</v>
      </c>
      <c r="C14" s="173" t="str">
        <f>+'GRUPO D'!C20</f>
        <v>04:40. a.m.</v>
      </c>
      <c r="D14" s="173">
        <f>+'GRUPO D'!E20</f>
        <v>0</v>
      </c>
      <c r="E14" s="173">
        <f>+'GRUPO D'!G20</f>
        <v>0</v>
      </c>
      <c r="F14" s="173">
        <f>+'GRUPO D'!I20</f>
        <v>0</v>
      </c>
      <c r="G14" s="173">
        <f>+'GRUPO D'!K20</f>
        <v>0</v>
      </c>
      <c r="H14" s="173" t="str">
        <f>+'GRUPO D'!B4</f>
        <v>GRUPO D</v>
      </c>
      <c r="J14" s="179" t="str">
        <f>+'GRUPO B'!P12</f>
        <v xml:space="preserve">  2)  CENTAUROS DEL ARIARI</v>
      </c>
      <c r="K14" s="173">
        <f>+'GRUPO B'!Q12</f>
        <v>3</v>
      </c>
      <c r="L14" s="173">
        <f>+'GRUPO B'!R12</f>
        <v>3</v>
      </c>
      <c r="M14" s="173">
        <f>+'GRUPO B'!S12</f>
        <v>1</v>
      </c>
      <c r="N14" s="173">
        <f>+'GRUPO B'!T12</f>
        <v>0</v>
      </c>
      <c r="O14" s="173">
        <f>+'GRUPO B'!U12</f>
        <v>2</v>
      </c>
      <c r="P14" s="173">
        <f>+'GRUPO B'!V12</f>
        <v>4</v>
      </c>
      <c r="Q14" s="173">
        <f>+'GRUPO B'!W12</f>
        <v>5</v>
      </c>
      <c r="R14" s="173">
        <f>+'GRUPO B'!X12</f>
        <v>-1</v>
      </c>
      <c r="S14" s="173">
        <f>+'GRUPO B'!Y12</f>
        <v>0</v>
      </c>
    </row>
    <row r="15" spans="1:19" ht="21" hidden="1" customHeight="1" x14ac:dyDescent="0.3">
      <c r="A15" s="518"/>
      <c r="B15" s="175" t="str">
        <f>+'GRUPO D'!M23</f>
        <v>CANCHA 1 B</v>
      </c>
      <c r="C15" s="175" t="str">
        <f>+'GRUPO D'!C23</f>
        <v>04:40. p.m.</v>
      </c>
      <c r="D15" s="175">
        <f>+'GRUPO D'!E23</f>
        <v>0</v>
      </c>
      <c r="E15" s="175">
        <f>+'GRUPO D'!G23</f>
        <v>0</v>
      </c>
      <c r="F15" s="175">
        <f>+'GRUPO D'!I23</f>
        <v>0</v>
      </c>
      <c r="G15" s="175">
        <f>+'GRUPO D'!K23</f>
        <v>0</v>
      </c>
      <c r="H15" s="176" t="str">
        <f>+'GRUPO D'!B4</f>
        <v>GRUPO D</v>
      </c>
      <c r="J15" s="179" t="str">
        <f>+'GRUPO B'!P14</f>
        <v xml:space="preserve">  3)  COLEGIO PRINCIPADO DE MONACO</v>
      </c>
      <c r="K15" s="173">
        <f>+'GRUPO B'!Q14</f>
        <v>1</v>
      </c>
      <c r="L15" s="173">
        <f>+'GRUPO B'!R14</f>
        <v>3</v>
      </c>
      <c r="M15" s="173">
        <f>+'GRUPO B'!S14</f>
        <v>0</v>
      </c>
      <c r="N15" s="173">
        <f>+'GRUPO B'!T14</f>
        <v>1</v>
      </c>
      <c r="O15" s="173">
        <f>+'GRUPO B'!U14</f>
        <v>2</v>
      </c>
      <c r="P15" s="173">
        <f>+'GRUPO B'!V14</f>
        <v>7</v>
      </c>
      <c r="Q15" s="173">
        <f>+'GRUPO B'!W14</f>
        <v>12</v>
      </c>
      <c r="R15" s="173">
        <f>+'GRUPO B'!X14</f>
        <v>-5</v>
      </c>
      <c r="S15" s="173">
        <f>+'GRUPO B'!Y14</f>
        <v>0</v>
      </c>
    </row>
    <row r="16" spans="1:19" ht="2.25" hidden="1" customHeight="1" x14ac:dyDescent="0.3">
      <c r="J16" s="187"/>
    </row>
    <row r="17" spans="1:19" ht="21" hidden="1" customHeight="1" x14ac:dyDescent="0.3">
      <c r="B17" s="519" t="str">
        <f>+'IMPRIMIR 2'!A14</f>
        <v>PARTIDOS                 fecha 2</v>
      </c>
      <c r="C17" s="520"/>
      <c r="D17" s="520"/>
      <c r="E17" s="520"/>
      <c r="F17" s="520"/>
      <c r="G17" s="520"/>
      <c r="H17" s="521"/>
      <c r="J17" s="179">
        <f>+'GRUPO B'!P16</f>
        <v>0</v>
      </c>
      <c r="K17" s="173">
        <f>+'GRUPO B'!Q16</f>
        <v>0</v>
      </c>
      <c r="L17" s="173">
        <f>+'GRUPO B'!R16</f>
        <v>0</v>
      </c>
      <c r="M17" s="173">
        <f>+'GRUPO B'!S16</f>
        <v>0</v>
      </c>
      <c r="N17" s="173">
        <f>+'GRUPO B'!T16</f>
        <v>0</v>
      </c>
      <c r="O17" s="173">
        <f>+'GRUPO B'!U16</f>
        <v>0</v>
      </c>
      <c r="P17" s="173">
        <f>+'GRUPO B'!V16</f>
        <v>0</v>
      </c>
      <c r="Q17" s="173">
        <f>+'GRUPO B'!W16</f>
        <v>0</v>
      </c>
      <c r="R17" s="173">
        <f>+'GRUPO B'!X16</f>
        <v>0</v>
      </c>
      <c r="S17" s="173">
        <f>+'GRUPO B'!Y16</f>
        <v>0</v>
      </c>
    </row>
    <row r="18" spans="1:19" ht="21" hidden="1" customHeight="1" x14ac:dyDescent="0.3">
      <c r="B18" s="184" t="s">
        <v>68</v>
      </c>
      <c r="C18" s="184" t="s">
        <v>69</v>
      </c>
      <c r="D18" s="184" t="s">
        <v>70</v>
      </c>
      <c r="E18" s="516" t="s">
        <v>71</v>
      </c>
      <c r="F18" s="516"/>
      <c r="G18" s="184" t="s">
        <v>70</v>
      </c>
      <c r="H18" s="184" t="s">
        <v>72</v>
      </c>
    </row>
    <row r="19" spans="1:19" ht="21" hidden="1" customHeight="1" x14ac:dyDescent="0.3">
      <c r="A19" s="517">
        <f>+'GRUPO A'!B26</f>
        <v>42966</v>
      </c>
      <c r="B19" s="173" t="str">
        <f>+'GRUPO A'!M26</f>
        <v>CANCHA 1 C</v>
      </c>
      <c r="C19" s="173" t="str">
        <f>+'GRUPO A'!C26</f>
        <v>12:40. p.m.</v>
      </c>
      <c r="D19" s="173">
        <f>+'GRUPO A'!E26</f>
        <v>0</v>
      </c>
      <c r="E19" s="173">
        <f>+'GRUPO A'!G26</f>
        <v>0</v>
      </c>
      <c r="F19" s="173">
        <f>+'GRUPO A'!I26</f>
        <v>0</v>
      </c>
      <c r="G19" s="173">
        <f>+'GRUPO A'!K26</f>
        <v>0</v>
      </c>
      <c r="H19" s="174" t="str">
        <f>+'GRUPO A'!B4</f>
        <v>GRUPO A</v>
      </c>
      <c r="J19" s="180" t="str">
        <f>+'GRUPO C'!B4</f>
        <v>GRUPO C</v>
      </c>
      <c r="K19" s="181" t="str">
        <f>+'GRUPO C'!Q8</f>
        <v>Pts.</v>
      </c>
      <c r="L19" s="181" t="str">
        <f>+'GRUPO C'!R8</f>
        <v>PJ</v>
      </c>
      <c r="M19" s="181" t="str">
        <f>+'GRUPO C'!S8</f>
        <v>Gan.</v>
      </c>
      <c r="N19" s="181" t="str">
        <f>+'GRUPO C'!T8</f>
        <v>Emp.</v>
      </c>
      <c r="O19" s="181" t="str">
        <f>+'GRUPO C'!U8</f>
        <v>Per.</v>
      </c>
      <c r="P19" s="181" t="str">
        <f>+'GRUPO C'!V8</f>
        <v>GF</v>
      </c>
      <c r="Q19" s="181" t="str">
        <f>+'GRUPO C'!W8</f>
        <v>GC</v>
      </c>
      <c r="R19" s="181" t="str">
        <f>+'GRUPO C'!X8</f>
        <v>Dif.</v>
      </c>
      <c r="S19" s="181" t="str">
        <f>+'GRUPO C'!Y8</f>
        <v>Tj</v>
      </c>
    </row>
    <row r="20" spans="1:19" ht="21" hidden="1" customHeight="1" x14ac:dyDescent="0.3">
      <c r="A20" s="518"/>
      <c r="B20" s="175" t="str">
        <f>+'GRUPO A'!M29</f>
        <v>CANCHA 1 C</v>
      </c>
      <c r="C20" s="175" t="str">
        <f>+'GRUPO A'!C29</f>
        <v>12:50. p.m.</v>
      </c>
      <c r="D20" s="175" t="str">
        <f>+'GRUPO A'!E29</f>
        <v>COLEGIO NEIL ARMSTRONG</v>
      </c>
      <c r="E20" s="175">
        <f>+'GRUPO A'!G29</f>
        <v>4</v>
      </c>
      <c r="F20" s="175">
        <f>+'GRUPO A'!I29</f>
        <v>1</v>
      </c>
      <c r="G20" s="175" t="str">
        <f>+'GRUPO A'!K29</f>
        <v>CLUB CAMPESTRE IBAGUE UNO</v>
      </c>
      <c r="H20" s="176" t="str">
        <f>+'GRUPO A'!B4</f>
        <v>GRUPO A</v>
      </c>
      <c r="J20" s="179" t="str">
        <f>+'GRUPO C'!P10</f>
        <v xml:space="preserve">  1)  GRAMA F. C.</v>
      </c>
      <c r="K20" s="173">
        <f>+'GRUPO C'!Q10</f>
        <v>6</v>
      </c>
      <c r="L20" s="173">
        <f>+'GRUPO C'!R10</f>
        <v>3</v>
      </c>
      <c r="M20" s="173">
        <f>+'GRUPO C'!S10</f>
        <v>2</v>
      </c>
      <c r="N20" s="173">
        <f>+'GRUPO C'!T10</f>
        <v>0</v>
      </c>
      <c r="O20" s="173">
        <f>+'GRUPO C'!U10</f>
        <v>1</v>
      </c>
      <c r="P20" s="173">
        <f>+'GRUPO C'!V10</f>
        <v>8</v>
      </c>
      <c r="Q20" s="173">
        <f>+'GRUPO C'!W10</f>
        <v>6</v>
      </c>
      <c r="R20" s="173">
        <f>+'GRUPO C'!X10</f>
        <v>2</v>
      </c>
      <c r="S20" s="173">
        <f>+'GRUPO C'!Y10</f>
        <v>0</v>
      </c>
    </row>
    <row r="21" spans="1:19" ht="21" hidden="1" customHeight="1" x14ac:dyDescent="0.3">
      <c r="A21" s="518"/>
      <c r="B21" s="173" t="str">
        <f>+'GRUPO B'!M26</f>
        <v>CANCHA 1 B</v>
      </c>
      <c r="C21" s="173" t="str">
        <f>+'GRUPO B'!C26</f>
        <v>04:40. p.m.</v>
      </c>
      <c r="D21" s="173">
        <f>+'GRUPO B'!E26</f>
        <v>0</v>
      </c>
      <c r="E21" s="173">
        <f>+'GRUPO B'!G26</f>
        <v>0</v>
      </c>
      <c r="F21" s="173">
        <f>+'GRUPO B'!I26</f>
        <v>0</v>
      </c>
      <c r="G21" s="173">
        <f>+'GRUPO B'!K26</f>
        <v>0</v>
      </c>
      <c r="H21" s="174" t="str">
        <f>+'GRUPO B'!B4</f>
        <v>GRUPO B</v>
      </c>
      <c r="J21" s="179" t="str">
        <f>+'GRUPO C'!P12</f>
        <v xml:space="preserve">  2)  ESCUELA DE FORMACIÓN DEPORTIVA MARACANA</v>
      </c>
      <c r="K21" s="173">
        <f>+'GRUPO C'!Q12</f>
        <v>4</v>
      </c>
      <c r="L21" s="173">
        <f>+'GRUPO C'!R12</f>
        <v>3</v>
      </c>
      <c r="M21" s="173">
        <f>+'GRUPO C'!S12</f>
        <v>1</v>
      </c>
      <c r="N21" s="173">
        <f>+'GRUPO C'!T12</f>
        <v>1</v>
      </c>
      <c r="O21" s="173">
        <f>+'GRUPO C'!U12</f>
        <v>1</v>
      </c>
      <c r="P21" s="173">
        <f>+'GRUPO C'!V12</f>
        <v>17</v>
      </c>
      <c r="Q21" s="173">
        <f>+'GRUPO C'!W12</f>
        <v>5</v>
      </c>
      <c r="R21" s="173">
        <f>+'GRUPO C'!X12</f>
        <v>12</v>
      </c>
      <c r="S21" s="173">
        <f>+'GRUPO C'!Y12</f>
        <v>0</v>
      </c>
    </row>
    <row r="22" spans="1:19" ht="21" hidden="1" customHeight="1" x14ac:dyDescent="0.3">
      <c r="A22" s="518"/>
      <c r="B22" s="175" t="str">
        <f>+'GRUPO B'!M29</f>
        <v>CANCHA 1 A</v>
      </c>
      <c r="C22" s="175" t="str">
        <f>+'GRUPO B'!C29</f>
        <v>10:50. a.m.</v>
      </c>
      <c r="D22" s="175" t="str">
        <f>+'GRUPO B'!E29</f>
        <v>COLEGIO PRINCIPADO DE MONACO</v>
      </c>
      <c r="E22" s="175">
        <f>+'GRUPO B'!G29</f>
        <v>1</v>
      </c>
      <c r="F22" s="175">
        <f>+'GRUPO B'!I29</f>
        <v>4</v>
      </c>
      <c r="G22" s="175" t="str">
        <f>+'GRUPO B'!K29</f>
        <v>CENTAUROS DEL ARIARI</v>
      </c>
      <c r="H22" s="176" t="str">
        <f>+'GRUPO B'!B4</f>
        <v>GRUPO B</v>
      </c>
      <c r="J22" s="179" t="str">
        <f>+'GRUPO C'!P14</f>
        <v xml:space="preserve">  3)  NOVATOS F. C.</v>
      </c>
      <c r="K22" s="173">
        <f>+'GRUPO C'!Q14</f>
        <v>0</v>
      </c>
      <c r="L22" s="173">
        <f>+'GRUPO C'!R14</f>
        <v>3</v>
      </c>
      <c r="M22" s="173">
        <f>+'GRUPO C'!S14</f>
        <v>0</v>
      </c>
      <c r="N22" s="173">
        <f>+'GRUPO C'!T14</f>
        <v>0</v>
      </c>
      <c r="O22" s="173">
        <f>+'GRUPO C'!U14</f>
        <v>3</v>
      </c>
      <c r="P22" s="173">
        <f>+'GRUPO C'!V14</f>
        <v>1</v>
      </c>
      <c r="Q22" s="173">
        <f>+'GRUPO C'!W14</f>
        <v>21</v>
      </c>
      <c r="R22" s="173">
        <f>+'GRUPO C'!X14</f>
        <v>-20</v>
      </c>
      <c r="S22" s="173">
        <f>+'GRUPO C'!Y14</f>
        <v>0</v>
      </c>
    </row>
    <row r="23" spans="1:19" ht="21" hidden="1" customHeight="1" x14ac:dyDescent="0.3">
      <c r="A23" s="518"/>
      <c r="B23" s="173" t="str">
        <f>+'GRUPO C'!M26</f>
        <v>CANCHA 1 C</v>
      </c>
      <c r="C23" s="173" t="str">
        <f>+'GRUPO C'!C26</f>
        <v>03:50. p.m.</v>
      </c>
      <c r="D23" s="173" t="str">
        <f>+'GRUPO C'!E26</f>
        <v>GRAMA F. C.</v>
      </c>
      <c r="E23" s="173">
        <f>+'GRUPO C'!G26</f>
        <v>5</v>
      </c>
      <c r="F23" s="173">
        <f>+'GRUPO C'!I26</f>
        <v>1</v>
      </c>
      <c r="G23" s="173" t="str">
        <f>+'GRUPO C'!K26</f>
        <v>NOVATOS F. C.</v>
      </c>
      <c r="H23" s="173" t="str">
        <f>+'GRUPO C'!B4</f>
        <v>GRUPO C</v>
      </c>
      <c r="J23" s="179">
        <f>+'GRUPO C'!P16</f>
        <v>0</v>
      </c>
      <c r="K23" s="173">
        <f>+'GRUPO C'!Q16</f>
        <v>0</v>
      </c>
      <c r="L23" s="173">
        <f>+'GRUPO C'!R16</f>
        <v>0</v>
      </c>
      <c r="M23" s="173">
        <f>+'GRUPO C'!S16</f>
        <v>0</v>
      </c>
      <c r="N23" s="173">
        <f>+'GRUPO C'!T16</f>
        <v>0</v>
      </c>
      <c r="O23" s="173">
        <f>+'GRUPO C'!U16</f>
        <v>0</v>
      </c>
      <c r="P23" s="173">
        <f>+'GRUPO C'!V16</f>
        <v>0</v>
      </c>
      <c r="Q23" s="173">
        <f>+'GRUPO C'!W16</f>
        <v>0</v>
      </c>
      <c r="R23" s="173">
        <f>+'GRUPO C'!X16</f>
        <v>0</v>
      </c>
      <c r="S23" s="173">
        <f>+'GRUPO C'!Y16</f>
        <v>0</v>
      </c>
    </row>
    <row r="24" spans="1:19" ht="21" hidden="1" customHeight="1" x14ac:dyDescent="0.3">
      <c r="A24" s="518"/>
      <c r="B24" s="175" t="str">
        <f>+'GRUPO C'!M29</f>
        <v>CANCHA 1 A</v>
      </c>
      <c r="C24" s="175" t="str">
        <f>+'GRUPO C'!C29</f>
        <v>12:50. p.m.</v>
      </c>
      <c r="D24" s="175" t="str">
        <f>+'GRUPO C'!E29</f>
        <v>GRAMA F. C.</v>
      </c>
      <c r="E24" s="175">
        <f>+'GRUPO C'!G29</f>
        <v>2</v>
      </c>
      <c r="F24" s="175">
        <f>+'GRUPO C'!I29</f>
        <v>1</v>
      </c>
      <c r="G24" s="175" t="str">
        <f>+'GRUPO C'!K29</f>
        <v>ESCUELA DE FORMACIÓN DEPORTIVA MARACANA</v>
      </c>
      <c r="H24" s="176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8"/>
      <c r="B25" s="173" t="str">
        <f>+'GRUPO D'!M26</f>
        <v>CANCHA 1 B</v>
      </c>
      <c r="C25" s="173" t="str">
        <f>+'GRUPO D'!C26</f>
        <v>09:50. a.m.</v>
      </c>
      <c r="D25" s="173" t="str">
        <f>+'GRUPO D'!E26</f>
        <v>ESCUELA DEPORTIVA DE FÚTBOL RAQUIRA</v>
      </c>
      <c r="E25" s="173">
        <f>+'GRUPO D'!G26</f>
        <v>2</v>
      </c>
      <c r="F25" s="173">
        <f>+'GRUPO D'!I26</f>
        <v>5</v>
      </c>
      <c r="G25" s="173" t="str">
        <f>+'GRUPO D'!K26</f>
        <v>CLUB CAMPESTRE IBAGUE DOS</v>
      </c>
      <c r="H25" s="173" t="str">
        <f>+'GRUPO D'!B4</f>
        <v>GRUPO D</v>
      </c>
      <c r="J25" s="182" t="str">
        <f>+'GRUPO D'!B4</f>
        <v>GRUPO D</v>
      </c>
      <c r="K25" s="183" t="str">
        <f>+'GRUPO D'!Q8</f>
        <v>Pts.</v>
      </c>
      <c r="L25" s="183" t="str">
        <f>+'GRUPO D'!R8</f>
        <v>PJ</v>
      </c>
      <c r="M25" s="183" t="str">
        <f>+'GRUPO D'!S8</f>
        <v>Gan.</v>
      </c>
      <c r="N25" s="183" t="str">
        <f>+'GRUPO D'!T8</f>
        <v>Emp.</v>
      </c>
      <c r="O25" s="183" t="str">
        <f>+'GRUPO D'!U8</f>
        <v>Per.</v>
      </c>
      <c r="P25" s="183" t="str">
        <f>+'GRUPO D'!V8</f>
        <v>GF</v>
      </c>
      <c r="Q25" s="183" t="str">
        <f>+'GRUPO D'!W8</f>
        <v>GC</v>
      </c>
      <c r="R25" s="183" t="str">
        <f>+'GRUPO D'!X8</f>
        <v>Dif.</v>
      </c>
      <c r="S25" s="183" t="str">
        <f>+'GRUPO D'!Y8</f>
        <v>Tj</v>
      </c>
    </row>
    <row r="26" spans="1:19" ht="21" hidden="1" customHeight="1" x14ac:dyDescent="0.3">
      <c r="A26" s="518"/>
      <c r="B26" s="175" t="str">
        <f>+'GRUPO D'!M29</f>
        <v>CANCHA 1 A</v>
      </c>
      <c r="C26" s="175" t="str">
        <f>+'GRUPO D'!C29</f>
        <v>11:55. a.m.</v>
      </c>
      <c r="D26" s="175" t="str">
        <f>+'GRUPO D'!E29</f>
        <v>ESCUELA DEPORTIVA DE FÚTBOL RAQUIRA</v>
      </c>
      <c r="E26" s="175">
        <f>+'GRUPO D'!G29</f>
        <v>0</v>
      </c>
      <c r="F26" s="175">
        <f>+'GRUPO D'!I29</f>
        <v>12</v>
      </c>
      <c r="G26" s="175" t="str">
        <f>+'GRUPO D'!K29</f>
        <v>CORDOBA Y SERRANO F. C.</v>
      </c>
      <c r="H26" s="176" t="str">
        <f>+'GRUPO D'!B4</f>
        <v>GRUPO D</v>
      </c>
      <c r="J26" s="179" t="str">
        <f>+'GRUPO D'!P10</f>
        <v xml:space="preserve">  1)  CLUB CAMPESTRE IBAGUE DOS</v>
      </c>
      <c r="K26" s="173">
        <f>+'GRUPO D'!Q10</f>
        <v>7</v>
      </c>
      <c r="L26" s="173">
        <f>+'GRUPO D'!R10</f>
        <v>3</v>
      </c>
      <c r="M26" s="173">
        <f>+'GRUPO D'!S10</f>
        <v>2</v>
      </c>
      <c r="N26" s="173">
        <f>+'GRUPO D'!T10</f>
        <v>1</v>
      </c>
      <c r="O26" s="173">
        <f>+'GRUPO D'!U10</f>
        <v>0</v>
      </c>
      <c r="P26" s="173">
        <f>+'GRUPO D'!V10</f>
        <v>12</v>
      </c>
      <c r="Q26" s="173">
        <f>+'GRUPO D'!W10</f>
        <v>9</v>
      </c>
      <c r="R26" s="173">
        <f>+'GRUPO D'!X10</f>
        <v>3</v>
      </c>
      <c r="S26" s="173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10" t="str">
        <f>+'IMPRIMIR 3'!A17</f>
        <v>PARTIDOS                 fecha 3 ULTIMA</v>
      </c>
      <c r="C28" s="511"/>
      <c r="D28" s="511"/>
      <c r="E28" s="511"/>
      <c r="F28" s="511"/>
      <c r="G28" s="511"/>
      <c r="H28" s="512"/>
      <c r="J28" s="179" t="str">
        <f>+'GRUPO D'!P12</f>
        <v xml:space="preserve">  2)  CORDOBA Y SERRANO F. C.</v>
      </c>
      <c r="K28" s="173">
        <f>+'GRUPO D'!Q12</f>
        <v>5</v>
      </c>
      <c r="L28" s="173">
        <f>+'GRUPO D'!R12</f>
        <v>3</v>
      </c>
      <c r="M28" s="173">
        <f>+'GRUPO D'!S12</f>
        <v>1</v>
      </c>
      <c r="N28" s="173">
        <f>+'GRUPO D'!T12</f>
        <v>2</v>
      </c>
      <c r="O28" s="173">
        <f>+'GRUPO D'!U12</f>
        <v>0</v>
      </c>
      <c r="P28" s="173">
        <f>+'GRUPO D'!V12</f>
        <v>18</v>
      </c>
      <c r="Q28" s="173">
        <f>+'GRUPO D'!W12</f>
        <v>6</v>
      </c>
      <c r="R28" s="173">
        <f>+'GRUPO D'!X12</f>
        <v>12</v>
      </c>
      <c r="S28" s="173">
        <f>+'GRUPO D'!Y12</f>
        <v>0</v>
      </c>
    </row>
    <row r="29" spans="1:19" ht="21" hidden="1" customHeight="1" x14ac:dyDescent="0.3">
      <c r="B29" s="184" t="s">
        <v>68</v>
      </c>
      <c r="C29" s="184" t="s">
        <v>69</v>
      </c>
      <c r="D29" s="184" t="s">
        <v>70</v>
      </c>
      <c r="E29" s="516" t="s">
        <v>71</v>
      </c>
      <c r="F29" s="516"/>
      <c r="G29" s="184" t="s">
        <v>70</v>
      </c>
      <c r="H29" s="184" t="s">
        <v>72</v>
      </c>
      <c r="J29" s="179" t="str">
        <f>+'GRUPO D'!P14</f>
        <v xml:space="preserve">  3)  ESCUELA DEPORTIVA DE FÚTBOL RAQUIRA</v>
      </c>
      <c r="K29" s="173">
        <f>+'GRUPO D'!Q14</f>
        <v>3</v>
      </c>
      <c r="L29" s="173">
        <f>+'GRUPO D'!R14</f>
        <v>3</v>
      </c>
      <c r="M29" s="173">
        <f>+'GRUPO D'!S14</f>
        <v>1</v>
      </c>
      <c r="N29" s="173">
        <f>+'GRUPO D'!T14</f>
        <v>0</v>
      </c>
      <c r="O29" s="173">
        <f>+'GRUPO D'!U14</f>
        <v>2</v>
      </c>
      <c r="P29" s="173">
        <f>+'GRUPO D'!V14</f>
        <v>5</v>
      </c>
      <c r="Q29" s="173">
        <f>+'GRUPO D'!W14</f>
        <v>17</v>
      </c>
      <c r="R29" s="173">
        <f>+'GRUPO D'!X14</f>
        <v>-12</v>
      </c>
      <c r="S29" s="173">
        <f>+'GRUPO D'!Y14</f>
        <v>0</v>
      </c>
    </row>
    <row r="30" spans="1:19" ht="21" hidden="1" customHeight="1" x14ac:dyDescent="0.3">
      <c r="A30" s="517">
        <f>+'GRUPO A'!B32</f>
        <v>42967</v>
      </c>
      <c r="B30" s="173" t="str">
        <f>+'GRUPO A'!M32</f>
        <v>CANCHA 1 A</v>
      </c>
      <c r="C30" s="173" t="str">
        <f>+'GRUPO A'!C32</f>
        <v>09:50. a.m.</v>
      </c>
      <c r="D30" s="173" t="str">
        <f>+'GRUPO A'!E32</f>
        <v>CLUB LOS PAPETICOS</v>
      </c>
      <c r="E30" s="173">
        <f>+'GRUPO A'!G32</f>
        <v>9</v>
      </c>
      <c r="F30" s="173">
        <f>+'GRUPO A'!I32</f>
        <v>2</v>
      </c>
      <c r="G30" s="173" t="str">
        <f>+'GRUPO A'!K32</f>
        <v>CLUB CAMPESTRE IBAGUE UNO</v>
      </c>
      <c r="H30" s="174" t="str">
        <f>+'GRUPO A'!B4</f>
        <v>GRUPO A</v>
      </c>
      <c r="J30" s="179">
        <f>+'GRUPO D'!P16</f>
        <v>0</v>
      </c>
      <c r="K30" s="173">
        <f>+'GRUPO D'!Q16</f>
        <v>0</v>
      </c>
      <c r="L30" s="173">
        <f>+'GRUPO D'!R16</f>
        <v>0</v>
      </c>
      <c r="M30" s="173">
        <f>+'GRUPO D'!S16</f>
        <v>0</v>
      </c>
      <c r="N30" s="173">
        <f>+'GRUPO D'!T16</f>
        <v>0</v>
      </c>
      <c r="O30" s="173">
        <f>+'GRUPO D'!U16</f>
        <v>0</v>
      </c>
      <c r="P30" s="173">
        <f>+'GRUPO D'!V16</f>
        <v>0</v>
      </c>
      <c r="Q30" s="173">
        <f>+'GRUPO D'!W16</f>
        <v>0</v>
      </c>
      <c r="R30" s="173">
        <f>+'GRUPO D'!X16</f>
        <v>0</v>
      </c>
      <c r="S30" s="173">
        <f>+'GRUPO D'!Y16</f>
        <v>0</v>
      </c>
    </row>
    <row r="31" spans="1:19" ht="21" hidden="1" customHeight="1" x14ac:dyDescent="0.3">
      <c r="A31" s="518"/>
      <c r="B31" s="175">
        <f>+'GRUPO A'!M35</f>
        <v>0</v>
      </c>
      <c r="C31" s="175">
        <f>+'GRUPO A'!C35</f>
        <v>0</v>
      </c>
      <c r="D31" s="175">
        <f>+'GRUPO A'!E35</f>
        <v>0</v>
      </c>
      <c r="E31" s="175">
        <f>+'GRUPO A'!G35</f>
        <v>0</v>
      </c>
      <c r="F31" s="175">
        <f>+'GRUPO A'!I35</f>
        <v>0</v>
      </c>
      <c r="G31" s="175">
        <f>+'GRUPO A'!K35</f>
        <v>0</v>
      </c>
      <c r="H31" s="176" t="str">
        <f>+'GRUPO A'!B4</f>
        <v>GRUPO A</v>
      </c>
    </row>
    <row r="32" spans="1:19" ht="21" hidden="1" customHeight="1" x14ac:dyDescent="0.3">
      <c r="A32" s="518"/>
      <c r="B32" s="173" t="str">
        <f>+'GRUPO B'!M32</f>
        <v>CANCHA 1 A</v>
      </c>
      <c r="C32" s="173" t="str">
        <f>+'GRUPO B'!C32</f>
        <v>04:30. p.m.</v>
      </c>
      <c r="D32" s="173" t="str">
        <f>+'GRUPO B'!E32</f>
        <v>CLUB ARIEL ARMEL</v>
      </c>
      <c r="E32" s="173">
        <f>+'GRUPO B'!G32</f>
        <v>1</v>
      </c>
      <c r="F32" s="173">
        <f>+'GRUPO B'!I32</f>
        <v>0</v>
      </c>
      <c r="G32" s="173" t="str">
        <f>+'GRUPO B'!K32</f>
        <v>CENTAUROS DEL ARIARI</v>
      </c>
      <c r="H32" s="174" t="str">
        <f>+'GRUPO B'!B4</f>
        <v>GRUPO B</v>
      </c>
    </row>
    <row r="33" spans="1:8" ht="21" hidden="1" customHeight="1" x14ac:dyDescent="0.3">
      <c r="A33" s="518"/>
      <c r="B33" s="175">
        <f>+'GRUPO B'!M35</f>
        <v>0</v>
      </c>
      <c r="C33" s="175">
        <f>+'GRUPO B'!C35</f>
        <v>0</v>
      </c>
      <c r="D33" s="175">
        <f>+'GRUPO B'!E35</f>
        <v>0</v>
      </c>
      <c r="E33" s="175">
        <f>+'GRUPO B'!G35</f>
        <v>0</v>
      </c>
      <c r="F33" s="175">
        <f>+'GRUPO B'!I35</f>
        <v>0</v>
      </c>
      <c r="G33" s="175">
        <f>+'GRUPO B'!K35</f>
        <v>0</v>
      </c>
      <c r="H33" s="176" t="str">
        <f>+'GRUPO B'!B4</f>
        <v>GRUPO B</v>
      </c>
    </row>
    <row r="34" spans="1:8" ht="21" hidden="1" customHeight="1" x14ac:dyDescent="0.3">
      <c r="A34" s="518"/>
      <c r="B34" s="173" t="str">
        <f>+'GRUPO C'!M32</f>
        <v>CANCHA 1 C</v>
      </c>
      <c r="C34" s="173" t="str">
        <f>+'GRUPO C'!C32</f>
        <v>09:50. a.m.</v>
      </c>
      <c r="D34" s="173" t="str">
        <f>+'GRUPO C'!E32</f>
        <v>NOVATOS F. C.</v>
      </c>
      <c r="E34" s="173">
        <f>+'GRUPO C'!G32</f>
        <v>0</v>
      </c>
      <c r="F34" s="173">
        <f>+'GRUPO C'!I32</f>
        <v>13</v>
      </c>
      <c r="G34" s="173" t="str">
        <f>+'GRUPO C'!K32</f>
        <v>ESCUELA DE FORMACIÓN DEPORTIVA MARACANA</v>
      </c>
      <c r="H34" s="173" t="str">
        <f>+'GRUPO C'!B4</f>
        <v>GRUPO C</v>
      </c>
    </row>
    <row r="35" spans="1:8" ht="21" hidden="1" customHeight="1" x14ac:dyDescent="0.3">
      <c r="A35" s="518"/>
      <c r="B35" s="175">
        <f>+'GRUPO C'!M35</f>
        <v>0</v>
      </c>
      <c r="C35" s="175">
        <f>+'GRUPO C'!C35</f>
        <v>0</v>
      </c>
      <c r="D35" s="175">
        <f>+'GRUPO C'!E35</f>
        <v>0</v>
      </c>
      <c r="E35" s="175">
        <f>+'GRUPO C'!G35</f>
        <v>0</v>
      </c>
      <c r="F35" s="175">
        <f>+'GRUPO C'!I35</f>
        <v>0</v>
      </c>
      <c r="G35" s="175">
        <f>+'GRUPO C'!K35</f>
        <v>0</v>
      </c>
      <c r="H35" s="176" t="str">
        <f>+'GRUPO C'!B4</f>
        <v>GRUPO C</v>
      </c>
    </row>
    <row r="36" spans="1:8" ht="21" hidden="1" customHeight="1" x14ac:dyDescent="0.3">
      <c r="A36" s="518"/>
      <c r="B36" s="173" t="str">
        <f>+'GRUPO D'!M32</f>
        <v>CANCHA 1 A</v>
      </c>
      <c r="C36" s="173" t="str">
        <f>+'GRUPO D'!C32</f>
        <v>12:40. p.m.</v>
      </c>
      <c r="D36" s="173" t="str">
        <f>+'GRUPO D'!E32</f>
        <v>CLUB CAMPESTRE IBAGUE DOS</v>
      </c>
      <c r="E36" s="173">
        <f>+'GRUPO D'!G32</f>
        <v>3</v>
      </c>
      <c r="F36" s="173">
        <f>+'GRUPO D'!I32</f>
        <v>3</v>
      </c>
      <c r="G36" s="173" t="str">
        <f>+'GRUPO D'!K32</f>
        <v>CORDOBA Y SERRANO F. C.</v>
      </c>
      <c r="H36" s="173" t="str">
        <f>+'GRUPO D'!B4</f>
        <v>GRUPO D</v>
      </c>
    </row>
    <row r="37" spans="1:8" ht="21" hidden="1" customHeight="1" x14ac:dyDescent="0.3">
      <c r="A37" s="518"/>
      <c r="B37" s="175">
        <f>+'GRUPO D'!M35</f>
        <v>0</v>
      </c>
      <c r="C37" s="175">
        <f>+'GRUPO D'!C35</f>
        <v>0</v>
      </c>
      <c r="D37" s="175">
        <f>+'GRUPO D'!E35</f>
        <v>0</v>
      </c>
      <c r="E37" s="175">
        <f>+'GRUPO D'!G35</f>
        <v>0</v>
      </c>
      <c r="F37" s="175">
        <f>+'GRUPO D'!I35</f>
        <v>0</v>
      </c>
      <c r="G37" s="175">
        <f>+'GRUPO D'!K35</f>
        <v>0</v>
      </c>
      <c r="H37" s="176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28" t="str">
        <f>+'CUARTOS DE FINAL.'!B2</f>
        <v>CUARTOS DE FINAL</v>
      </c>
      <c r="C39" s="529"/>
      <c r="D39" s="529"/>
      <c r="E39" s="529"/>
      <c r="F39" s="529"/>
      <c r="G39" s="529"/>
      <c r="H39" s="530"/>
    </row>
    <row r="40" spans="1:8" ht="21" customHeight="1" x14ac:dyDescent="0.3">
      <c r="B40" s="184" t="s">
        <v>68</v>
      </c>
      <c r="C40" s="184" t="s">
        <v>69</v>
      </c>
      <c r="D40" s="184" t="s">
        <v>70</v>
      </c>
      <c r="E40" s="516" t="s">
        <v>71</v>
      </c>
      <c r="F40" s="516"/>
      <c r="G40" s="184" t="s">
        <v>70</v>
      </c>
      <c r="H40" s="184" t="s">
        <v>75</v>
      </c>
    </row>
    <row r="41" spans="1:8" ht="21" customHeight="1" x14ac:dyDescent="0.3">
      <c r="A41" s="517">
        <f>+'CUARTOS DE FINAL.'!B9</f>
        <v>42596</v>
      </c>
      <c r="B41" s="174" t="str">
        <f>+'CUARTOS DE FINAL.'!N6</f>
        <v>PALMARA</v>
      </c>
      <c r="C41" s="173" t="str">
        <f>+'CUARTOS DE FINAL.'!D6</f>
        <v>03:00. p.m.</v>
      </c>
      <c r="D41" s="173" t="e">
        <f>+'CUARTOS DE FINAL.'!G6</f>
        <v>#N/A</v>
      </c>
      <c r="E41" s="173">
        <f>+'CUARTOS DE FINAL.'!H6</f>
        <v>1</v>
      </c>
      <c r="F41" s="173">
        <f>+'CUARTOS DE FINAL.'!J6</f>
        <v>2</v>
      </c>
      <c r="G41" s="173" t="str">
        <f>+'CUARTOS DE FINAL.'!L6</f>
        <v>ESCUELA DE FORMACIÓN DEPORTIVA MARACANA</v>
      </c>
      <c r="H41" s="174" t="str">
        <f>+'CUARTOS DE FINAL.'!C6</f>
        <v>LLAVE A</v>
      </c>
    </row>
    <row r="42" spans="1:8" ht="21" customHeight="1" x14ac:dyDescent="0.3">
      <c r="A42" s="517"/>
      <c r="B42" s="176" t="str">
        <f>+'CUARTOS DE FINAL.'!N9</f>
        <v>CANCHA 2</v>
      </c>
      <c r="C42" s="175" t="str">
        <f>+'CUARTOS DE FINAL.'!D9</f>
        <v>04:20. p.m.</v>
      </c>
      <c r="D42" s="175" t="str">
        <f>+'CUARTOS DE FINAL.'!G9</f>
        <v>CLUB ARIEL ARMEL</v>
      </c>
      <c r="E42" s="175">
        <f>+'CUARTOS DE FINAL.'!H9</f>
        <v>2</v>
      </c>
      <c r="F42" s="175">
        <f>+'CUARTOS DE FINAL.'!J9</f>
        <v>1</v>
      </c>
      <c r="G42" s="175" t="str">
        <f>+'CUARTOS DE FINAL.'!L9</f>
        <v>CORDOBA Y SERRANO F. C.</v>
      </c>
      <c r="H42" s="176" t="str">
        <f>+'CUARTOS DE FINAL.'!C9</f>
        <v>LLAVE B</v>
      </c>
    </row>
    <row r="43" spans="1:8" ht="21" customHeight="1" x14ac:dyDescent="0.3">
      <c r="A43" s="517"/>
      <c r="B43" s="174" t="str">
        <f>+'CUARTOS DE FINAL.'!N12</f>
        <v>CANCHA 2</v>
      </c>
      <c r="C43" s="173" t="str">
        <f>+'CUARTOS DE FINAL.'!D12</f>
        <v>03:00. p.m.</v>
      </c>
      <c r="D43" s="173" t="str">
        <f>+'CUARTOS DE FINAL.'!G12</f>
        <v>GRAMA F. C.</v>
      </c>
      <c r="E43" s="173">
        <f>+'CUARTOS DE FINAL.'!H12</f>
        <v>1</v>
      </c>
      <c r="F43" s="173">
        <f>+'CUARTOS DE FINAL.'!J12</f>
        <v>2</v>
      </c>
      <c r="G43" s="173" t="e">
        <f>+'CUARTOS DE FINAL.'!L12</f>
        <v>#N/A</v>
      </c>
      <c r="H43" s="174" t="str">
        <f>+'CUARTOS DE FINAL.'!C12</f>
        <v>LLAVE C</v>
      </c>
    </row>
    <row r="44" spans="1:8" ht="21" customHeight="1" x14ac:dyDescent="0.3">
      <c r="A44" s="517"/>
      <c r="B44" s="176" t="str">
        <f>+'CUARTOS DE FINAL.'!N15</f>
        <v>PALMARA</v>
      </c>
      <c r="C44" s="175" t="str">
        <f>+'CUARTOS DE FINAL.'!D15</f>
        <v>04:20. p.m.</v>
      </c>
      <c r="D44" s="175" t="str">
        <f>+'CUARTOS DE FINAL.'!G15</f>
        <v>CLUB CAMPESTRE IBAGUE DOS</v>
      </c>
      <c r="E44" s="175">
        <f>+'CUARTOS DE FINAL.'!H15</f>
        <v>2</v>
      </c>
      <c r="F44" s="175">
        <f>+'CUARTOS DE FINAL.'!J15</f>
        <v>1</v>
      </c>
      <c r="G44" s="175" t="str">
        <f>+'CUARTOS DE FINAL.'!L15</f>
        <v>CENTAUROS DEL ARIARI</v>
      </c>
      <c r="H44" s="176" t="str">
        <f>+'CUARTOS DE FINAL.'!C15</f>
        <v>LLAVE D</v>
      </c>
    </row>
    <row r="45" spans="1:8" ht="21" customHeight="1" x14ac:dyDescent="0.3">
      <c r="A45" s="185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1" t="str">
        <f>+DEFINICION!B5</f>
        <v>SEMIFINALES</v>
      </c>
      <c r="C46" s="532"/>
      <c r="D46" s="532"/>
      <c r="E46" s="532"/>
      <c r="F46" s="532"/>
      <c r="G46" s="532"/>
      <c r="H46" s="533"/>
    </row>
    <row r="47" spans="1:8" ht="27.9" customHeight="1" x14ac:dyDescent="0.3">
      <c r="B47" s="184" t="s">
        <v>68</v>
      </c>
      <c r="C47" s="184" t="s">
        <v>69</v>
      </c>
      <c r="D47" s="184" t="s">
        <v>70</v>
      </c>
      <c r="E47" s="516" t="s">
        <v>71</v>
      </c>
      <c r="F47" s="516"/>
      <c r="G47" s="184" t="s">
        <v>70</v>
      </c>
      <c r="H47" s="184" t="s">
        <v>75</v>
      </c>
    </row>
    <row r="48" spans="1:8" ht="27.9" customHeight="1" x14ac:dyDescent="0.3">
      <c r="A48" s="517">
        <f>+DEFINICION!B9</f>
        <v>43090</v>
      </c>
      <c r="B48" s="174" t="str">
        <f>+DEFINICION!O9</f>
        <v>CANCHA 2</v>
      </c>
      <c r="C48" s="173" t="str">
        <f>+DEFINICION!D9</f>
        <v>08:20 a.m.</v>
      </c>
      <c r="D48" s="173" t="s">
        <v>55</v>
      </c>
      <c r="E48" s="173">
        <f>+'CUARTOS DE FINAL.'!H13</f>
        <v>0</v>
      </c>
      <c r="F48" s="173">
        <f>+'CUARTOS DE FINAL.'!J13</f>
        <v>0</v>
      </c>
      <c r="G48" s="173" t="s">
        <v>56</v>
      </c>
      <c r="H48" s="174" t="str">
        <f>+DEFINICION!C9</f>
        <v>LLAVE  A</v>
      </c>
    </row>
    <row r="49" spans="1:8" ht="27.9" customHeight="1" x14ac:dyDescent="0.3">
      <c r="A49" s="517"/>
      <c r="B49" s="176" t="str">
        <f>+DEFINICION!O12</f>
        <v>CANCHA 2</v>
      </c>
      <c r="C49" s="175" t="str">
        <f>+DEFINICION!D12</f>
        <v>09:30 a.m.</v>
      </c>
      <c r="D49" s="175" t="s">
        <v>60</v>
      </c>
      <c r="E49" s="175">
        <f>+'CUARTOS DE FINAL.'!H16</f>
        <v>0</v>
      </c>
      <c r="F49" s="175">
        <f>+'CUARTOS DE FINAL.'!J16</f>
        <v>0</v>
      </c>
      <c r="G49" s="175" t="s">
        <v>61</v>
      </c>
      <c r="H49" s="176" t="str">
        <f>+DEFINICION!C12</f>
        <v>LLAVE  B</v>
      </c>
    </row>
    <row r="50" spans="1:8" ht="27.9" customHeight="1" x14ac:dyDescent="0.3">
      <c r="A50" s="192"/>
      <c r="B50" s="188"/>
      <c r="C50" s="1"/>
      <c r="D50" s="1"/>
      <c r="E50" s="1"/>
      <c r="F50" s="1"/>
      <c r="G50" s="1"/>
      <c r="H50" s="188"/>
    </row>
    <row r="51" spans="1:8" ht="27.9" customHeight="1" x14ac:dyDescent="0.3">
      <c r="B51" s="525" t="str">
        <f>+FINAL!B7</f>
        <v>Partido por el TERCER PUESTO</v>
      </c>
      <c r="C51" s="526"/>
      <c r="D51" s="526"/>
      <c r="E51" s="526"/>
      <c r="F51" s="526"/>
      <c r="G51" s="526"/>
      <c r="H51" s="527"/>
    </row>
    <row r="52" spans="1:8" ht="27.9" customHeight="1" x14ac:dyDescent="0.3">
      <c r="B52" s="184" t="s">
        <v>68</v>
      </c>
      <c r="C52" s="184" t="s">
        <v>69</v>
      </c>
      <c r="D52" s="184" t="s">
        <v>70</v>
      </c>
      <c r="E52" s="516" t="s">
        <v>71</v>
      </c>
      <c r="F52" s="516"/>
      <c r="G52" s="184" t="s">
        <v>70</v>
      </c>
      <c r="H52" s="184"/>
    </row>
    <row r="53" spans="1:8" ht="27.9" customHeight="1" x14ac:dyDescent="0.3">
      <c r="A53" s="189">
        <f>+DEFINICION!B14</f>
        <v>0</v>
      </c>
      <c r="B53" s="174" t="str">
        <f>+FINAL!O9</f>
        <v>CANCHA 2</v>
      </c>
      <c r="C53" s="173">
        <f>+DEFINICION!D14</f>
        <v>0</v>
      </c>
      <c r="D53" s="173" t="s">
        <v>64</v>
      </c>
      <c r="E53" s="173">
        <f>+'CUARTOS DE FINAL.'!H18</f>
        <v>0</v>
      </c>
      <c r="F53" s="173">
        <f>+'CUARTOS DE FINAL.'!J18</f>
        <v>0</v>
      </c>
      <c r="G53" s="173" t="s">
        <v>65</v>
      </c>
      <c r="H53" s="174"/>
    </row>
    <row r="54" spans="1:8" ht="10.5" customHeight="1" x14ac:dyDescent="0.3">
      <c r="A54" s="190"/>
      <c r="B54" s="193"/>
      <c r="C54" s="194"/>
      <c r="D54" s="194"/>
      <c r="E54" s="194"/>
      <c r="F54" s="194"/>
      <c r="G54" s="194"/>
      <c r="H54" s="195"/>
    </row>
    <row r="55" spans="1:8" ht="27.9" customHeight="1" x14ac:dyDescent="0.3">
      <c r="A55" s="190"/>
      <c r="B55" s="522" t="str">
        <f>+FINAL!B13</f>
        <v>FINAL DEL CAMPEONATO</v>
      </c>
      <c r="C55" s="523"/>
      <c r="D55" s="523"/>
      <c r="E55" s="523"/>
      <c r="F55" s="523"/>
      <c r="G55" s="523"/>
      <c r="H55" s="524"/>
    </row>
    <row r="56" spans="1:8" ht="27.9" customHeight="1" x14ac:dyDescent="0.3">
      <c r="A56" s="190"/>
      <c r="B56" s="184" t="s">
        <v>68</v>
      </c>
      <c r="C56" s="184" t="s">
        <v>69</v>
      </c>
      <c r="D56" s="184" t="s">
        <v>70</v>
      </c>
      <c r="E56" s="516" t="s">
        <v>71</v>
      </c>
      <c r="F56" s="516"/>
      <c r="G56" s="184" t="s">
        <v>70</v>
      </c>
      <c r="H56" s="184"/>
    </row>
    <row r="57" spans="1:8" ht="27.9" customHeight="1" x14ac:dyDescent="0.3">
      <c r="A57" s="191"/>
      <c r="B57" s="176" t="str">
        <f>+FINAL!O15</f>
        <v>CANCHA 2</v>
      </c>
      <c r="C57" s="175">
        <f>+DEFINICION!C4</f>
        <v>0</v>
      </c>
      <c r="D57" s="175" t="s">
        <v>66</v>
      </c>
      <c r="E57" s="175">
        <f>+'CUARTOS DE FINAL.'!H21</f>
        <v>0</v>
      </c>
      <c r="F57" s="175">
        <f>+'CUARTOS DE FINAL.'!J21</f>
        <v>0</v>
      </c>
      <c r="G57" s="175" t="s">
        <v>67</v>
      </c>
      <c r="H57" s="176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13" t="e">
        <f>+'PRE BABY GRUPOS'!B1:I1</f>
        <v>#VALUE!</v>
      </c>
      <c r="B1" s="513"/>
      <c r="C1" s="513"/>
      <c r="D1" s="513"/>
      <c r="E1" s="513"/>
      <c r="F1" s="513"/>
      <c r="G1" s="513"/>
      <c r="H1" s="513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</row>
    <row r="2" spans="1:19" ht="28.8" x14ac:dyDescent="0.55000000000000004">
      <c r="A2" s="514" t="e">
        <f>+'PRE BABY GRUPOS'!B2:I2</f>
        <v>#VALUE!</v>
      </c>
      <c r="B2" s="514"/>
      <c r="C2" s="514"/>
      <c r="D2" s="514"/>
      <c r="E2" s="514"/>
      <c r="F2" s="514"/>
      <c r="G2" s="514"/>
      <c r="H2" s="514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</row>
    <row r="3" spans="1:19" ht="28.8" x14ac:dyDescent="0.55000000000000004">
      <c r="A3" s="514" t="e">
        <f>+'PRE BABY GRUPOS'!#REF!</f>
        <v>#REF!</v>
      </c>
      <c r="B3" s="514"/>
      <c r="C3" s="514"/>
      <c r="D3" s="514"/>
      <c r="E3" s="514"/>
      <c r="F3" s="514"/>
      <c r="G3" s="514"/>
      <c r="H3" s="514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</row>
    <row r="4" spans="1:19" ht="21" x14ac:dyDescent="0.4">
      <c r="A4" s="515" t="str">
        <f>+'PRE BABY GRUPOS'!C3</f>
        <v>NACIDOS 2012 2013</v>
      </c>
      <c r="B4" s="515"/>
      <c r="C4" s="515"/>
      <c r="D4" s="515"/>
      <c r="E4" s="515"/>
      <c r="F4" s="515"/>
      <c r="G4" s="515"/>
      <c r="H4" s="515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</row>
    <row r="5" spans="1:19" ht="21" x14ac:dyDescent="0.4">
      <c r="A5" s="515" t="s">
        <v>73</v>
      </c>
      <c r="B5" s="515"/>
      <c r="C5" s="515"/>
      <c r="D5" s="515"/>
      <c r="E5" s="515"/>
      <c r="F5" s="515"/>
      <c r="G5" s="515"/>
      <c r="H5" s="515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</row>
    <row r="6" spans="1:19" ht="21" hidden="1" customHeight="1" x14ac:dyDescent="0.3">
      <c r="A6"/>
      <c r="B6" s="510" t="str">
        <f>+IMPRIMIR!A14</f>
        <v>PARTIDOS                 fecha 1</v>
      </c>
      <c r="C6" s="511"/>
      <c r="D6" s="511"/>
      <c r="E6" s="511"/>
      <c r="F6" s="511"/>
      <c r="G6" s="511"/>
      <c r="H6" s="512"/>
      <c r="J6" s="178" t="str">
        <f>+'GRUPO A'!B4</f>
        <v>GRUPO A</v>
      </c>
      <c r="K6" s="178">
        <f>+'GRUPO A'!Q20</f>
        <v>0</v>
      </c>
      <c r="L6" s="178">
        <f>+'GRUPO A'!R20</f>
        <v>0</v>
      </c>
      <c r="M6" s="178">
        <f>+'GRUPO A'!S20</f>
        <v>0</v>
      </c>
      <c r="N6" s="178">
        <f>+'GRUPO A'!T20</f>
        <v>0</v>
      </c>
      <c r="O6" s="178">
        <f>+'GRUPO A'!U20</f>
        <v>0</v>
      </c>
      <c r="P6" s="178">
        <f>+'GRUPO A'!V20</f>
        <v>0</v>
      </c>
      <c r="Q6" s="178">
        <f>+'GRUPO A'!W20</f>
        <v>0</v>
      </c>
      <c r="R6" s="178">
        <f>+'GRUPO A'!X20</f>
        <v>0</v>
      </c>
      <c r="S6" s="178">
        <f>+'GRUPO A'!Y20</f>
        <v>0</v>
      </c>
    </row>
    <row r="7" spans="1:19" hidden="1" x14ac:dyDescent="0.3">
      <c r="B7" s="184" t="s">
        <v>68</v>
      </c>
      <c r="C7" s="184" t="s">
        <v>69</v>
      </c>
      <c r="D7" s="184" t="s">
        <v>70</v>
      </c>
      <c r="E7" s="516" t="s">
        <v>71</v>
      </c>
      <c r="F7" s="516"/>
      <c r="G7" s="184" t="s">
        <v>70</v>
      </c>
      <c r="H7" s="184" t="s">
        <v>72</v>
      </c>
      <c r="J7" s="179">
        <f>+'GRUPO A'!P22</f>
        <v>0</v>
      </c>
      <c r="K7" s="173">
        <f>+'GRUPO A'!Q22</f>
        <v>0</v>
      </c>
      <c r="L7" s="173">
        <f>+'GRUPO A'!R22</f>
        <v>0</v>
      </c>
      <c r="M7" s="173">
        <f>+'GRUPO A'!S22</f>
        <v>0</v>
      </c>
      <c r="N7" s="173">
        <f>+'GRUPO A'!T22</f>
        <v>0</v>
      </c>
      <c r="O7" s="173">
        <f>+'GRUPO A'!U22</f>
        <v>0</v>
      </c>
      <c r="P7" s="173">
        <f>+'GRUPO A'!V22</f>
        <v>0</v>
      </c>
      <c r="Q7" s="173">
        <f>+'GRUPO A'!W22</f>
        <v>0</v>
      </c>
      <c r="R7" s="173">
        <f>+'GRUPO A'!X22</f>
        <v>0</v>
      </c>
      <c r="S7" s="173">
        <f>+'GRUPO A'!Y22</f>
        <v>0</v>
      </c>
    </row>
    <row r="8" spans="1:19" ht="21" hidden="1" customHeight="1" x14ac:dyDescent="0.3">
      <c r="A8" s="517">
        <f>+'GRUPO A'!B20</f>
        <v>42966</v>
      </c>
      <c r="B8" s="173" t="str">
        <f>+'GRUPO A'!M20</f>
        <v>CANCHA 1 A</v>
      </c>
      <c r="C8" s="173" t="str">
        <f>+'GRUPO A'!C20</f>
        <v>11:45. a.m.</v>
      </c>
      <c r="D8" s="173">
        <f>+'GRUPO A'!E20</f>
        <v>0</v>
      </c>
      <c r="E8" s="173">
        <f>+'GRUPO A'!G20</f>
        <v>0</v>
      </c>
      <c r="F8" s="173">
        <f>+'GRUPO A'!I20</f>
        <v>0</v>
      </c>
      <c r="G8" s="173">
        <f>+'GRUPO A'!K20</f>
        <v>0</v>
      </c>
      <c r="H8" s="173" t="str">
        <f>+'GRUPO A'!B4</f>
        <v>GRUPO A</v>
      </c>
      <c r="J8" s="179">
        <f>+'GRUPO A'!P24</f>
        <v>0</v>
      </c>
      <c r="K8" s="173">
        <f>+'GRUPO A'!Q24</f>
        <v>0</v>
      </c>
      <c r="L8" s="173">
        <f>+'GRUPO A'!R24</f>
        <v>0</v>
      </c>
      <c r="M8" s="173">
        <f>+'GRUPO A'!S24</f>
        <v>0</v>
      </c>
      <c r="N8" s="173">
        <f>+'GRUPO A'!T24</f>
        <v>0</v>
      </c>
      <c r="O8" s="173">
        <f>+'GRUPO A'!U24</f>
        <v>0</v>
      </c>
      <c r="P8" s="173">
        <f>+'GRUPO A'!V24</f>
        <v>0</v>
      </c>
      <c r="Q8" s="173">
        <f>+'GRUPO A'!W24</f>
        <v>0</v>
      </c>
      <c r="R8" s="173">
        <f>+'GRUPO A'!X24</f>
        <v>0</v>
      </c>
      <c r="S8" s="173">
        <f>+'GRUPO A'!Y24</f>
        <v>0</v>
      </c>
    </row>
    <row r="9" spans="1:19" ht="21" hidden="1" customHeight="1" x14ac:dyDescent="0.3">
      <c r="A9" s="518"/>
      <c r="B9" s="175" t="str">
        <f>+'GRUPO A'!M23</f>
        <v>CANCHA 1 B</v>
      </c>
      <c r="C9" s="175" t="str">
        <f>+'GRUPO A'!C23</f>
        <v>11:45. a.m.</v>
      </c>
      <c r="D9" s="175">
        <f>+'GRUPO A'!E23</f>
        <v>0</v>
      </c>
      <c r="E9" s="175">
        <f>+'GRUPO A'!G23</f>
        <v>0</v>
      </c>
      <c r="F9" s="175">
        <f>+'GRUPO A'!I23</f>
        <v>0</v>
      </c>
      <c r="G9" s="175">
        <f>+'GRUPO A'!K23</f>
        <v>0</v>
      </c>
      <c r="H9" s="176" t="str">
        <f>+'GRUPO A'!B4</f>
        <v>GRUPO A</v>
      </c>
      <c r="J9" s="179">
        <f>+'GRUPO A'!P26</f>
        <v>0</v>
      </c>
      <c r="K9" s="173">
        <f>+'GRUPO A'!Q26</f>
        <v>0</v>
      </c>
      <c r="L9" s="173">
        <f>+'GRUPO A'!R26</f>
        <v>0</v>
      </c>
      <c r="M9" s="173">
        <f>+'GRUPO A'!S26</f>
        <v>0</v>
      </c>
      <c r="N9" s="173">
        <f>+'GRUPO A'!T26</f>
        <v>0</v>
      </c>
      <c r="O9" s="173">
        <f>+'GRUPO A'!U26</f>
        <v>0</v>
      </c>
      <c r="P9" s="173">
        <f>+'GRUPO A'!V26</f>
        <v>0</v>
      </c>
      <c r="Q9" s="173">
        <f>+'GRUPO A'!W26</f>
        <v>0</v>
      </c>
      <c r="R9" s="173">
        <f>+'GRUPO A'!X26</f>
        <v>0</v>
      </c>
      <c r="S9" s="173">
        <f>+'GRUPO A'!Y26</f>
        <v>0</v>
      </c>
    </row>
    <row r="10" spans="1:19" ht="21" hidden="1" customHeight="1" x14ac:dyDescent="0.3">
      <c r="A10" s="518"/>
      <c r="B10" s="173" t="str">
        <f>+'GRUPO B'!M20</f>
        <v>CANCHA 1 C</v>
      </c>
      <c r="C10" s="173" t="str">
        <f>+'GRUPO B'!C20</f>
        <v>11:45. a.m.</v>
      </c>
      <c r="D10" s="173">
        <f>+'GRUPO B'!E20</f>
        <v>0</v>
      </c>
      <c r="E10" s="173">
        <f>+'GRUPO B'!G20</f>
        <v>0</v>
      </c>
      <c r="F10" s="173">
        <f>+'GRUPO B'!I20</f>
        <v>0</v>
      </c>
      <c r="G10" s="173">
        <f>+'GRUPO B'!K20</f>
        <v>0</v>
      </c>
      <c r="H10" s="173" t="str">
        <f>+'GRUPO B'!B4</f>
        <v>GRUPO B</v>
      </c>
      <c r="J10" s="179">
        <f>+'GRUPO A'!P28</f>
        <v>0</v>
      </c>
      <c r="K10" s="173">
        <f>+'GRUPO A'!Q28</f>
        <v>0</v>
      </c>
      <c r="L10" s="173">
        <f>+'GRUPO A'!R28</f>
        <v>0</v>
      </c>
      <c r="M10" s="173">
        <f>+'GRUPO A'!S28</f>
        <v>0</v>
      </c>
      <c r="N10" s="173">
        <f>+'GRUPO A'!T28</f>
        <v>0</v>
      </c>
      <c r="O10" s="173">
        <f>+'GRUPO A'!U28</f>
        <v>0</v>
      </c>
      <c r="P10" s="173">
        <f>+'GRUPO A'!V28</f>
        <v>0</v>
      </c>
      <c r="Q10" s="173">
        <f>+'GRUPO A'!W28</f>
        <v>0</v>
      </c>
      <c r="R10" s="173">
        <f>+'GRUPO A'!X28</f>
        <v>0</v>
      </c>
      <c r="S10" s="173">
        <f>+'GRUPO A'!Y28</f>
        <v>0</v>
      </c>
    </row>
    <row r="11" spans="1:19" ht="21" hidden="1" customHeight="1" x14ac:dyDescent="0.3">
      <c r="A11" s="518"/>
      <c r="B11" s="175" t="str">
        <f>+'GRUPO B'!M23</f>
        <v>CANCHA 1 A</v>
      </c>
      <c r="C11" s="175" t="str">
        <f>+'GRUPO B'!C23</f>
        <v>04:40. a.m.</v>
      </c>
      <c r="D11" s="175">
        <f>+'GRUPO B'!E23</f>
        <v>0</v>
      </c>
      <c r="E11" s="175">
        <f>+'GRUPO B'!G23</f>
        <v>0</v>
      </c>
      <c r="F11" s="175">
        <f>+'GRUPO B'!I23</f>
        <v>0</v>
      </c>
      <c r="G11" s="175">
        <f>+'GRUPO B'!K23</f>
        <v>0</v>
      </c>
      <c r="H11" s="176" t="str">
        <f>+'GRUPO B'!B4</f>
        <v>GRUPO B</v>
      </c>
    </row>
    <row r="12" spans="1:19" ht="21" hidden="1" customHeight="1" x14ac:dyDescent="0.3">
      <c r="A12" s="518"/>
      <c r="B12" s="173" t="str">
        <f>+'GRUPO C'!M20</f>
        <v>CANCHA 1 B</v>
      </c>
      <c r="C12" s="173" t="str">
        <f>+'GRUPO C'!C20</f>
        <v>11:45. a.m.</v>
      </c>
      <c r="D12" s="173">
        <f>+'GRUPO C'!E20</f>
        <v>0</v>
      </c>
      <c r="E12" s="173">
        <f>+'GRUPO C'!G20</f>
        <v>0</v>
      </c>
      <c r="F12" s="173">
        <f>+'GRUPO C'!I20</f>
        <v>0</v>
      </c>
      <c r="G12" s="173">
        <f>+'GRUPO C'!K20</f>
        <v>0</v>
      </c>
      <c r="H12" s="173" t="str">
        <f>+'GRUPO C'!B4</f>
        <v>GRUPO C</v>
      </c>
      <c r="J12" s="177" t="str">
        <f>+'GRUPO B'!B4</f>
        <v>GRUPO B</v>
      </c>
      <c r="K12" s="177" t="str">
        <f>+'GRUPO B'!Q8</f>
        <v>Pts.</v>
      </c>
      <c r="L12" s="177" t="str">
        <f>+'GRUPO B'!R8</f>
        <v>PJ</v>
      </c>
      <c r="M12" s="177" t="str">
        <f>+'GRUPO B'!S8</f>
        <v>Gan.</v>
      </c>
      <c r="N12" s="177" t="str">
        <f>+'GRUPO B'!T8</f>
        <v>Emp.</v>
      </c>
      <c r="O12" s="177" t="str">
        <f>+'GRUPO B'!U8</f>
        <v>Per.</v>
      </c>
      <c r="P12" s="177" t="str">
        <f>+'GRUPO B'!V8</f>
        <v>GF</v>
      </c>
      <c r="Q12" s="177" t="str">
        <f>+'GRUPO B'!W8</f>
        <v>GC</v>
      </c>
      <c r="R12" s="177" t="str">
        <f>+'GRUPO B'!X8</f>
        <v>Dif.</v>
      </c>
      <c r="S12" s="177" t="str">
        <f>+'GRUPO B'!Y8</f>
        <v>Tj</v>
      </c>
    </row>
    <row r="13" spans="1:19" ht="21" hidden="1" customHeight="1" x14ac:dyDescent="0.3">
      <c r="A13" s="518"/>
      <c r="B13" s="175" t="str">
        <f>+'GRUPO C'!M23</f>
        <v>CANCHA 1 C</v>
      </c>
      <c r="C13" s="175" t="str">
        <f>+'GRUPO C'!C23</f>
        <v>12:40. p.m.</v>
      </c>
      <c r="D13" s="175">
        <f>+'GRUPO C'!E23</f>
        <v>0</v>
      </c>
      <c r="E13" s="175">
        <f>+'GRUPO C'!G20</f>
        <v>0</v>
      </c>
      <c r="F13" s="175">
        <f>+'GRUPO C'!I23</f>
        <v>0</v>
      </c>
      <c r="G13" s="175">
        <f>+'GRUPO C'!K20</f>
        <v>0</v>
      </c>
      <c r="H13" s="176" t="str">
        <f>+'GRUPO C'!B4</f>
        <v>GRUPO C</v>
      </c>
      <c r="J13" s="179" t="str">
        <f>+'GRUPO B'!P10</f>
        <v xml:space="preserve">  1)  CLUB ARIEL ARMEL</v>
      </c>
      <c r="K13" s="173">
        <f>+'GRUPO B'!Q10</f>
        <v>4</v>
      </c>
      <c r="L13" s="173">
        <f>+'GRUPO B'!R10</f>
        <v>3</v>
      </c>
      <c r="M13" s="173">
        <f>+'GRUPO B'!S10</f>
        <v>1</v>
      </c>
      <c r="N13" s="173">
        <f>+'GRUPO B'!T10</f>
        <v>1</v>
      </c>
      <c r="O13" s="173">
        <f>+'GRUPO B'!U10</f>
        <v>1</v>
      </c>
      <c r="P13" s="173">
        <f>+'GRUPO B'!V10</f>
        <v>7</v>
      </c>
      <c r="Q13" s="173">
        <f>+'GRUPO B'!W10</f>
        <v>4</v>
      </c>
      <c r="R13" s="173">
        <f>+'GRUPO B'!X10</f>
        <v>3</v>
      </c>
      <c r="S13" s="173">
        <f>+'GRUPO B'!Y10</f>
        <v>0</v>
      </c>
    </row>
    <row r="14" spans="1:19" ht="21" hidden="1" customHeight="1" x14ac:dyDescent="0.3">
      <c r="A14" s="518"/>
      <c r="B14" s="173" t="str">
        <f>+'GRUPO D'!M20</f>
        <v>CANCHA 1 A</v>
      </c>
      <c r="C14" s="173" t="str">
        <f>+'GRUPO D'!C20</f>
        <v>04:40. a.m.</v>
      </c>
      <c r="D14" s="173">
        <f>+'GRUPO D'!E20</f>
        <v>0</v>
      </c>
      <c r="E14" s="173">
        <f>+'GRUPO D'!G20</f>
        <v>0</v>
      </c>
      <c r="F14" s="173">
        <f>+'GRUPO D'!I20</f>
        <v>0</v>
      </c>
      <c r="G14" s="173">
        <f>+'GRUPO D'!K20</f>
        <v>0</v>
      </c>
      <c r="H14" s="173" t="str">
        <f>+'GRUPO D'!B4</f>
        <v>GRUPO D</v>
      </c>
      <c r="J14" s="179" t="str">
        <f>+'GRUPO B'!P12</f>
        <v xml:space="preserve">  2)  CENTAUROS DEL ARIARI</v>
      </c>
      <c r="K14" s="173">
        <f>+'GRUPO B'!Q12</f>
        <v>3</v>
      </c>
      <c r="L14" s="173">
        <f>+'GRUPO B'!R12</f>
        <v>3</v>
      </c>
      <c r="M14" s="173">
        <f>+'GRUPO B'!S12</f>
        <v>1</v>
      </c>
      <c r="N14" s="173">
        <f>+'GRUPO B'!T12</f>
        <v>0</v>
      </c>
      <c r="O14" s="173">
        <f>+'GRUPO B'!U12</f>
        <v>2</v>
      </c>
      <c r="P14" s="173">
        <f>+'GRUPO B'!V12</f>
        <v>4</v>
      </c>
      <c r="Q14" s="173">
        <f>+'GRUPO B'!W12</f>
        <v>5</v>
      </c>
      <c r="R14" s="173">
        <f>+'GRUPO B'!X12</f>
        <v>-1</v>
      </c>
      <c r="S14" s="173">
        <f>+'GRUPO B'!Y12</f>
        <v>0</v>
      </c>
    </row>
    <row r="15" spans="1:19" ht="21" hidden="1" customHeight="1" x14ac:dyDescent="0.3">
      <c r="A15" s="518"/>
      <c r="B15" s="175" t="str">
        <f>+'GRUPO D'!M23</f>
        <v>CANCHA 1 B</v>
      </c>
      <c r="C15" s="175" t="str">
        <f>+'GRUPO D'!C23</f>
        <v>04:40. p.m.</v>
      </c>
      <c r="D15" s="175">
        <f>+'GRUPO D'!E23</f>
        <v>0</v>
      </c>
      <c r="E15" s="175">
        <f>+'GRUPO D'!G23</f>
        <v>0</v>
      </c>
      <c r="F15" s="175">
        <f>+'GRUPO D'!I23</f>
        <v>0</v>
      </c>
      <c r="G15" s="175">
        <f>+'GRUPO D'!K23</f>
        <v>0</v>
      </c>
      <c r="H15" s="176" t="str">
        <f>+'GRUPO D'!B4</f>
        <v>GRUPO D</v>
      </c>
      <c r="J15" s="179" t="str">
        <f>+'GRUPO B'!P14</f>
        <v xml:space="preserve">  3)  COLEGIO PRINCIPADO DE MONACO</v>
      </c>
      <c r="K15" s="173">
        <f>+'GRUPO B'!Q14</f>
        <v>1</v>
      </c>
      <c r="L15" s="173">
        <f>+'GRUPO B'!R14</f>
        <v>3</v>
      </c>
      <c r="M15" s="173">
        <f>+'GRUPO B'!S14</f>
        <v>0</v>
      </c>
      <c r="N15" s="173">
        <f>+'GRUPO B'!T14</f>
        <v>1</v>
      </c>
      <c r="O15" s="173">
        <f>+'GRUPO B'!U14</f>
        <v>2</v>
      </c>
      <c r="P15" s="173">
        <f>+'GRUPO B'!V14</f>
        <v>7</v>
      </c>
      <c r="Q15" s="173">
        <f>+'GRUPO B'!W14</f>
        <v>12</v>
      </c>
      <c r="R15" s="173">
        <f>+'GRUPO B'!X14</f>
        <v>-5</v>
      </c>
      <c r="S15" s="173">
        <f>+'GRUPO B'!Y14</f>
        <v>0</v>
      </c>
    </row>
    <row r="16" spans="1:19" ht="2.25" hidden="1" customHeight="1" x14ac:dyDescent="0.3">
      <c r="J16" s="187"/>
    </row>
    <row r="17" spans="1:19" ht="21" hidden="1" customHeight="1" x14ac:dyDescent="0.3">
      <c r="B17" s="519" t="str">
        <f>+'IMPRIMIR 2'!A14</f>
        <v>PARTIDOS                 fecha 2</v>
      </c>
      <c r="C17" s="520"/>
      <c r="D17" s="520"/>
      <c r="E17" s="520"/>
      <c r="F17" s="520"/>
      <c r="G17" s="520"/>
      <c r="H17" s="521"/>
      <c r="J17" s="179">
        <f>+'GRUPO B'!P16</f>
        <v>0</v>
      </c>
      <c r="K17" s="173">
        <f>+'GRUPO B'!Q16</f>
        <v>0</v>
      </c>
      <c r="L17" s="173">
        <f>+'GRUPO B'!R16</f>
        <v>0</v>
      </c>
      <c r="M17" s="173">
        <f>+'GRUPO B'!S16</f>
        <v>0</v>
      </c>
      <c r="N17" s="173">
        <f>+'GRUPO B'!T16</f>
        <v>0</v>
      </c>
      <c r="O17" s="173">
        <f>+'GRUPO B'!U16</f>
        <v>0</v>
      </c>
      <c r="P17" s="173">
        <f>+'GRUPO B'!V16</f>
        <v>0</v>
      </c>
      <c r="Q17" s="173">
        <f>+'GRUPO B'!W16</f>
        <v>0</v>
      </c>
      <c r="R17" s="173">
        <f>+'GRUPO B'!X16</f>
        <v>0</v>
      </c>
      <c r="S17" s="173">
        <f>+'GRUPO B'!Y16</f>
        <v>0</v>
      </c>
    </row>
    <row r="18" spans="1:19" ht="21" hidden="1" customHeight="1" x14ac:dyDescent="0.3">
      <c r="B18" s="184" t="s">
        <v>68</v>
      </c>
      <c r="C18" s="184" t="s">
        <v>69</v>
      </c>
      <c r="D18" s="184" t="s">
        <v>70</v>
      </c>
      <c r="E18" s="516" t="s">
        <v>71</v>
      </c>
      <c r="F18" s="516"/>
      <c r="G18" s="184" t="s">
        <v>70</v>
      </c>
      <c r="H18" s="184" t="s">
        <v>72</v>
      </c>
    </row>
    <row r="19" spans="1:19" ht="21" hidden="1" customHeight="1" x14ac:dyDescent="0.3">
      <c r="A19" s="517">
        <f>+'GRUPO A'!B26</f>
        <v>42966</v>
      </c>
      <c r="B19" s="173" t="str">
        <f>+'GRUPO A'!M26</f>
        <v>CANCHA 1 C</v>
      </c>
      <c r="C19" s="173" t="str">
        <f>+'GRUPO A'!C26</f>
        <v>12:40. p.m.</v>
      </c>
      <c r="D19" s="173">
        <f>+'GRUPO A'!E26</f>
        <v>0</v>
      </c>
      <c r="E19" s="173">
        <f>+'GRUPO A'!G26</f>
        <v>0</v>
      </c>
      <c r="F19" s="173">
        <f>+'GRUPO A'!I26</f>
        <v>0</v>
      </c>
      <c r="G19" s="173">
        <f>+'GRUPO A'!K26</f>
        <v>0</v>
      </c>
      <c r="H19" s="174" t="str">
        <f>+'GRUPO A'!B4</f>
        <v>GRUPO A</v>
      </c>
      <c r="J19" s="180" t="str">
        <f>+'GRUPO C'!B4</f>
        <v>GRUPO C</v>
      </c>
      <c r="K19" s="181" t="str">
        <f>+'GRUPO C'!Q8</f>
        <v>Pts.</v>
      </c>
      <c r="L19" s="181" t="str">
        <f>+'GRUPO C'!R8</f>
        <v>PJ</v>
      </c>
      <c r="M19" s="181" t="str">
        <f>+'GRUPO C'!S8</f>
        <v>Gan.</v>
      </c>
      <c r="N19" s="181" t="str">
        <f>+'GRUPO C'!T8</f>
        <v>Emp.</v>
      </c>
      <c r="O19" s="181" t="str">
        <f>+'GRUPO C'!U8</f>
        <v>Per.</v>
      </c>
      <c r="P19" s="181" t="str">
        <f>+'GRUPO C'!V8</f>
        <v>GF</v>
      </c>
      <c r="Q19" s="181" t="str">
        <f>+'GRUPO C'!W8</f>
        <v>GC</v>
      </c>
      <c r="R19" s="181" t="str">
        <f>+'GRUPO C'!X8</f>
        <v>Dif.</v>
      </c>
      <c r="S19" s="181" t="str">
        <f>+'GRUPO C'!Y8</f>
        <v>Tj</v>
      </c>
    </row>
    <row r="20" spans="1:19" ht="21" hidden="1" customHeight="1" x14ac:dyDescent="0.3">
      <c r="A20" s="518"/>
      <c r="B20" s="175" t="str">
        <f>+'GRUPO A'!M29</f>
        <v>CANCHA 1 C</v>
      </c>
      <c r="C20" s="175" t="str">
        <f>+'GRUPO A'!C29</f>
        <v>12:50. p.m.</v>
      </c>
      <c r="D20" s="175" t="str">
        <f>+'GRUPO A'!E29</f>
        <v>COLEGIO NEIL ARMSTRONG</v>
      </c>
      <c r="E20" s="175">
        <f>+'GRUPO A'!G29</f>
        <v>4</v>
      </c>
      <c r="F20" s="175">
        <f>+'GRUPO A'!I29</f>
        <v>1</v>
      </c>
      <c r="G20" s="175" t="str">
        <f>+'GRUPO A'!K29</f>
        <v>CLUB CAMPESTRE IBAGUE UNO</v>
      </c>
      <c r="H20" s="176" t="str">
        <f>+'GRUPO A'!B4</f>
        <v>GRUPO A</v>
      </c>
      <c r="J20" s="179" t="str">
        <f>+'GRUPO C'!P10</f>
        <v xml:space="preserve">  1)  GRAMA F. C.</v>
      </c>
      <c r="K20" s="173">
        <f>+'GRUPO C'!Q10</f>
        <v>6</v>
      </c>
      <c r="L20" s="173">
        <f>+'GRUPO C'!R10</f>
        <v>3</v>
      </c>
      <c r="M20" s="173">
        <f>+'GRUPO C'!S10</f>
        <v>2</v>
      </c>
      <c r="N20" s="173">
        <f>+'GRUPO C'!T10</f>
        <v>0</v>
      </c>
      <c r="O20" s="173">
        <f>+'GRUPO C'!U10</f>
        <v>1</v>
      </c>
      <c r="P20" s="173">
        <f>+'GRUPO C'!V10</f>
        <v>8</v>
      </c>
      <c r="Q20" s="173">
        <f>+'GRUPO C'!W10</f>
        <v>6</v>
      </c>
      <c r="R20" s="173">
        <f>+'GRUPO C'!X10</f>
        <v>2</v>
      </c>
      <c r="S20" s="173">
        <f>+'GRUPO C'!Y10</f>
        <v>0</v>
      </c>
    </row>
    <row r="21" spans="1:19" ht="21" hidden="1" customHeight="1" x14ac:dyDescent="0.3">
      <c r="A21" s="518"/>
      <c r="B21" s="173" t="str">
        <f>+'GRUPO B'!M26</f>
        <v>CANCHA 1 B</v>
      </c>
      <c r="C21" s="173" t="str">
        <f>+'GRUPO B'!C26</f>
        <v>04:40. p.m.</v>
      </c>
      <c r="D21" s="173">
        <f>+'GRUPO B'!E26</f>
        <v>0</v>
      </c>
      <c r="E21" s="173">
        <f>+'GRUPO B'!G26</f>
        <v>0</v>
      </c>
      <c r="F21" s="173">
        <f>+'GRUPO B'!I26</f>
        <v>0</v>
      </c>
      <c r="G21" s="173">
        <f>+'GRUPO B'!K26</f>
        <v>0</v>
      </c>
      <c r="H21" s="174" t="str">
        <f>+'GRUPO B'!B4</f>
        <v>GRUPO B</v>
      </c>
      <c r="J21" s="179" t="str">
        <f>+'GRUPO C'!P12</f>
        <v xml:space="preserve">  2)  ESCUELA DE FORMACIÓN DEPORTIVA MARACANA</v>
      </c>
      <c r="K21" s="173">
        <f>+'GRUPO C'!Q12</f>
        <v>4</v>
      </c>
      <c r="L21" s="173">
        <f>+'GRUPO C'!R12</f>
        <v>3</v>
      </c>
      <c r="M21" s="173">
        <f>+'GRUPO C'!S12</f>
        <v>1</v>
      </c>
      <c r="N21" s="173">
        <f>+'GRUPO C'!T12</f>
        <v>1</v>
      </c>
      <c r="O21" s="173">
        <f>+'GRUPO C'!U12</f>
        <v>1</v>
      </c>
      <c r="P21" s="173">
        <f>+'GRUPO C'!V12</f>
        <v>17</v>
      </c>
      <c r="Q21" s="173">
        <f>+'GRUPO C'!W12</f>
        <v>5</v>
      </c>
      <c r="R21" s="173">
        <f>+'GRUPO C'!X12</f>
        <v>12</v>
      </c>
      <c r="S21" s="173">
        <f>+'GRUPO C'!Y12</f>
        <v>0</v>
      </c>
    </row>
    <row r="22" spans="1:19" ht="21" hidden="1" customHeight="1" x14ac:dyDescent="0.3">
      <c r="A22" s="518"/>
      <c r="B22" s="175" t="str">
        <f>+'GRUPO B'!M29</f>
        <v>CANCHA 1 A</v>
      </c>
      <c r="C22" s="175" t="str">
        <f>+'GRUPO B'!C29</f>
        <v>10:50. a.m.</v>
      </c>
      <c r="D22" s="175" t="str">
        <f>+'GRUPO B'!E29</f>
        <v>COLEGIO PRINCIPADO DE MONACO</v>
      </c>
      <c r="E22" s="175">
        <f>+'GRUPO B'!G29</f>
        <v>1</v>
      </c>
      <c r="F22" s="175">
        <f>+'GRUPO B'!I29</f>
        <v>4</v>
      </c>
      <c r="G22" s="175" t="str">
        <f>+'GRUPO B'!K29</f>
        <v>CENTAUROS DEL ARIARI</v>
      </c>
      <c r="H22" s="176" t="str">
        <f>+'GRUPO B'!B4</f>
        <v>GRUPO B</v>
      </c>
      <c r="J22" s="179" t="str">
        <f>+'GRUPO C'!P14</f>
        <v xml:space="preserve">  3)  NOVATOS F. C.</v>
      </c>
      <c r="K22" s="173">
        <f>+'GRUPO C'!Q14</f>
        <v>0</v>
      </c>
      <c r="L22" s="173">
        <f>+'GRUPO C'!R14</f>
        <v>3</v>
      </c>
      <c r="M22" s="173">
        <f>+'GRUPO C'!S14</f>
        <v>0</v>
      </c>
      <c r="N22" s="173">
        <f>+'GRUPO C'!T14</f>
        <v>0</v>
      </c>
      <c r="O22" s="173">
        <f>+'GRUPO C'!U14</f>
        <v>3</v>
      </c>
      <c r="P22" s="173">
        <f>+'GRUPO C'!V14</f>
        <v>1</v>
      </c>
      <c r="Q22" s="173">
        <f>+'GRUPO C'!W14</f>
        <v>21</v>
      </c>
      <c r="R22" s="173">
        <f>+'GRUPO C'!X14</f>
        <v>-20</v>
      </c>
      <c r="S22" s="173">
        <f>+'GRUPO C'!Y14</f>
        <v>0</v>
      </c>
    </row>
    <row r="23" spans="1:19" ht="21" hidden="1" customHeight="1" x14ac:dyDescent="0.3">
      <c r="A23" s="518"/>
      <c r="B23" s="173" t="str">
        <f>+'GRUPO C'!M26</f>
        <v>CANCHA 1 C</v>
      </c>
      <c r="C23" s="173" t="str">
        <f>+'GRUPO C'!C26</f>
        <v>03:50. p.m.</v>
      </c>
      <c r="D23" s="173" t="str">
        <f>+'GRUPO C'!E26</f>
        <v>GRAMA F. C.</v>
      </c>
      <c r="E23" s="173">
        <f>+'GRUPO C'!G26</f>
        <v>5</v>
      </c>
      <c r="F23" s="173">
        <f>+'GRUPO C'!I26</f>
        <v>1</v>
      </c>
      <c r="G23" s="173" t="str">
        <f>+'GRUPO C'!K26</f>
        <v>NOVATOS F. C.</v>
      </c>
      <c r="H23" s="173" t="str">
        <f>+'GRUPO C'!B4</f>
        <v>GRUPO C</v>
      </c>
      <c r="J23" s="179">
        <f>+'GRUPO C'!P16</f>
        <v>0</v>
      </c>
      <c r="K23" s="173">
        <f>+'GRUPO C'!Q16</f>
        <v>0</v>
      </c>
      <c r="L23" s="173">
        <f>+'GRUPO C'!R16</f>
        <v>0</v>
      </c>
      <c r="M23" s="173">
        <f>+'GRUPO C'!S16</f>
        <v>0</v>
      </c>
      <c r="N23" s="173">
        <f>+'GRUPO C'!T16</f>
        <v>0</v>
      </c>
      <c r="O23" s="173">
        <f>+'GRUPO C'!U16</f>
        <v>0</v>
      </c>
      <c r="P23" s="173">
        <f>+'GRUPO C'!V16</f>
        <v>0</v>
      </c>
      <c r="Q23" s="173">
        <f>+'GRUPO C'!W16</f>
        <v>0</v>
      </c>
      <c r="R23" s="173">
        <f>+'GRUPO C'!X16</f>
        <v>0</v>
      </c>
      <c r="S23" s="173">
        <f>+'GRUPO C'!Y16</f>
        <v>0</v>
      </c>
    </row>
    <row r="24" spans="1:19" ht="21" hidden="1" customHeight="1" x14ac:dyDescent="0.3">
      <c r="A24" s="518"/>
      <c r="B24" s="175" t="str">
        <f>+'GRUPO C'!M29</f>
        <v>CANCHA 1 A</v>
      </c>
      <c r="C24" s="175" t="str">
        <f>+'GRUPO C'!C29</f>
        <v>12:50. p.m.</v>
      </c>
      <c r="D24" s="175" t="str">
        <f>+'GRUPO C'!E29</f>
        <v>GRAMA F. C.</v>
      </c>
      <c r="E24" s="175">
        <f>+'GRUPO C'!G29</f>
        <v>2</v>
      </c>
      <c r="F24" s="175">
        <f>+'GRUPO C'!I29</f>
        <v>1</v>
      </c>
      <c r="G24" s="175" t="str">
        <f>+'GRUPO C'!K29</f>
        <v>ESCUELA DE FORMACIÓN DEPORTIVA MARACANA</v>
      </c>
      <c r="H24" s="176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18"/>
      <c r="B25" s="173" t="str">
        <f>+'GRUPO D'!M26</f>
        <v>CANCHA 1 B</v>
      </c>
      <c r="C25" s="173" t="str">
        <f>+'GRUPO D'!C26</f>
        <v>09:50. a.m.</v>
      </c>
      <c r="D25" s="173" t="str">
        <f>+'GRUPO D'!E26</f>
        <v>ESCUELA DEPORTIVA DE FÚTBOL RAQUIRA</v>
      </c>
      <c r="E25" s="173">
        <f>+'GRUPO D'!G26</f>
        <v>2</v>
      </c>
      <c r="F25" s="173">
        <f>+'GRUPO D'!I26</f>
        <v>5</v>
      </c>
      <c r="G25" s="173" t="str">
        <f>+'GRUPO D'!K26</f>
        <v>CLUB CAMPESTRE IBAGUE DOS</v>
      </c>
      <c r="H25" s="173" t="str">
        <f>+'GRUPO D'!B4</f>
        <v>GRUPO D</v>
      </c>
      <c r="J25" s="182" t="str">
        <f>+'GRUPO D'!B4</f>
        <v>GRUPO D</v>
      </c>
      <c r="K25" s="183" t="str">
        <f>+'GRUPO D'!Q8</f>
        <v>Pts.</v>
      </c>
      <c r="L25" s="183" t="str">
        <f>+'GRUPO D'!R8</f>
        <v>PJ</v>
      </c>
      <c r="M25" s="183" t="str">
        <f>+'GRUPO D'!S8</f>
        <v>Gan.</v>
      </c>
      <c r="N25" s="183" t="str">
        <f>+'GRUPO D'!T8</f>
        <v>Emp.</v>
      </c>
      <c r="O25" s="183" t="str">
        <f>+'GRUPO D'!U8</f>
        <v>Per.</v>
      </c>
      <c r="P25" s="183" t="str">
        <f>+'GRUPO D'!V8</f>
        <v>GF</v>
      </c>
      <c r="Q25" s="183" t="str">
        <f>+'GRUPO D'!W8</f>
        <v>GC</v>
      </c>
      <c r="R25" s="183" t="str">
        <f>+'GRUPO D'!X8</f>
        <v>Dif.</v>
      </c>
      <c r="S25" s="183" t="str">
        <f>+'GRUPO D'!Y8</f>
        <v>Tj</v>
      </c>
    </row>
    <row r="26" spans="1:19" ht="21" hidden="1" customHeight="1" x14ac:dyDescent="0.3">
      <c r="A26" s="518"/>
      <c r="B26" s="175" t="str">
        <f>+'GRUPO D'!M29</f>
        <v>CANCHA 1 A</v>
      </c>
      <c r="C26" s="175" t="str">
        <f>+'GRUPO D'!C29</f>
        <v>11:55. a.m.</v>
      </c>
      <c r="D26" s="175" t="str">
        <f>+'GRUPO D'!E29</f>
        <v>ESCUELA DEPORTIVA DE FÚTBOL RAQUIRA</v>
      </c>
      <c r="E26" s="175">
        <f>+'GRUPO D'!G29</f>
        <v>0</v>
      </c>
      <c r="F26" s="175">
        <f>+'GRUPO D'!I29</f>
        <v>12</v>
      </c>
      <c r="G26" s="175" t="str">
        <f>+'GRUPO D'!K29</f>
        <v>CORDOBA Y SERRANO F. C.</v>
      </c>
      <c r="H26" s="176" t="str">
        <f>+'GRUPO D'!B4</f>
        <v>GRUPO D</v>
      </c>
      <c r="J26" s="179" t="str">
        <f>+'GRUPO D'!P10</f>
        <v xml:space="preserve">  1)  CLUB CAMPESTRE IBAGUE DOS</v>
      </c>
      <c r="K26" s="173">
        <f>+'GRUPO D'!Q10</f>
        <v>7</v>
      </c>
      <c r="L26" s="173">
        <f>+'GRUPO D'!R10</f>
        <v>3</v>
      </c>
      <c r="M26" s="173">
        <f>+'GRUPO D'!S10</f>
        <v>2</v>
      </c>
      <c r="N26" s="173">
        <f>+'GRUPO D'!T10</f>
        <v>1</v>
      </c>
      <c r="O26" s="173">
        <f>+'GRUPO D'!U10</f>
        <v>0</v>
      </c>
      <c r="P26" s="173">
        <f>+'GRUPO D'!V10</f>
        <v>12</v>
      </c>
      <c r="Q26" s="173">
        <f>+'GRUPO D'!W10</f>
        <v>9</v>
      </c>
      <c r="R26" s="173">
        <f>+'GRUPO D'!X10</f>
        <v>3</v>
      </c>
      <c r="S26" s="173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10" t="str">
        <f>+'IMPRIMIR 3'!A17</f>
        <v>PARTIDOS                 fecha 3 ULTIMA</v>
      </c>
      <c r="C28" s="511"/>
      <c r="D28" s="511"/>
      <c r="E28" s="511"/>
      <c r="F28" s="511"/>
      <c r="G28" s="511"/>
      <c r="H28" s="512"/>
      <c r="J28" s="179" t="str">
        <f>+'GRUPO D'!P12</f>
        <v xml:space="preserve">  2)  CORDOBA Y SERRANO F. C.</v>
      </c>
      <c r="K28" s="173">
        <f>+'GRUPO D'!Q12</f>
        <v>5</v>
      </c>
      <c r="L28" s="173">
        <f>+'GRUPO D'!R12</f>
        <v>3</v>
      </c>
      <c r="M28" s="173">
        <f>+'GRUPO D'!S12</f>
        <v>1</v>
      </c>
      <c r="N28" s="173">
        <f>+'GRUPO D'!T12</f>
        <v>2</v>
      </c>
      <c r="O28" s="173">
        <f>+'GRUPO D'!U12</f>
        <v>0</v>
      </c>
      <c r="P28" s="173">
        <f>+'GRUPO D'!V12</f>
        <v>18</v>
      </c>
      <c r="Q28" s="173">
        <f>+'GRUPO D'!W12</f>
        <v>6</v>
      </c>
      <c r="R28" s="173">
        <f>+'GRUPO D'!X12</f>
        <v>12</v>
      </c>
      <c r="S28" s="173">
        <f>+'GRUPO D'!Y12</f>
        <v>0</v>
      </c>
    </row>
    <row r="29" spans="1:19" ht="21" hidden="1" customHeight="1" x14ac:dyDescent="0.3">
      <c r="B29" s="184" t="s">
        <v>68</v>
      </c>
      <c r="C29" s="184" t="s">
        <v>69</v>
      </c>
      <c r="D29" s="184" t="s">
        <v>70</v>
      </c>
      <c r="E29" s="516" t="s">
        <v>71</v>
      </c>
      <c r="F29" s="516"/>
      <c r="G29" s="184" t="s">
        <v>70</v>
      </c>
      <c r="H29" s="184" t="s">
        <v>72</v>
      </c>
      <c r="J29" s="179" t="str">
        <f>+'GRUPO D'!P14</f>
        <v xml:space="preserve">  3)  ESCUELA DEPORTIVA DE FÚTBOL RAQUIRA</v>
      </c>
      <c r="K29" s="173">
        <f>+'GRUPO D'!Q14</f>
        <v>3</v>
      </c>
      <c r="L29" s="173">
        <f>+'GRUPO D'!R14</f>
        <v>3</v>
      </c>
      <c r="M29" s="173">
        <f>+'GRUPO D'!S14</f>
        <v>1</v>
      </c>
      <c r="N29" s="173">
        <f>+'GRUPO D'!T14</f>
        <v>0</v>
      </c>
      <c r="O29" s="173">
        <f>+'GRUPO D'!U14</f>
        <v>2</v>
      </c>
      <c r="P29" s="173">
        <f>+'GRUPO D'!V14</f>
        <v>5</v>
      </c>
      <c r="Q29" s="173">
        <f>+'GRUPO D'!W14</f>
        <v>17</v>
      </c>
      <c r="R29" s="173">
        <f>+'GRUPO D'!X14</f>
        <v>-12</v>
      </c>
      <c r="S29" s="173">
        <f>+'GRUPO D'!Y14</f>
        <v>0</v>
      </c>
    </row>
    <row r="30" spans="1:19" ht="21" hidden="1" customHeight="1" x14ac:dyDescent="0.3">
      <c r="A30" s="517">
        <f>+'GRUPO A'!B32</f>
        <v>42967</v>
      </c>
      <c r="B30" s="173" t="str">
        <f>+'GRUPO A'!M32</f>
        <v>CANCHA 1 A</v>
      </c>
      <c r="C30" s="173" t="str">
        <f>+'GRUPO A'!C32</f>
        <v>09:50. a.m.</v>
      </c>
      <c r="D30" s="173" t="str">
        <f>+'GRUPO A'!E32</f>
        <v>CLUB LOS PAPETICOS</v>
      </c>
      <c r="E30" s="173">
        <f>+'GRUPO A'!G32</f>
        <v>9</v>
      </c>
      <c r="F30" s="173">
        <f>+'GRUPO A'!I32</f>
        <v>2</v>
      </c>
      <c r="G30" s="173" t="str">
        <f>+'GRUPO A'!K32</f>
        <v>CLUB CAMPESTRE IBAGUE UNO</v>
      </c>
      <c r="H30" s="174" t="str">
        <f>+'GRUPO A'!B4</f>
        <v>GRUPO A</v>
      </c>
      <c r="J30" s="179">
        <f>+'GRUPO D'!P16</f>
        <v>0</v>
      </c>
      <c r="K30" s="173">
        <f>+'GRUPO D'!Q16</f>
        <v>0</v>
      </c>
      <c r="L30" s="173">
        <f>+'GRUPO D'!R16</f>
        <v>0</v>
      </c>
      <c r="M30" s="173">
        <f>+'GRUPO D'!S16</f>
        <v>0</v>
      </c>
      <c r="N30" s="173">
        <f>+'GRUPO D'!T16</f>
        <v>0</v>
      </c>
      <c r="O30" s="173">
        <f>+'GRUPO D'!U16</f>
        <v>0</v>
      </c>
      <c r="P30" s="173">
        <f>+'GRUPO D'!V16</f>
        <v>0</v>
      </c>
      <c r="Q30" s="173">
        <f>+'GRUPO D'!W16</f>
        <v>0</v>
      </c>
      <c r="R30" s="173">
        <f>+'GRUPO D'!X16</f>
        <v>0</v>
      </c>
      <c r="S30" s="173">
        <f>+'GRUPO D'!Y16</f>
        <v>0</v>
      </c>
    </row>
    <row r="31" spans="1:19" ht="21" hidden="1" customHeight="1" x14ac:dyDescent="0.3">
      <c r="A31" s="518"/>
      <c r="B31" s="175">
        <f>+'GRUPO A'!M35</f>
        <v>0</v>
      </c>
      <c r="C31" s="175">
        <f>+'GRUPO A'!C35</f>
        <v>0</v>
      </c>
      <c r="D31" s="175">
        <f>+'GRUPO A'!E35</f>
        <v>0</v>
      </c>
      <c r="E31" s="175">
        <f>+'GRUPO A'!G35</f>
        <v>0</v>
      </c>
      <c r="F31" s="175">
        <f>+'GRUPO A'!I35</f>
        <v>0</v>
      </c>
      <c r="G31" s="175">
        <f>+'GRUPO A'!K35</f>
        <v>0</v>
      </c>
      <c r="H31" s="176" t="str">
        <f>+'GRUPO A'!B4</f>
        <v>GRUPO A</v>
      </c>
    </row>
    <row r="32" spans="1:19" ht="21" hidden="1" customHeight="1" x14ac:dyDescent="0.3">
      <c r="A32" s="518"/>
      <c r="B32" s="173" t="str">
        <f>+'GRUPO B'!M32</f>
        <v>CANCHA 1 A</v>
      </c>
      <c r="C32" s="173" t="str">
        <f>+'GRUPO B'!C32</f>
        <v>04:30. p.m.</v>
      </c>
      <c r="D32" s="173" t="str">
        <f>+'GRUPO B'!E32</f>
        <v>CLUB ARIEL ARMEL</v>
      </c>
      <c r="E32" s="173">
        <f>+'GRUPO B'!G32</f>
        <v>1</v>
      </c>
      <c r="F32" s="173">
        <f>+'GRUPO B'!I32</f>
        <v>0</v>
      </c>
      <c r="G32" s="173" t="str">
        <f>+'GRUPO B'!K32</f>
        <v>CENTAUROS DEL ARIARI</v>
      </c>
      <c r="H32" s="174" t="str">
        <f>+'GRUPO B'!B4</f>
        <v>GRUPO B</v>
      </c>
    </row>
    <row r="33" spans="1:8" ht="21" hidden="1" customHeight="1" x14ac:dyDescent="0.3">
      <c r="A33" s="518"/>
      <c r="B33" s="175">
        <f>+'GRUPO B'!M35</f>
        <v>0</v>
      </c>
      <c r="C33" s="175">
        <f>+'GRUPO B'!C35</f>
        <v>0</v>
      </c>
      <c r="D33" s="175">
        <f>+'GRUPO B'!E35</f>
        <v>0</v>
      </c>
      <c r="E33" s="175">
        <f>+'GRUPO B'!G35</f>
        <v>0</v>
      </c>
      <c r="F33" s="175">
        <f>+'GRUPO B'!I35</f>
        <v>0</v>
      </c>
      <c r="G33" s="175">
        <f>+'GRUPO B'!K35</f>
        <v>0</v>
      </c>
      <c r="H33" s="176" t="str">
        <f>+'GRUPO B'!B4</f>
        <v>GRUPO B</v>
      </c>
    </row>
    <row r="34" spans="1:8" ht="21" hidden="1" customHeight="1" x14ac:dyDescent="0.3">
      <c r="A34" s="518"/>
      <c r="B34" s="173" t="str">
        <f>+'GRUPO C'!M32</f>
        <v>CANCHA 1 C</v>
      </c>
      <c r="C34" s="173" t="str">
        <f>+'GRUPO C'!C32</f>
        <v>09:50. a.m.</v>
      </c>
      <c r="D34" s="173" t="str">
        <f>+'GRUPO C'!E32</f>
        <v>NOVATOS F. C.</v>
      </c>
      <c r="E34" s="173">
        <f>+'GRUPO C'!G32</f>
        <v>0</v>
      </c>
      <c r="F34" s="173">
        <f>+'GRUPO C'!I32</f>
        <v>13</v>
      </c>
      <c r="G34" s="173" t="str">
        <f>+'GRUPO C'!K32</f>
        <v>ESCUELA DE FORMACIÓN DEPORTIVA MARACANA</v>
      </c>
      <c r="H34" s="173" t="str">
        <f>+'GRUPO C'!B4</f>
        <v>GRUPO C</v>
      </c>
    </row>
    <row r="35" spans="1:8" ht="21" hidden="1" customHeight="1" x14ac:dyDescent="0.3">
      <c r="A35" s="518"/>
      <c r="B35" s="175">
        <f>+'GRUPO C'!M35</f>
        <v>0</v>
      </c>
      <c r="C35" s="175">
        <f>+'GRUPO C'!C35</f>
        <v>0</v>
      </c>
      <c r="D35" s="175">
        <f>+'GRUPO C'!E35</f>
        <v>0</v>
      </c>
      <c r="E35" s="175">
        <f>+'GRUPO C'!G35</f>
        <v>0</v>
      </c>
      <c r="F35" s="175">
        <f>+'GRUPO C'!I35</f>
        <v>0</v>
      </c>
      <c r="G35" s="175">
        <f>+'GRUPO C'!K35</f>
        <v>0</v>
      </c>
      <c r="H35" s="176" t="str">
        <f>+'GRUPO C'!B4</f>
        <v>GRUPO C</v>
      </c>
    </row>
    <row r="36" spans="1:8" ht="21" hidden="1" customHeight="1" x14ac:dyDescent="0.3">
      <c r="A36" s="518"/>
      <c r="B36" s="173" t="str">
        <f>+'GRUPO D'!M32</f>
        <v>CANCHA 1 A</v>
      </c>
      <c r="C36" s="173" t="str">
        <f>+'GRUPO D'!C32</f>
        <v>12:40. p.m.</v>
      </c>
      <c r="D36" s="173" t="str">
        <f>+'GRUPO D'!E32</f>
        <v>CLUB CAMPESTRE IBAGUE DOS</v>
      </c>
      <c r="E36" s="173">
        <f>+'GRUPO D'!G32</f>
        <v>3</v>
      </c>
      <c r="F36" s="173">
        <f>+'GRUPO D'!I32</f>
        <v>3</v>
      </c>
      <c r="G36" s="173" t="str">
        <f>+'GRUPO D'!K32</f>
        <v>CORDOBA Y SERRANO F. C.</v>
      </c>
      <c r="H36" s="173" t="str">
        <f>+'GRUPO D'!B4</f>
        <v>GRUPO D</v>
      </c>
    </row>
    <row r="37" spans="1:8" ht="21" hidden="1" customHeight="1" x14ac:dyDescent="0.3">
      <c r="A37" s="518"/>
      <c r="B37" s="175">
        <f>+'GRUPO D'!M35</f>
        <v>0</v>
      </c>
      <c r="C37" s="175">
        <f>+'GRUPO D'!C35</f>
        <v>0</v>
      </c>
      <c r="D37" s="175">
        <f>+'GRUPO D'!E35</f>
        <v>0</v>
      </c>
      <c r="E37" s="175">
        <f>+'GRUPO D'!G35</f>
        <v>0</v>
      </c>
      <c r="F37" s="175">
        <f>+'GRUPO D'!I35</f>
        <v>0</v>
      </c>
      <c r="G37" s="175">
        <f>+'GRUPO D'!K35</f>
        <v>0</v>
      </c>
      <c r="H37" s="176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28" t="str">
        <f>+'CUARTOS DE FINAL.'!B2</f>
        <v>CUARTOS DE FINAL</v>
      </c>
      <c r="C39" s="529"/>
      <c r="D39" s="529"/>
      <c r="E39" s="529"/>
      <c r="F39" s="529"/>
      <c r="G39" s="529"/>
      <c r="H39" s="530"/>
    </row>
    <row r="40" spans="1:8" ht="21" customHeight="1" x14ac:dyDescent="0.3">
      <c r="B40" s="184" t="s">
        <v>68</v>
      </c>
      <c r="C40" s="184" t="s">
        <v>69</v>
      </c>
      <c r="D40" s="184" t="s">
        <v>70</v>
      </c>
      <c r="E40" s="516" t="s">
        <v>71</v>
      </c>
      <c r="F40" s="516"/>
      <c r="G40" s="184" t="s">
        <v>70</v>
      </c>
      <c r="H40" s="184" t="s">
        <v>75</v>
      </c>
    </row>
    <row r="41" spans="1:8" ht="21" customHeight="1" x14ac:dyDescent="0.3">
      <c r="A41" s="517">
        <f>+'CUARTOS DE FINAL.'!B9</f>
        <v>42596</v>
      </c>
      <c r="B41" s="174" t="str">
        <f>+'CUARTOS DE FINAL.'!N6</f>
        <v>PALMARA</v>
      </c>
      <c r="C41" s="173" t="str">
        <f>+'CUARTOS DE FINAL.'!D6</f>
        <v>03:00. p.m.</v>
      </c>
      <c r="D41" s="173" t="e">
        <f>+'CUARTOS DE FINAL.'!G6</f>
        <v>#N/A</v>
      </c>
      <c r="E41" s="173">
        <f>+'CUARTOS DE FINAL.'!H6</f>
        <v>1</v>
      </c>
      <c r="F41" s="173">
        <f>+'CUARTOS DE FINAL.'!J6</f>
        <v>2</v>
      </c>
      <c r="G41" s="173" t="str">
        <f>+'CUARTOS DE FINAL.'!L6</f>
        <v>ESCUELA DE FORMACIÓN DEPORTIVA MARACANA</v>
      </c>
      <c r="H41" s="174" t="str">
        <f>+'CUARTOS DE FINAL.'!C6</f>
        <v>LLAVE A</v>
      </c>
    </row>
    <row r="42" spans="1:8" ht="21" customHeight="1" x14ac:dyDescent="0.3">
      <c r="A42" s="517"/>
      <c r="B42" s="176" t="str">
        <f>+'CUARTOS DE FINAL.'!N9</f>
        <v>CANCHA 2</v>
      </c>
      <c r="C42" s="175" t="str">
        <f>+'CUARTOS DE FINAL.'!D9</f>
        <v>04:20. p.m.</v>
      </c>
      <c r="D42" s="175" t="str">
        <f>+'CUARTOS DE FINAL.'!G9</f>
        <v>CLUB ARIEL ARMEL</v>
      </c>
      <c r="E42" s="175">
        <f>+'CUARTOS DE FINAL.'!H9</f>
        <v>2</v>
      </c>
      <c r="F42" s="175">
        <f>+'CUARTOS DE FINAL.'!J9</f>
        <v>1</v>
      </c>
      <c r="G42" s="175" t="str">
        <f>+'CUARTOS DE FINAL.'!L9</f>
        <v>CORDOBA Y SERRANO F. C.</v>
      </c>
      <c r="H42" s="176" t="str">
        <f>+'CUARTOS DE FINAL.'!C9</f>
        <v>LLAVE B</v>
      </c>
    </row>
    <row r="43" spans="1:8" ht="21" customHeight="1" x14ac:dyDescent="0.3">
      <c r="A43" s="517"/>
      <c r="B43" s="174" t="str">
        <f>+'CUARTOS DE FINAL.'!N12</f>
        <v>CANCHA 2</v>
      </c>
      <c r="C43" s="173" t="str">
        <f>+'CUARTOS DE FINAL.'!D12</f>
        <v>03:00. p.m.</v>
      </c>
      <c r="D43" s="173" t="str">
        <f>+'CUARTOS DE FINAL.'!G12</f>
        <v>GRAMA F. C.</v>
      </c>
      <c r="E43" s="173">
        <f>+'CUARTOS DE FINAL.'!H12</f>
        <v>1</v>
      </c>
      <c r="F43" s="173">
        <f>+'CUARTOS DE FINAL.'!J12</f>
        <v>2</v>
      </c>
      <c r="G43" s="173" t="e">
        <f>+'CUARTOS DE FINAL.'!L12</f>
        <v>#N/A</v>
      </c>
      <c r="H43" s="174" t="str">
        <f>+'CUARTOS DE FINAL.'!C12</f>
        <v>LLAVE C</v>
      </c>
    </row>
    <row r="44" spans="1:8" ht="21" customHeight="1" x14ac:dyDescent="0.3">
      <c r="A44" s="517"/>
      <c r="B44" s="176" t="str">
        <f>+'CUARTOS DE FINAL.'!N15</f>
        <v>PALMARA</v>
      </c>
      <c r="C44" s="175" t="str">
        <f>+'CUARTOS DE FINAL.'!D15</f>
        <v>04:20. p.m.</v>
      </c>
      <c r="D44" s="175" t="str">
        <f>+'CUARTOS DE FINAL.'!G15</f>
        <v>CLUB CAMPESTRE IBAGUE DOS</v>
      </c>
      <c r="E44" s="175">
        <f>+'CUARTOS DE FINAL.'!H15</f>
        <v>2</v>
      </c>
      <c r="F44" s="175">
        <f>+'CUARTOS DE FINAL.'!J15</f>
        <v>1</v>
      </c>
      <c r="G44" s="175" t="str">
        <f>+'CUARTOS DE FINAL.'!L15</f>
        <v>CENTAUROS DEL ARIARI</v>
      </c>
      <c r="H44" s="176" t="str">
        <f>+'CUARTOS DE FINAL.'!C15</f>
        <v>LLAVE D</v>
      </c>
    </row>
    <row r="45" spans="1:8" ht="21" customHeight="1" x14ac:dyDescent="0.3">
      <c r="A45" s="185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1" t="str">
        <f>+DEFINICION!B5</f>
        <v>SEMIFINALES</v>
      </c>
      <c r="C46" s="532"/>
      <c r="D46" s="532"/>
      <c r="E46" s="532"/>
      <c r="F46" s="532"/>
      <c r="G46" s="532"/>
      <c r="H46" s="533"/>
    </row>
    <row r="47" spans="1:8" ht="27.9" customHeight="1" x14ac:dyDescent="0.3">
      <c r="B47" s="184" t="s">
        <v>68</v>
      </c>
      <c r="C47" s="184" t="s">
        <v>69</v>
      </c>
      <c r="D47" s="184" t="s">
        <v>70</v>
      </c>
      <c r="E47" s="516" t="s">
        <v>71</v>
      </c>
      <c r="F47" s="516"/>
      <c r="G47" s="184" t="s">
        <v>70</v>
      </c>
      <c r="H47" s="184" t="s">
        <v>75</v>
      </c>
    </row>
    <row r="48" spans="1:8" ht="27.9" customHeight="1" x14ac:dyDescent="0.3">
      <c r="A48" s="517">
        <f>+DEFINICION!B9</f>
        <v>43090</v>
      </c>
      <c r="B48" s="174" t="str">
        <f>+DEFINICION!O9</f>
        <v>CANCHA 2</v>
      </c>
      <c r="C48" s="173" t="str">
        <f>+DEFINICION!D9</f>
        <v>08:20 a.m.</v>
      </c>
      <c r="D48" s="173" t="str">
        <f>+'CUARTOS DE FINAL.'!P6</f>
        <v>ESCUELA DE FORMACIÓN DEPORTIVA MARACANA</v>
      </c>
      <c r="E48" s="173">
        <f>+DEFINICION!I9</f>
        <v>5</v>
      </c>
      <c r="F48" s="173">
        <f>+DEFINICION!K9</f>
        <v>4</v>
      </c>
      <c r="G48" s="173" t="e">
        <f>+'CUARTOS DE FINAL.'!P12</f>
        <v>#N/A</v>
      </c>
      <c r="H48" s="174" t="str">
        <f>+DEFINICION!C9</f>
        <v>LLAVE  A</v>
      </c>
    </row>
    <row r="49" spans="1:8" ht="27.9" customHeight="1" x14ac:dyDescent="0.3">
      <c r="A49" s="517"/>
      <c r="B49" s="176" t="str">
        <f>+DEFINICION!O12</f>
        <v>CANCHA 2</v>
      </c>
      <c r="C49" s="175" t="str">
        <f>+DEFINICION!D12</f>
        <v>09:30 a.m.</v>
      </c>
      <c r="D49" s="175" t="str">
        <f>+'CUARTOS DE FINAL.'!P9</f>
        <v>CLUB ARIEL ARMEL</v>
      </c>
      <c r="E49" s="175">
        <f>+DEFINICION!I12</f>
        <v>3</v>
      </c>
      <c r="F49" s="175">
        <f>+DEFINICION!K12</f>
        <v>0</v>
      </c>
      <c r="G49" s="175" t="str">
        <f>+'CUARTOS DE FINAL.'!P15</f>
        <v>CLUB CAMPESTRE IBAGUE DOS</v>
      </c>
      <c r="H49" s="176" t="str">
        <f>+DEFINICION!C12</f>
        <v>LLAVE  B</v>
      </c>
    </row>
    <row r="50" spans="1:8" ht="27.9" customHeight="1" x14ac:dyDescent="0.3">
      <c r="A50" s="192"/>
      <c r="B50" s="188"/>
      <c r="C50" s="1"/>
      <c r="D50" s="1"/>
      <c r="E50" s="1"/>
      <c r="F50" s="1"/>
      <c r="G50" s="1"/>
      <c r="H50" s="188"/>
    </row>
    <row r="51" spans="1:8" ht="27.9" customHeight="1" x14ac:dyDescent="0.3">
      <c r="B51" s="525" t="str">
        <f>+FINAL!B7</f>
        <v>Partido por el TERCER PUESTO</v>
      </c>
      <c r="C51" s="526"/>
      <c r="D51" s="526"/>
      <c r="E51" s="526"/>
      <c r="F51" s="526"/>
      <c r="G51" s="526"/>
      <c r="H51" s="527"/>
    </row>
    <row r="52" spans="1:8" ht="27.9" customHeight="1" x14ac:dyDescent="0.3">
      <c r="B52" s="184" t="s">
        <v>68</v>
      </c>
      <c r="C52" s="184" t="s">
        <v>69</v>
      </c>
      <c r="D52" s="184" t="s">
        <v>70</v>
      </c>
      <c r="E52" s="516" t="s">
        <v>71</v>
      </c>
      <c r="F52" s="516"/>
      <c r="G52" s="184" t="s">
        <v>70</v>
      </c>
      <c r="H52" s="184"/>
    </row>
    <row r="53" spans="1:8" ht="27.9" customHeight="1" x14ac:dyDescent="0.3">
      <c r="A53" s="196">
        <f>+FINAL!B9</f>
        <v>43090</v>
      </c>
      <c r="B53" s="174" t="str">
        <f>+FINAL!O9</f>
        <v>CANCHA 2</v>
      </c>
      <c r="C53" s="173">
        <f>+DEFINICION!D14</f>
        <v>0</v>
      </c>
      <c r="D53" s="173" t="str">
        <f>+FINAL!H9</f>
        <v>CLUB CAMPESTRE IBAGUE DOS</v>
      </c>
      <c r="E53" s="173">
        <f>+FINAL!I9</f>
        <v>0</v>
      </c>
      <c r="F53" s="173">
        <f>+FINAL!K9</f>
        <v>0</v>
      </c>
      <c r="G53" s="173" t="str">
        <f>+FINAL!M9</f>
        <v>GRAMA F. C.</v>
      </c>
      <c r="H53" s="174"/>
    </row>
    <row r="54" spans="1:8" ht="10.5" customHeight="1" x14ac:dyDescent="0.3">
      <c r="A54" s="190"/>
      <c r="B54" s="193"/>
      <c r="C54" s="194"/>
      <c r="D54" s="194"/>
      <c r="E54" s="194"/>
      <c r="F54" s="194"/>
      <c r="G54" s="194"/>
      <c r="H54" s="195"/>
    </row>
    <row r="55" spans="1:8" ht="27.9" customHeight="1" x14ac:dyDescent="0.3">
      <c r="A55" s="190"/>
      <c r="B55" s="522" t="str">
        <f>+FINAL!B13</f>
        <v>FINAL DEL CAMPEONATO</v>
      </c>
      <c r="C55" s="523"/>
      <c r="D55" s="523"/>
      <c r="E55" s="523"/>
      <c r="F55" s="523"/>
      <c r="G55" s="523"/>
      <c r="H55" s="524"/>
    </row>
    <row r="56" spans="1:8" ht="27.9" customHeight="1" x14ac:dyDescent="0.3">
      <c r="A56" s="190"/>
      <c r="B56" s="184" t="s">
        <v>68</v>
      </c>
      <c r="C56" s="184" t="s">
        <v>69</v>
      </c>
      <c r="D56" s="184" t="s">
        <v>70</v>
      </c>
      <c r="E56" s="516" t="s">
        <v>71</v>
      </c>
      <c r="F56" s="516"/>
      <c r="G56" s="184" t="s">
        <v>70</v>
      </c>
      <c r="H56" s="184"/>
    </row>
    <row r="57" spans="1:8" ht="27.9" customHeight="1" x14ac:dyDescent="0.3">
      <c r="A57" s="196">
        <f>+FINAL!B15</f>
        <v>43090</v>
      </c>
      <c r="B57" s="176" t="str">
        <f>+FINAL!O15</f>
        <v>CANCHA 2</v>
      </c>
      <c r="C57" s="175">
        <f>+DEFINICION!C4</f>
        <v>0</v>
      </c>
      <c r="D57" s="175" t="e">
        <f>+FINAL!H15</f>
        <v>#N/A</v>
      </c>
      <c r="E57" s="175">
        <f>+FINAL!I15</f>
        <v>0</v>
      </c>
      <c r="F57" s="175">
        <f>+FINAL!K15</f>
        <v>0</v>
      </c>
      <c r="G57" s="175" t="str">
        <f>+FINAL!M15</f>
        <v>CLUB ARIEL ARMEL</v>
      </c>
      <c r="H57" s="176"/>
    </row>
    <row r="59" spans="1:8" ht="37.5" customHeight="1" x14ac:dyDescent="0.3">
      <c r="B59" s="536" t="str">
        <f>+FINAL!C19</f>
        <v>CAMPEÓN “COPA FUTURO TALENTO”</v>
      </c>
      <c r="C59" s="537"/>
      <c r="D59" s="537"/>
      <c r="E59" s="537"/>
      <c r="F59" s="537"/>
      <c r="G59" s="537"/>
      <c r="H59" s="538"/>
    </row>
    <row r="60" spans="1:8" x14ac:dyDescent="0.3">
      <c r="B60" s="534" t="str">
        <f>+FINAL!C21</f>
        <v/>
      </c>
      <c r="C60" s="534"/>
      <c r="D60" s="534"/>
      <c r="E60" s="534"/>
      <c r="F60" s="534"/>
      <c r="G60" s="534"/>
      <c r="H60" s="534"/>
    </row>
    <row r="61" spans="1:8" x14ac:dyDescent="0.3">
      <c r="B61" s="535"/>
      <c r="C61" s="535"/>
      <c r="D61" s="535"/>
      <c r="E61" s="535"/>
      <c r="F61" s="535"/>
      <c r="G61" s="535"/>
      <c r="H61" s="535"/>
    </row>
    <row r="62" spans="1:8" x14ac:dyDescent="0.3">
      <c r="B62" s="535"/>
      <c r="C62" s="535"/>
      <c r="D62" s="535"/>
      <c r="E62" s="535"/>
      <c r="F62" s="535"/>
      <c r="G62" s="535"/>
      <c r="H62" s="535"/>
    </row>
    <row r="64" spans="1:8" ht="38.25" customHeight="1" x14ac:dyDescent="0.3">
      <c r="B64" s="539" t="str">
        <f>+FINAL!Q13</f>
        <v>SEGUNDO PUESTO</v>
      </c>
      <c r="C64" s="540"/>
      <c r="D64" s="540"/>
      <c r="E64" s="540"/>
      <c r="F64" s="540"/>
      <c r="G64" s="540"/>
      <c r="H64" s="541"/>
    </row>
    <row r="65" spans="2:8" x14ac:dyDescent="0.3">
      <c r="B65" s="534" t="str">
        <f>+FINAL!Q14</f>
        <v/>
      </c>
      <c r="C65" s="534"/>
      <c r="D65" s="534"/>
      <c r="E65" s="534"/>
      <c r="F65" s="534"/>
      <c r="G65" s="534"/>
      <c r="H65" s="534"/>
    </row>
    <row r="66" spans="2:8" x14ac:dyDescent="0.3">
      <c r="B66" s="535"/>
      <c r="C66" s="535"/>
      <c r="D66" s="535"/>
      <c r="E66" s="535"/>
      <c r="F66" s="535"/>
      <c r="G66" s="535"/>
      <c r="H66" s="535"/>
    </row>
    <row r="67" spans="2:8" x14ac:dyDescent="0.3">
      <c r="B67" s="535"/>
      <c r="C67" s="535"/>
      <c r="D67" s="535"/>
      <c r="E67" s="535"/>
      <c r="F67" s="535"/>
      <c r="G67" s="535"/>
      <c r="H67" s="535"/>
    </row>
    <row r="69" spans="2:8" ht="38.4" x14ac:dyDescent="0.3">
      <c r="B69" s="542" t="str">
        <f>+FINAL!Q7</f>
        <v>TERCER PUESTO</v>
      </c>
      <c r="C69" s="543"/>
      <c r="D69" s="543"/>
      <c r="E69" s="543"/>
      <c r="F69" s="543"/>
      <c r="G69" s="543"/>
      <c r="H69" s="544"/>
    </row>
    <row r="70" spans="2:8" x14ac:dyDescent="0.3">
      <c r="B70" s="534" t="str">
        <f>+FINAL!Q8</f>
        <v/>
      </c>
      <c r="C70" s="534"/>
      <c r="D70" s="534"/>
      <c r="E70" s="534"/>
      <c r="F70" s="534"/>
      <c r="G70" s="534"/>
      <c r="H70" s="534"/>
    </row>
    <row r="71" spans="2:8" x14ac:dyDescent="0.3">
      <c r="B71" s="535"/>
      <c r="C71" s="535"/>
      <c r="D71" s="535"/>
      <c r="E71" s="535"/>
      <c r="F71" s="535"/>
      <c r="G71" s="535"/>
      <c r="H71" s="535"/>
    </row>
    <row r="72" spans="2:8" x14ac:dyDescent="0.3">
      <c r="B72" s="535"/>
      <c r="C72" s="535"/>
      <c r="D72" s="535"/>
      <c r="E72" s="535"/>
      <c r="F72" s="535"/>
      <c r="G72" s="535"/>
      <c r="H72" s="535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52"/>
  <sheetViews>
    <sheetView tabSelected="1" zoomScale="80" zoomScaleNormal="80" workbookViewId="0">
      <selection sqref="A1:U42"/>
    </sheetView>
  </sheetViews>
  <sheetFormatPr baseColWidth="10" defaultColWidth="11.44140625" defaultRowHeight="14.4" x14ac:dyDescent="0.3"/>
  <cols>
    <col min="1" max="1" width="11.44140625" style="3"/>
    <col min="2" max="2" width="36.44140625" style="3" customWidth="1"/>
    <col min="3" max="3" width="17.6640625" style="3" customWidth="1"/>
    <col min="4" max="4" width="46.33203125" style="3" customWidth="1"/>
    <col min="5" max="6" width="7.44140625" style="3" customWidth="1"/>
    <col min="7" max="7" width="46.33203125" style="3" customWidth="1"/>
    <col min="8" max="8" width="24" style="3" customWidth="1"/>
    <col min="9" max="9" width="17.77734375" style="3" bestFit="1" customWidth="1"/>
    <col min="10" max="10" width="0.6640625" style="3" customWidth="1"/>
    <col min="11" max="11" width="37.33203125" style="3" customWidth="1"/>
    <col min="12" max="20" width="7" style="3" customWidth="1"/>
    <col min="21" max="21" width="3.5546875" style="3" customWidth="1"/>
    <col min="22" max="16384" width="11.44140625" style="3"/>
  </cols>
  <sheetData>
    <row r="1" spans="1:21" ht="60" x14ac:dyDescent="0.45">
      <c r="A1" s="547" t="str">
        <f>+'PRE BABY GRUPOS'!C1</f>
        <v>XVIII Festival Nacional Fútbol Infantil</v>
      </c>
      <c r="B1" s="547"/>
      <c r="C1" s="547"/>
      <c r="D1" s="547"/>
      <c r="E1" s="547"/>
      <c r="F1" s="547"/>
      <c r="G1" s="547"/>
      <c r="H1" s="547"/>
      <c r="I1" s="54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</row>
    <row r="2" spans="1:21" ht="31.2" x14ac:dyDescent="0.55000000000000004">
      <c r="A2" s="548" t="str">
        <f>+'PRE BABY GRUPOS'!C2</f>
        <v>“COPA SOCCER MELGAR”</v>
      </c>
      <c r="B2" s="548"/>
      <c r="C2" s="548"/>
      <c r="D2" s="548"/>
      <c r="E2" s="548"/>
      <c r="F2" s="548"/>
      <c r="G2" s="548"/>
      <c r="H2" s="548"/>
      <c r="I2" s="54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</row>
    <row r="3" spans="1:21" ht="33.6" x14ac:dyDescent="0.55000000000000004">
      <c r="A3" s="549" t="str">
        <f>+'PRE BABY GRUPOS'!C3</f>
        <v>NACIDOS 2012 2013</v>
      </c>
      <c r="B3" s="549"/>
      <c r="C3" s="549"/>
      <c r="D3" s="549"/>
      <c r="E3" s="549"/>
      <c r="F3" s="549"/>
      <c r="G3" s="549"/>
      <c r="H3" s="549"/>
      <c r="I3" s="549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</row>
    <row r="4" spans="1:21" ht="21" x14ac:dyDescent="0.4">
      <c r="A4" s="550" t="str">
        <f>+'PRE BABY GRUPOS'!C4</f>
        <v>SEPTIEMBRE 28 Y 29 DEL 2024</v>
      </c>
      <c r="B4" s="550"/>
      <c r="C4" s="550"/>
      <c r="D4" s="550"/>
      <c r="E4" s="550"/>
      <c r="F4" s="550"/>
      <c r="G4" s="550"/>
      <c r="H4" s="550"/>
      <c r="I4" s="550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</row>
    <row r="5" spans="1:21" ht="21" x14ac:dyDescent="0.4">
      <c r="A5" s="551"/>
      <c r="B5" s="551"/>
      <c r="C5" s="551"/>
      <c r="D5" s="551"/>
      <c r="E5" s="551"/>
      <c r="F5" s="551"/>
      <c r="G5" s="551"/>
      <c r="H5" s="551"/>
      <c r="I5" s="551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1" ht="21" x14ac:dyDescent="0.4">
      <c r="A6" s="552" t="s">
        <v>73</v>
      </c>
      <c r="B6" s="552"/>
      <c r="C6" s="552"/>
      <c r="D6" s="552"/>
      <c r="E6" s="552"/>
      <c r="F6" s="552"/>
      <c r="G6" s="552"/>
      <c r="H6" s="552"/>
      <c r="I6" s="552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</row>
    <row r="7" spans="1:21" ht="42" customHeight="1" x14ac:dyDescent="0.45">
      <c r="A7" s="259"/>
      <c r="B7" s="553" t="s">
        <v>171</v>
      </c>
      <c r="C7" s="553"/>
      <c r="D7" s="553"/>
      <c r="E7" s="553"/>
      <c r="F7" s="553"/>
      <c r="G7" s="553"/>
      <c r="H7" s="553"/>
      <c r="I7" s="553"/>
      <c r="J7" s="19"/>
      <c r="K7" s="253" t="str">
        <f>+'GRUPO A'!B4</f>
        <v>GRUPO A</v>
      </c>
      <c r="L7" s="253" t="str">
        <f>+'GRUPO A'!Q8</f>
        <v>Pts.</v>
      </c>
      <c r="M7" s="253" t="str">
        <f>+'GRUPO A'!R8</f>
        <v>PJ</v>
      </c>
      <c r="N7" s="253" t="str">
        <f>+'GRUPO A'!S8</f>
        <v>Gan.</v>
      </c>
      <c r="O7" s="253" t="str">
        <f>+'GRUPO A'!T8</f>
        <v>Emp.</v>
      </c>
      <c r="P7" s="253" t="str">
        <f>+'GRUPO A'!U8</f>
        <v>Per.</v>
      </c>
      <c r="Q7" s="253" t="str">
        <f>+'GRUPO A'!V8</f>
        <v>GF</v>
      </c>
      <c r="R7" s="253" t="str">
        <f>+'GRUPO A'!W8</f>
        <v>GC</v>
      </c>
      <c r="S7" s="253" t="str">
        <f>+'GRUPO A'!X8</f>
        <v>Dif.</v>
      </c>
      <c r="T7" s="253" t="str">
        <f>+'GRUPO A'!Y8</f>
        <v>Tj</v>
      </c>
      <c r="U7" s="201"/>
    </row>
    <row r="8" spans="1:21" ht="42" customHeight="1" x14ac:dyDescent="0.45">
      <c r="A8" s="19"/>
      <c r="B8" s="260" t="s">
        <v>68</v>
      </c>
      <c r="C8" s="260" t="s">
        <v>69</v>
      </c>
      <c r="D8" s="260" t="s">
        <v>70</v>
      </c>
      <c r="E8" s="546" t="s">
        <v>71</v>
      </c>
      <c r="F8" s="546"/>
      <c r="G8" s="260" t="s">
        <v>70</v>
      </c>
      <c r="H8" s="260" t="s">
        <v>72</v>
      </c>
      <c r="I8" s="260" t="s">
        <v>89</v>
      </c>
      <c r="J8" s="19"/>
      <c r="K8" s="261" t="str">
        <f>+'GRUPO A'!P10</f>
        <v xml:space="preserve">  1)  CLUB LOS PAPETICOS</v>
      </c>
      <c r="L8" s="262">
        <f>+'GRUPO A'!Q10</f>
        <v>7</v>
      </c>
      <c r="M8" s="262">
        <f>+'GRUPO A'!R10</f>
        <v>3</v>
      </c>
      <c r="N8" s="262">
        <f>+'GRUPO A'!S10</f>
        <v>2</v>
      </c>
      <c r="O8" s="262">
        <f>+'GRUPO A'!T10</f>
        <v>1</v>
      </c>
      <c r="P8" s="262">
        <f>+'GRUPO A'!U10</f>
        <v>0</v>
      </c>
      <c r="Q8" s="262">
        <f>+'GRUPO A'!V10</f>
        <v>10</v>
      </c>
      <c r="R8" s="262">
        <f>+'GRUPO A'!W10</f>
        <v>5</v>
      </c>
      <c r="S8" s="262">
        <f>+'GRUPO A'!X10</f>
        <v>8</v>
      </c>
      <c r="T8" s="262">
        <f>+'GRUPO A'!Y10</f>
        <v>0</v>
      </c>
    </row>
    <row r="9" spans="1:21" s="202" customFormat="1" ht="42" customHeight="1" x14ac:dyDescent="0.45">
      <c r="A9" s="263">
        <v>45563</v>
      </c>
      <c r="B9" s="268" t="s">
        <v>156</v>
      </c>
      <c r="C9" s="270">
        <v>0.35416666666666669</v>
      </c>
      <c r="D9" s="264" t="str">
        <f>+'GRUPO B'!E17</f>
        <v>COLEGIO PRINCIPADO DE MONACO</v>
      </c>
      <c r="E9" s="264">
        <f>+'GRUPO B'!G17</f>
        <v>4</v>
      </c>
      <c r="F9" s="264">
        <f>+'GRUPO B'!I17</f>
        <v>4</v>
      </c>
      <c r="G9" s="264" t="str">
        <f>+'GRUPO B'!K17</f>
        <v>CLUB ARIEL ARMEL</v>
      </c>
      <c r="H9" s="264" t="str">
        <f>+'GRUPO B'!B4</f>
        <v>GRUPO B</v>
      </c>
      <c r="I9" s="264" t="str">
        <f>+$A$3</f>
        <v>NACIDOS 2012 2013</v>
      </c>
      <c r="J9" s="265"/>
      <c r="K9" s="261" t="str">
        <f>+'GRUPO A'!P12</f>
        <v xml:space="preserve">  2)  COLEGIO NEIL ARMSTRONG</v>
      </c>
      <c r="L9" s="264">
        <f>+'GRUPO A'!Q12</f>
        <v>7</v>
      </c>
      <c r="M9" s="264">
        <f>+'GRUPO A'!R12</f>
        <v>3</v>
      </c>
      <c r="N9" s="264">
        <f>+'GRUPO A'!S12</f>
        <v>2</v>
      </c>
      <c r="O9" s="264">
        <f>+'GRUPO A'!T12</f>
        <v>1</v>
      </c>
      <c r="P9" s="264">
        <f>+'GRUPO A'!U12</f>
        <v>0</v>
      </c>
      <c r="Q9" s="264">
        <f>+'GRUPO A'!V12</f>
        <v>9</v>
      </c>
      <c r="R9" s="264">
        <f>+'GRUPO A'!W12</f>
        <v>4</v>
      </c>
      <c r="S9" s="264">
        <f>+'GRUPO A'!X12</f>
        <v>5</v>
      </c>
      <c r="T9" s="264">
        <f>+'GRUPO A'!Y12</f>
        <v>0</v>
      </c>
    </row>
    <row r="10" spans="1:21" s="202" customFormat="1" ht="42" customHeight="1" x14ac:dyDescent="0.45">
      <c r="A10" s="263">
        <v>45563</v>
      </c>
      <c r="B10" s="269" t="s">
        <v>157</v>
      </c>
      <c r="C10" s="270">
        <v>0.35416666666666669</v>
      </c>
      <c r="D10" s="264" t="str">
        <f>+'GRUPO A'!E14</f>
        <v>CLUB CAMPESTRE IBAGUE UNO</v>
      </c>
      <c r="E10" s="264">
        <f>+'GRUPO A'!G14</f>
        <v>3</v>
      </c>
      <c r="F10" s="264">
        <f>+'GRUPO A'!I14</f>
        <v>0</v>
      </c>
      <c r="G10" s="264" t="str">
        <f>+'GRUPO A'!K14</f>
        <v>CENTAUROS DEL ARIARI</v>
      </c>
      <c r="H10" s="264" t="s">
        <v>83</v>
      </c>
      <c r="I10" s="264" t="str">
        <f t="shared" ref="I10:I14" si="0">+$A$3</f>
        <v>NACIDOS 2012 2013</v>
      </c>
      <c r="J10" s="265"/>
      <c r="K10" s="261" t="str">
        <f>+'GRUPO A'!P14</f>
        <v xml:space="preserve">  3)  CLUB CAMPESTRE IBAGUE UNO</v>
      </c>
      <c r="L10" s="264">
        <f>+'GRUPO A'!Q14</f>
        <v>3</v>
      </c>
      <c r="M10" s="264">
        <f>+'GRUPO A'!R14</f>
        <v>3</v>
      </c>
      <c r="N10" s="264">
        <f>+'GRUPO A'!S14</f>
        <v>1</v>
      </c>
      <c r="O10" s="264">
        <f>+'GRUPO A'!T14</f>
        <v>0</v>
      </c>
      <c r="P10" s="264">
        <f>+'GRUPO A'!U14</f>
        <v>2</v>
      </c>
      <c r="Q10" s="264">
        <f>+'GRUPO A'!V14</f>
        <v>3</v>
      </c>
      <c r="R10" s="264">
        <f>+'GRUPO A'!W14</f>
        <v>13</v>
      </c>
      <c r="S10" s="264">
        <f>+'GRUPO A'!X14</f>
        <v>-10</v>
      </c>
      <c r="T10" s="264">
        <f>+'GRUPO A'!Y14</f>
        <v>0</v>
      </c>
    </row>
    <row r="11" spans="1:21" s="202" customFormat="1" ht="42" customHeight="1" x14ac:dyDescent="0.45">
      <c r="A11" s="263">
        <v>45563</v>
      </c>
      <c r="B11" s="268" t="s">
        <v>156</v>
      </c>
      <c r="C11" s="270">
        <v>0.40277777777777779</v>
      </c>
      <c r="D11" s="264" t="str">
        <f>+'GRUPO A'!E17</f>
        <v>COLEGIO NEIL ARMSTRONG</v>
      </c>
      <c r="E11" s="264">
        <f>+'GRUPO A'!G17</f>
        <v>1</v>
      </c>
      <c r="F11" s="264">
        <f>+'GRUPO A'!I17</f>
        <v>1</v>
      </c>
      <c r="G11" s="264" t="str">
        <f>+'GRUPO A'!K17</f>
        <v>CLUB LOS PAPETICOS</v>
      </c>
      <c r="H11" s="264" t="str">
        <f>+'GRUPO A'!B4</f>
        <v>GRUPO A</v>
      </c>
      <c r="I11" s="264" t="str">
        <f t="shared" si="0"/>
        <v>NACIDOS 2012 2013</v>
      </c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</row>
    <row r="12" spans="1:21" s="202" customFormat="1" ht="42" customHeight="1" x14ac:dyDescent="0.45">
      <c r="A12" s="263">
        <v>45563</v>
      </c>
      <c r="B12" s="269" t="s">
        <v>157</v>
      </c>
      <c r="C12" s="270">
        <v>0.40277777777777779</v>
      </c>
      <c r="D12" s="264" t="str">
        <f>+'GRUPO C'!E26</f>
        <v>GRAMA F. C.</v>
      </c>
      <c r="E12" s="264">
        <f>+'GRUPO C'!G26</f>
        <v>5</v>
      </c>
      <c r="F12" s="264">
        <f>+'GRUPO C'!I26</f>
        <v>1</v>
      </c>
      <c r="G12" s="264" t="str">
        <f>+'GRUPO C'!K26</f>
        <v>NOVATOS F. C.</v>
      </c>
      <c r="H12" s="263" t="str">
        <f>+'GRUPO C'!B4</f>
        <v>GRUPO C</v>
      </c>
      <c r="I12" s="264" t="str">
        <f t="shared" si="0"/>
        <v>NACIDOS 2012 2013</v>
      </c>
      <c r="J12" s="265"/>
      <c r="K12" s="254" t="str">
        <f>+'GRUPO B'!B4</f>
        <v>GRUPO B</v>
      </c>
      <c r="L12" s="254" t="str">
        <f>+'GRUPO B'!Q8</f>
        <v>Pts.</v>
      </c>
      <c r="M12" s="254" t="str">
        <f>+'GRUPO B'!R8</f>
        <v>PJ</v>
      </c>
      <c r="N12" s="254" t="str">
        <f>+'GRUPO B'!S8</f>
        <v>Gan.</v>
      </c>
      <c r="O12" s="250" t="str">
        <f>+'GRUPO B'!T8</f>
        <v>Emp.</v>
      </c>
      <c r="P12" s="254" t="str">
        <f>+'GRUPO B'!U8</f>
        <v>Per.</v>
      </c>
      <c r="Q12" s="254" t="str">
        <f>+'GRUPO B'!V8</f>
        <v>GF</v>
      </c>
      <c r="R12" s="254" t="str">
        <f>+'GRUPO B'!W8</f>
        <v>GC</v>
      </c>
      <c r="S12" s="254" t="str">
        <f>+'GRUPO B'!X8</f>
        <v>Dif.</v>
      </c>
      <c r="T12" s="254" t="str">
        <f>+'GRUPO B'!Y8</f>
        <v>Tj</v>
      </c>
    </row>
    <row r="13" spans="1:21" s="202" customFormat="1" ht="42" customHeight="1" x14ac:dyDescent="0.45">
      <c r="A13" s="263">
        <v>45563</v>
      </c>
      <c r="B13" s="268" t="s">
        <v>156</v>
      </c>
      <c r="C13" s="270">
        <v>0.4513888888888889</v>
      </c>
      <c r="D13" s="264" t="str">
        <f>+'GRUPO C'!E14</f>
        <v>ESCUELA DE FORMACIÓN DEPORTIVA MARACANA</v>
      </c>
      <c r="E13" s="264">
        <f>+'GRUPO C'!G14</f>
        <v>3</v>
      </c>
      <c r="F13" s="264">
        <f>+'GRUPO C'!I14</f>
        <v>3</v>
      </c>
      <c r="G13" s="264" t="str">
        <f>+'GRUPO C'!K14</f>
        <v>CORDOBA Y SERRANO F. C.</v>
      </c>
      <c r="H13" s="264" t="s">
        <v>83</v>
      </c>
      <c r="I13" s="264" t="str">
        <f t="shared" si="0"/>
        <v>NACIDOS 2012 2013</v>
      </c>
      <c r="J13" s="265"/>
      <c r="K13" s="261" t="str">
        <f>+'GRUPO B'!P10</f>
        <v xml:space="preserve">  1)  CLUB ARIEL ARMEL</v>
      </c>
      <c r="L13" s="264">
        <f>+'GRUPO B'!Q10</f>
        <v>4</v>
      </c>
      <c r="M13" s="264">
        <f>+'GRUPO B'!R10</f>
        <v>3</v>
      </c>
      <c r="N13" s="264">
        <f>+'GRUPO B'!S10</f>
        <v>1</v>
      </c>
      <c r="O13" s="264">
        <f>+'GRUPO B'!T10</f>
        <v>1</v>
      </c>
      <c r="P13" s="264">
        <f>+'GRUPO B'!U10</f>
        <v>1</v>
      </c>
      <c r="Q13" s="264">
        <f>+'GRUPO B'!V10</f>
        <v>7</v>
      </c>
      <c r="R13" s="264">
        <f>+'GRUPO B'!W10</f>
        <v>4</v>
      </c>
      <c r="S13" s="264">
        <f>+'GRUPO B'!X10</f>
        <v>3</v>
      </c>
      <c r="T13" s="264">
        <f>+'GRUPO B'!Y10</f>
        <v>0</v>
      </c>
    </row>
    <row r="14" spans="1:21" s="202" customFormat="1" ht="42" customHeight="1" x14ac:dyDescent="0.45">
      <c r="A14" s="263">
        <v>45563</v>
      </c>
      <c r="B14" s="269" t="s">
        <v>157</v>
      </c>
      <c r="C14" s="270">
        <v>0.4513888888888889</v>
      </c>
      <c r="D14" s="264" t="str">
        <f>+'GRUPO D'!E26</f>
        <v>ESCUELA DEPORTIVA DE FÚTBOL RAQUIRA</v>
      </c>
      <c r="E14" s="264">
        <f>+'GRUPO D'!G26</f>
        <v>2</v>
      </c>
      <c r="F14" s="264">
        <f>+'GRUPO D'!I26</f>
        <v>5</v>
      </c>
      <c r="G14" s="264" t="str">
        <f>+'GRUPO D'!K26</f>
        <v>CLUB CAMPESTRE IBAGUE DOS</v>
      </c>
      <c r="H14" s="264" t="str">
        <f>+'GRUPO D'!B4</f>
        <v>GRUPO D</v>
      </c>
      <c r="I14" s="264" t="str">
        <f t="shared" si="0"/>
        <v>NACIDOS 2012 2013</v>
      </c>
      <c r="J14" s="265"/>
      <c r="K14" s="261" t="str">
        <f>+'GRUPO B'!P12</f>
        <v xml:space="preserve">  2)  CENTAUROS DEL ARIARI</v>
      </c>
      <c r="L14" s="264">
        <f>+'GRUPO B'!Q12</f>
        <v>3</v>
      </c>
      <c r="M14" s="264">
        <f>+'GRUPO B'!R12</f>
        <v>3</v>
      </c>
      <c r="N14" s="264">
        <f>+'GRUPO B'!S12</f>
        <v>1</v>
      </c>
      <c r="O14" s="264">
        <f>+'GRUPO B'!T12</f>
        <v>0</v>
      </c>
      <c r="P14" s="264">
        <f>+'GRUPO B'!U12</f>
        <v>2</v>
      </c>
      <c r="Q14" s="264">
        <f>+'GRUPO B'!V12</f>
        <v>4</v>
      </c>
      <c r="R14" s="264">
        <f>+'GRUPO B'!W12</f>
        <v>5</v>
      </c>
      <c r="S14" s="264">
        <f>+'GRUPO B'!X12</f>
        <v>-1</v>
      </c>
      <c r="T14" s="264">
        <f>+'GRUPO B'!Y12</f>
        <v>0</v>
      </c>
    </row>
    <row r="15" spans="1:21" s="202" customFormat="1" ht="42" customHeight="1" x14ac:dyDescent="0.45">
      <c r="J15" s="265"/>
      <c r="K15" s="261" t="str">
        <f>+'GRUPO B'!P14</f>
        <v xml:space="preserve">  3)  COLEGIO PRINCIPADO DE MONACO</v>
      </c>
      <c r="L15" s="264">
        <f>+'GRUPO B'!Q14</f>
        <v>1</v>
      </c>
      <c r="M15" s="264">
        <f>+'GRUPO B'!R14</f>
        <v>3</v>
      </c>
      <c r="N15" s="264">
        <f>+'GRUPO B'!S14</f>
        <v>0</v>
      </c>
      <c r="O15" s="264">
        <f>+'GRUPO B'!T14</f>
        <v>1</v>
      </c>
      <c r="P15" s="264">
        <f>+'GRUPO B'!U14</f>
        <v>2</v>
      </c>
      <c r="Q15" s="264">
        <f>+'GRUPO B'!V14</f>
        <v>7</v>
      </c>
      <c r="R15" s="264">
        <f>+'GRUPO B'!W14</f>
        <v>12</v>
      </c>
      <c r="S15" s="264">
        <f>+'GRUPO B'!X14</f>
        <v>-5</v>
      </c>
      <c r="T15" s="264">
        <f>+'GRUPO B'!Y14</f>
        <v>0</v>
      </c>
    </row>
    <row r="16" spans="1:21" s="202" customFormat="1" ht="42" customHeight="1" x14ac:dyDescent="0.45">
      <c r="A16" s="265"/>
      <c r="B16" s="555" t="s">
        <v>172</v>
      </c>
      <c r="C16" s="556"/>
      <c r="D16" s="556"/>
      <c r="E16" s="556"/>
      <c r="F16" s="556"/>
      <c r="G16" s="556"/>
      <c r="H16" s="556"/>
      <c r="I16" s="557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</row>
    <row r="17" spans="1:20" s="202" customFormat="1" ht="42" customHeight="1" x14ac:dyDescent="0.45">
      <c r="A17" s="265"/>
      <c r="B17" s="266" t="s">
        <v>68</v>
      </c>
      <c r="C17" s="266" t="s">
        <v>69</v>
      </c>
      <c r="D17" s="266" t="s">
        <v>70</v>
      </c>
      <c r="E17" s="546" t="s">
        <v>71</v>
      </c>
      <c r="F17" s="546"/>
      <c r="G17" s="266" t="s">
        <v>70</v>
      </c>
      <c r="H17" s="266" t="s">
        <v>72</v>
      </c>
      <c r="I17" s="260" t="s">
        <v>89</v>
      </c>
      <c r="J17" s="265"/>
      <c r="K17" s="255" t="str">
        <f>+'GRUPO C'!B4</f>
        <v>GRUPO C</v>
      </c>
      <c r="L17" s="256" t="str">
        <f>+'GRUPO C'!Q8</f>
        <v>Pts.</v>
      </c>
      <c r="M17" s="256" t="str">
        <f>+'GRUPO C'!R8</f>
        <v>PJ</v>
      </c>
      <c r="N17" s="256" t="str">
        <f>+'GRUPO C'!S8</f>
        <v>Gan.</v>
      </c>
      <c r="O17" s="251" t="str">
        <f>+'GRUPO C'!T8</f>
        <v>Emp.</v>
      </c>
      <c r="P17" s="256" t="str">
        <f>+'GRUPO C'!U8</f>
        <v>Per.</v>
      </c>
      <c r="Q17" s="256" t="str">
        <f>+'GRUPO C'!V8</f>
        <v>GF</v>
      </c>
      <c r="R17" s="256" t="str">
        <f>+'GRUPO C'!W8</f>
        <v>GC</v>
      </c>
      <c r="S17" s="256" t="str">
        <f>+'GRUPO C'!X8</f>
        <v>Dif.</v>
      </c>
      <c r="T17" s="256" t="str">
        <f>+'GRUPO C'!Y8</f>
        <v>Tj</v>
      </c>
    </row>
    <row r="18" spans="1:20" s="202" customFormat="1" ht="42" customHeight="1" x14ac:dyDescent="0.45">
      <c r="A18" s="263">
        <v>45563</v>
      </c>
      <c r="B18" s="268" t="s">
        <v>156</v>
      </c>
      <c r="C18" s="270">
        <v>0.59722222222222221</v>
      </c>
      <c r="D18" s="264" t="str">
        <f>+'GRUPO B'!E29</f>
        <v>COLEGIO PRINCIPADO DE MONACO</v>
      </c>
      <c r="E18" s="264">
        <f>+'GRUPO B'!G29</f>
        <v>1</v>
      </c>
      <c r="F18" s="264">
        <f>+'GRUPO B'!I29</f>
        <v>4</v>
      </c>
      <c r="G18" s="264" t="str">
        <f>+'GRUPO B'!K29</f>
        <v>CENTAUROS DEL ARIARI</v>
      </c>
      <c r="H18" s="264" t="str">
        <f>+'GRUPO B'!B4</f>
        <v>GRUPO B</v>
      </c>
      <c r="I18" s="264" t="str">
        <f t="shared" ref="I18:I23" si="1">+$A$3</f>
        <v>NACIDOS 2012 2013</v>
      </c>
      <c r="J18" s="265"/>
      <c r="K18" s="261" t="str">
        <f>+'GRUPO C'!P10</f>
        <v xml:space="preserve">  1)  GRAMA F. C.</v>
      </c>
      <c r="L18" s="264">
        <f>+'GRUPO C'!Q10</f>
        <v>6</v>
      </c>
      <c r="M18" s="264">
        <f>+'GRUPO C'!R10</f>
        <v>3</v>
      </c>
      <c r="N18" s="264">
        <f>+'GRUPO C'!S10</f>
        <v>2</v>
      </c>
      <c r="O18" s="264">
        <f>+'GRUPO C'!T10</f>
        <v>0</v>
      </c>
      <c r="P18" s="264">
        <f>+'GRUPO C'!U10</f>
        <v>1</v>
      </c>
      <c r="Q18" s="264">
        <f>+'GRUPO C'!V10</f>
        <v>8</v>
      </c>
      <c r="R18" s="264">
        <f>+'GRUPO C'!W10</f>
        <v>6</v>
      </c>
      <c r="S18" s="264">
        <f>+'GRUPO C'!X10</f>
        <v>2</v>
      </c>
      <c r="T18" s="264">
        <f>+'GRUPO C'!Y10</f>
        <v>0</v>
      </c>
    </row>
    <row r="19" spans="1:20" s="202" customFormat="1" ht="42" customHeight="1" x14ac:dyDescent="0.45">
      <c r="A19" s="263">
        <v>45563</v>
      </c>
      <c r="B19" s="269" t="s">
        <v>157</v>
      </c>
      <c r="C19" s="270">
        <v>0.59722222222222221</v>
      </c>
      <c r="D19" s="264" t="str">
        <f>+'GRUPO A'!E11</f>
        <v>CLUB LOS PAPETICOS</v>
      </c>
      <c r="E19" s="264">
        <f>+'GRUPO A'!G11</f>
        <v>3</v>
      </c>
      <c r="F19" s="264">
        <f>+'GRUPO A'!I11</f>
        <v>2</v>
      </c>
      <c r="G19" s="264" t="str">
        <f>+'GRUPO A'!K11</f>
        <v>CLUB ARIEL ARMEL</v>
      </c>
      <c r="H19" s="264" t="s">
        <v>83</v>
      </c>
      <c r="I19" s="264" t="str">
        <f t="shared" si="1"/>
        <v>NACIDOS 2012 2013</v>
      </c>
      <c r="J19" s="265"/>
      <c r="K19" s="261" t="str">
        <f>+'GRUPO C'!P12</f>
        <v xml:space="preserve">  2)  ESCUELA DE FORMACIÓN DEPORTIVA MARACANA</v>
      </c>
      <c r="L19" s="264">
        <f>+'GRUPO C'!Q12</f>
        <v>4</v>
      </c>
      <c r="M19" s="264">
        <f>+'GRUPO C'!R12</f>
        <v>3</v>
      </c>
      <c r="N19" s="264">
        <f>+'GRUPO C'!S12</f>
        <v>1</v>
      </c>
      <c r="O19" s="264">
        <f>+'GRUPO C'!T12</f>
        <v>1</v>
      </c>
      <c r="P19" s="264">
        <f>+'GRUPO C'!U12</f>
        <v>1</v>
      </c>
      <c r="Q19" s="264">
        <f>+'GRUPO C'!V12</f>
        <v>17</v>
      </c>
      <c r="R19" s="264">
        <f>+'GRUPO C'!W12</f>
        <v>5</v>
      </c>
      <c r="S19" s="264">
        <f>+'GRUPO C'!X12</f>
        <v>12</v>
      </c>
      <c r="T19" s="264">
        <f>+'GRUPO C'!Y12</f>
        <v>0</v>
      </c>
    </row>
    <row r="20" spans="1:20" s="202" customFormat="1" ht="42" customHeight="1" x14ac:dyDescent="0.45">
      <c r="A20" s="263">
        <v>45563</v>
      </c>
      <c r="B20" s="268" t="s">
        <v>156</v>
      </c>
      <c r="C20" s="270">
        <v>0.65277777777777779</v>
      </c>
      <c r="D20" s="264" t="str">
        <f>+'GRUPO A'!E29</f>
        <v>COLEGIO NEIL ARMSTRONG</v>
      </c>
      <c r="E20" s="264">
        <f>+'GRUPO A'!G29</f>
        <v>4</v>
      </c>
      <c r="F20" s="264">
        <f>+'GRUPO A'!I29</f>
        <v>1</v>
      </c>
      <c r="G20" s="264" t="str">
        <f>+'GRUPO A'!K29</f>
        <v>CLUB CAMPESTRE IBAGUE UNO</v>
      </c>
      <c r="H20" s="263" t="str">
        <f>+'GRUPO A'!B4</f>
        <v>GRUPO A</v>
      </c>
      <c r="I20" s="264" t="str">
        <f t="shared" si="1"/>
        <v>NACIDOS 2012 2013</v>
      </c>
      <c r="J20" s="265"/>
      <c r="K20" s="261" t="str">
        <f>+'GRUPO C'!P14</f>
        <v xml:space="preserve">  3)  NOVATOS F. C.</v>
      </c>
      <c r="L20" s="264">
        <f>+'GRUPO C'!Q14</f>
        <v>0</v>
      </c>
      <c r="M20" s="264">
        <f>+'GRUPO C'!R14</f>
        <v>3</v>
      </c>
      <c r="N20" s="264">
        <f>+'GRUPO C'!S14</f>
        <v>0</v>
      </c>
      <c r="O20" s="264">
        <f>+'GRUPO C'!T14</f>
        <v>0</v>
      </c>
      <c r="P20" s="264">
        <f>+'GRUPO C'!U14</f>
        <v>3</v>
      </c>
      <c r="Q20" s="264">
        <f>+'GRUPO C'!V14</f>
        <v>1</v>
      </c>
      <c r="R20" s="264">
        <f>+'GRUPO C'!W14</f>
        <v>21</v>
      </c>
      <c r="S20" s="264">
        <f>+'GRUPO C'!X14</f>
        <v>-20</v>
      </c>
      <c r="T20" s="264">
        <f>+'GRUPO C'!Y14</f>
        <v>0</v>
      </c>
    </row>
    <row r="21" spans="1:20" s="202" customFormat="1" ht="42" customHeight="1" x14ac:dyDescent="0.45">
      <c r="A21" s="263">
        <v>45563</v>
      </c>
      <c r="B21" s="269" t="s">
        <v>157</v>
      </c>
      <c r="C21" s="270">
        <v>0.65277777777777779</v>
      </c>
      <c r="D21" s="264" t="str">
        <f>+'GRUPO C'!E29</f>
        <v>GRAMA F. C.</v>
      </c>
      <c r="E21" s="264">
        <f>+'GRUPO C'!G29</f>
        <v>2</v>
      </c>
      <c r="F21" s="264">
        <f>+'GRUPO C'!I29</f>
        <v>1</v>
      </c>
      <c r="G21" s="264" t="str">
        <f>+'GRUPO C'!K29</f>
        <v>ESCUELA DE FORMACIÓN DEPORTIVA MARACANA</v>
      </c>
      <c r="H21" s="264" t="str">
        <f>+'GRUPO C'!B4</f>
        <v>GRUPO C</v>
      </c>
      <c r="I21" s="264" t="str">
        <f t="shared" si="1"/>
        <v>NACIDOS 2012 2013</v>
      </c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</row>
    <row r="22" spans="1:20" s="202" customFormat="1" ht="42" customHeight="1" x14ac:dyDescent="0.45">
      <c r="A22" s="263">
        <v>45563</v>
      </c>
      <c r="B22" s="268" t="s">
        <v>156</v>
      </c>
      <c r="C22" s="270">
        <v>0.70138888888888884</v>
      </c>
      <c r="D22" s="264" t="str">
        <f>+'GRUPO D'!E32</f>
        <v>CLUB CAMPESTRE IBAGUE DOS</v>
      </c>
      <c r="E22" s="264">
        <f>+'GRUPO D'!G32</f>
        <v>3</v>
      </c>
      <c r="F22" s="264">
        <f>+'GRUPO D'!I32</f>
        <v>3</v>
      </c>
      <c r="G22" s="264" t="str">
        <f>+'GRUPO D'!K32</f>
        <v>CORDOBA Y SERRANO F. C.</v>
      </c>
      <c r="H22" s="263" t="str">
        <f>+'GRUPO D'!B4</f>
        <v>GRUPO D</v>
      </c>
      <c r="I22" s="264" t="str">
        <f t="shared" si="1"/>
        <v>NACIDOS 2012 2013</v>
      </c>
      <c r="J22" s="265"/>
      <c r="K22" s="257" t="str">
        <f>+'GRUPO D'!B4</f>
        <v>GRUPO D</v>
      </c>
      <c r="L22" s="258" t="str">
        <f>+'GRUPO D'!Q8</f>
        <v>Pts.</v>
      </c>
      <c r="M22" s="258" t="str">
        <f>+'GRUPO D'!R8</f>
        <v>PJ</v>
      </c>
      <c r="N22" s="258" t="str">
        <f>+'GRUPO D'!S8</f>
        <v>Gan.</v>
      </c>
      <c r="O22" s="252" t="str">
        <f>+'GRUPO D'!T8</f>
        <v>Emp.</v>
      </c>
      <c r="P22" s="258" t="str">
        <f>+'GRUPO D'!U8</f>
        <v>Per.</v>
      </c>
      <c r="Q22" s="258" t="str">
        <f>+'GRUPO D'!V8</f>
        <v>GF</v>
      </c>
      <c r="R22" s="258" t="str">
        <f>+'GRUPO D'!W8</f>
        <v>GC</v>
      </c>
      <c r="S22" s="258" t="str">
        <f>+'GRUPO D'!X8</f>
        <v>Dif.</v>
      </c>
      <c r="T22" s="258" t="str">
        <f>+'GRUPO D'!Y8</f>
        <v>Tj</v>
      </c>
    </row>
    <row r="23" spans="1:20" s="202" customFormat="1" ht="42" customHeight="1" x14ac:dyDescent="0.45">
      <c r="A23" s="263">
        <v>45563</v>
      </c>
      <c r="B23" s="269" t="s">
        <v>157</v>
      </c>
      <c r="C23" s="270">
        <v>0.70138888888888884</v>
      </c>
      <c r="D23" s="264" t="str">
        <f>+'GRUPO C'!E11</f>
        <v>NOVATOS F. C.</v>
      </c>
      <c r="E23" s="264">
        <f>+'GRUPO C'!G11</f>
        <v>0</v>
      </c>
      <c r="F23" s="264">
        <f>+'GRUPO C'!I11</f>
        <v>3</v>
      </c>
      <c r="G23" s="264" t="str">
        <f>+'GRUPO C'!K11</f>
        <v>ESCUELA DEPORTIVA DE FÚTBOL RAQUIRA</v>
      </c>
      <c r="H23" s="264" t="s">
        <v>83</v>
      </c>
      <c r="I23" s="264" t="str">
        <f t="shared" si="1"/>
        <v>NACIDOS 2012 2013</v>
      </c>
      <c r="J23" s="265"/>
      <c r="K23" s="261" t="str">
        <f>+'GRUPO D'!P10</f>
        <v xml:space="preserve">  1)  CLUB CAMPESTRE IBAGUE DOS</v>
      </c>
      <c r="L23" s="264">
        <f>+'GRUPO D'!Q10</f>
        <v>7</v>
      </c>
      <c r="M23" s="264">
        <f>+'GRUPO D'!R10</f>
        <v>3</v>
      </c>
      <c r="N23" s="264">
        <f>+'GRUPO D'!S10</f>
        <v>2</v>
      </c>
      <c r="O23" s="264">
        <f>+'GRUPO D'!T10</f>
        <v>1</v>
      </c>
      <c r="P23" s="264">
        <f>+'GRUPO D'!U10</f>
        <v>0</v>
      </c>
      <c r="Q23" s="264">
        <f>+'GRUPO D'!V10</f>
        <v>12</v>
      </c>
      <c r="R23" s="264">
        <f>+'GRUPO D'!W10</f>
        <v>9</v>
      </c>
      <c r="S23" s="264">
        <f>+'GRUPO D'!X10</f>
        <v>3</v>
      </c>
      <c r="T23" s="264">
        <f>+'GRUPO D'!Y10</f>
        <v>0</v>
      </c>
    </row>
    <row r="24" spans="1:20" s="202" customFormat="1" ht="42" customHeight="1" x14ac:dyDescent="0.45">
      <c r="A24" s="265"/>
      <c r="B24" s="265"/>
      <c r="C24" s="265"/>
      <c r="I24" s="265"/>
      <c r="J24" s="265"/>
      <c r="K24" s="261" t="str">
        <f>+'GRUPO D'!P12</f>
        <v xml:space="preserve">  2)  CORDOBA Y SERRANO F. C.</v>
      </c>
      <c r="L24" s="264">
        <f>+'GRUPO D'!Q12</f>
        <v>5</v>
      </c>
      <c r="M24" s="264">
        <f>+'GRUPO D'!R12</f>
        <v>3</v>
      </c>
      <c r="N24" s="264">
        <f>+'GRUPO D'!S12</f>
        <v>1</v>
      </c>
      <c r="O24" s="264">
        <f>+'GRUPO D'!T12</f>
        <v>2</v>
      </c>
      <c r="P24" s="264">
        <f>+'GRUPO D'!U12</f>
        <v>0</v>
      </c>
      <c r="Q24" s="264">
        <f>+'GRUPO D'!V12</f>
        <v>18</v>
      </c>
      <c r="R24" s="264">
        <f>+'GRUPO D'!W12</f>
        <v>6</v>
      </c>
      <c r="S24" s="264">
        <f>+'GRUPO D'!X12</f>
        <v>12</v>
      </c>
      <c r="T24" s="264">
        <f>+'GRUPO D'!Y12</f>
        <v>0</v>
      </c>
    </row>
    <row r="25" spans="1:20" s="202" customFormat="1" ht="42" customHeight="1" x14ac:dyDescent="0.45">
      <c r="A25" s="265"/>
      <c r="B25" s="554" t="s">
        <v>173</v>
      </c>
      <c r="C25" s="554"/>
      <c r="D25" s="554"/>
      <c r="E25" s="554"/>
      <c r="F25" s="554"/>
      <c r="G25" s="554"/>
      <c r="H25" s="554"/>
      <c r="I25" s="554"/>
      <c r="J25" s="265"/>
      <c r="K25" s="261" t="str">
        <f>+'GRUPO D'!P14</f>
        <v xml:space="preserve">  3)  ESCUELA DEPORTIVA DE FÚTBOL RAQUIRA</v>
      </c>
      <c r="L25" s="264">
        <f>+'GRUPO D'!Q14</f>
        <v>3</v>
      </c>
      <c r="M25" s="264">
        <f>+'GRUPO D'!R14</f>
        <v>3</v>
      </c>
      <c r="N25" s="264">
        <f>+'GRUPO D'!S14</f>
        <v>1</v>
      </c>
      <c r="O25" s="264">
        <f>+'GRUPO D'!T14</f>
        <v>0</v>
      </c>
      <c r="P25" s="264">
        <f>+'GRUPO D'!U14</f>
        <v>2</v>
      </c>
      <c r="Q25" s="264">
        <f>+'GRUPO D'!V14</f>
        <v>5</v>
      </c>
      <c r="R25" s="264">
        <f>+'GRUPO D'!W14</f>
        <v>17</v>
      </c>
      <c r="S25" s="264">
        <f>+'GRUPO D'!X14</f>
        <v>-12</v>
      </c>
      <c r="T25" s="264">
        <f>+'GRUPO D'!Y14</f>
        <v>0</v>
      </c>
    </row>
    <row r="26" spans="1:20" s="202" customFormat="1" ht="42" customHeight="1" x14ac:dyDescent="0.45">
      <c r="A26" s="265"/>
      <c r="B26" s="266" t="s">
        <v>68</v>
      </c>
      <c r="C26" s="266" t="s">
        <v>69</v>
      </c>
      <c r="D26" s="266" t="s">
        <v>70</v>
      </c>
      <c r="E26" s="546" t="s">
        <v>71</v>
      </c>
      <c r="F26" s="546"/>
      <c r="G26" s="266" t="s">
        <v>70</v>
      </c>
      <c r="H26" s="266" t="s">
        <v>72</v>
      </c>
      <c r="I26" s="260" t="s">
        <v>89</v>
      </c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</row>
    <row r="27" spans="1:20" s="202" customFormat="1" ht="42" customHeight="1" x14ac:dyDescent="0.45">
      <c r="A27" s="263">
        <v>45564</v>
      </c>
      <c r="B27" s="268" t="s">
        <v>156</v>
      </c>
      <c r="C27" s="270">
        <v>0.28472222222222221</v>
      </c>
      <c r="D27" s="264" t="str">
        <f>+'GRUPO A'!E8</f>
        <v>COLEGIO NEIL ARMSTRONG</v>
      </c>
      <c r="E27" s="264">
        <f>+'GRUPO A'!G8</f>
        <v>4</v>
      </c>
      <c r="F27" s="264">
        <f>+'GRUPO A'!I8</f>
        <v>2</v>
      </c>
      <c r="G27" s="264" t="str">
        <f>+'GRUPO A'!K8</f>
        <v>COLEGIO PRINCIPADO DE MONACO</v>
      </c>
      <c r="H27" s="264" t="s">
        <v>83</v>
      </c>
      <c r="I27" s="264" t="str">
        <f t="shared" ref="I27:I32" si="2">+$A$3</f>
        <v>NACIDOS 2012 2013</v>
      </c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</row>
    <row r="28" spans="1:20" s="202" customFormat="1" ht="42" customHeight="1" x14ac:dyDescent="0.45">
      <c r="A28" s="263">
        <v>45564</v>
      </c>
      <c r="B28" s="269" t="s">
        <v>157</v>
      </c>
      <c r="C28" s="270">
        <v>0.28472222222222221</v>
      </c>
      <c r="D28" s="264" t="str">
        <f>+'GRUPO D'!E29</f>
        <v>ESCUELA DEPORTIVA DE FÚTBOL RAQUIRA</v>
      </c>
      <c r="E28" s="264">
        <f>+'GRUPO D'!G29</f>
        <v>0</v>
      </c>
      <c r="F28" s="264">
        <f>+'GRUPO D'!I29</f>
        <v>12</v>
      </c>
      <c r="G28" s="264" t="str">
        <f>+'GRUPO D'!K29</f>
        <v>CORDOBA Y SERRANO F. C.</v>
      </c>
      <c r="H28" s="264" t="str">
        <f>+'GRUPO D'!B4</f>
        <v>GRUPO D</v>
      </c>
      <c r="I28" s="264" t="str">
        <f t="shared" si="2"/>
        <v>NACIDOS 2012 2013</v>
      </c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</row>
    <row r="29" spans="1:20" s="202" customFormat="1" ht="42" customHeight="1" x14ac:dyDescent="0.45">
      <c r="A29" s="263">
        <v>45564</v>
      </c>
      <c r="B29" s="271" t="s">
        <v>179</v>
      </c>
      <c r="C29" s="270">
        <v>0.28472222222222221</v>
      </c>
      <c r="D29" s="264" t="str">
        <f>+'GRUPO C'!E8</f>
        <v>GRAMA F. C.</v>
      </c>
      <c r="E29" s="264">
        <f>+'GRUPO C'!G8</f>
        <v>1</v>
      </c>
      <c r="F29" s="264">
        <f>+'GRUPO C'!I8</f>
        <v>4</v>
      </c>
      <c r="G29" s="264" t="str">
        <f>+'GRUPO C'!K8</f>
        <v>CLUB CAMPESTRE IBAGUE DOS</v>
      </c>
      <c r="H29" s="264" t="s">
        <v>83</v>
      </c>
      <c r="I29" s="264" t="str">
        <f t="shared" si="2"/>
        <v>NACIDOS 2012 2013</v>
      </c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 s="202" customFormat="1" ht="42" customHeight="1" x14ac:dyDescent="0.45">
      <c r="A30" s="263">
        <v>45564</v>
      </c>
      <c r="B30" s="271" t="s">
        <v>180</v>
      </c>
      <c r="C30" s="270">
        <v>0.34027777777777779</v>
      </c>
      <c r="D30" s="264" t="str">
        <f>+'GRUPO B'!E32</f>
        <v>CLUB ARIEL ARMEL</v>
      </c>
      <c r="E30" s="264">
        <f>+'GRUPO B'!G32</f>
        <v>1</v>
      </c>
      <c r="F30" s="264">
        <f>+'GRUPO B'!I32</f>
        <v>0</v>
      </c>
      <c r="G30" s="264" t="str">
        <f>+'GRUPO B'!K32</f>
        <v>CENTAUROS DEL ARIARI</v>
      </c>
      <c r="H30" s="263" t="str">
        <f>+'GRUPO B'!B4</f>
        <v>GRUPO B</v>
      </c>
      <c r="I30" s="264" t="str">
        <f t="shared" si="2"/>
        <v>NACIDOS 2012 2013</v>
      </c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</row>
    <row r="31" spans="1:20" s="202" customFormat="1" ht="42" customHeight="1" x14ac:dyDescent="0.45">
      <c r="A31" s="263">
        <v>45564</v>
      </c>
      <c r="B31" s="268" t="s">
        <v>156</v>
      </c>
      <c r="C31" s="270">
        <v>0.34027777777777779</v>
      </c>
      <c r="D31" s="264" t="str">
        <f>+'GRUPO C'!E32</f>
        <v>NOVATOS F. C.</v>
      </c>
      <c r="E31" s="264">
        <f>+'GRUPO C'!G32</f>
        <v>0</v>
      </c>
      <c r="F31" s="264">
        <f>+'GRUPO C'!I32</f>
        <v>13</v>
      </c>
      <c r="G31" s="264" t="str">
        <f>+'GRUPO C'!K32</f>
        <v>ESCUELA DE FORMACIÓN DEPORTIVA MARACANA</v>
      </c>
      <c r="H31" s="263" t="str">
        <f>+'GRUPO C'!B4</f>
        <v>GRUPO C</v>
      </c>
      <c r="I31" s="264" t="str">
        <f t="shared" si="2"/>
        <v>NACIDOS 2012 2013</v>
      </c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</row>
    <row r="32" spans="1:20" s="202" customFormat="1" ht="42" customHeight="1" x14ac:dyDescent="0.45">
      <c r="A32" s="263">
        <v>45564</v>
      </c>
      <c r="B32" s="269" t="s">
        <v>157</v>
      </c>
      <c r="C32" s="270">
        <v>0.34027777777777779</v>
      </c>
      <c r="D32" s="264" t="str">
        <f>+'GRUPO A'!E32</f>
        <v>CLUB LOS PAPETICOS</v>
      </c>
      <c r="E32" s="264">
        <f>+'GRUPO A'!G32</f>
        <v>9</v>
      </c>
      <c r="F32" s="264">
        <f>+'GRUPO A'!I32</f>
        <v>2</v>
      </c>
      <c r="G32" s="264" t="str">
        <f>+'GRUPO A'!K32</f>
        <v>CLUB CAMPESTRE IBAGUE UNO</v>
      </c>
      <c r="H32" s="263" t="str">
        <f>+'GRUPO A'!B4</f>
        <v>GRUPO A</v>
      </c>
      <c r="I32" s="264" t="str">
        <f t="shared" si="2"/>
        <v>NACIDOS 2012 2013</v>
      </c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</row>
    <row r="33" spans="1:20" s="202" customFormat="1" ht="42" customHeight="1" x14ac:dyDescent="0.45"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</row>
    <row r="34" spans="1:20" s="202" customFormat="1" ht="42" customHeight="1" x14ac:dyDescent="0.45">
      <c r="A34" s="265"/>
      <c r="B34" s="545" t="s">
        <v>129</v>
      </c>
      <c r="C34" s="545"/>
      <c r="D34" s="545"/>
      <c r="E34" s="545"/>
      <c r="F34" s="545"/>
      <c r="G34" s="545"/>
      <c r="H34" s="545"/>
      <c r="I34" s="54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</row>
    <row r="35" spans="1:20" s="202" customFormat="1" ht="42" customHeight="1" x14ac:dyDescent="0.45">
      <c r="A35" s="265"/>
      <c r="B35" s="266" t="s">
        <v>68</v>
      </c>
      <c r="C35" s="266" t="s">
        <v>69</v>
      </c>
      <c r="D35" s="266" t="s">
        <v>70</v>
      </c>
      <c r="E35" s="546" t="s">
        <v>71</v>
      </c>
      <c r="F35" s="546"/>
      <c r="G35" s="266" t="s">
        <v>70</v>
      </c>
      <c r="H35" s="266" t="s">
        <v>72</v>
      </c>
      <c r="I35" s="260" t="s">
        <v>89</v>
      </c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</row>
    <row r="36" spans="1:20" s="202" customFormat="1" ht="42" customHeight="1" x14ac:dyDescent="0.45">
      <c r="A36" s="263">
        <v>45564</v>
      </c>
      <c r="B36" s="268" t="s">
        <v>156</v>
      </c>
      <c r="C36" s="270">
        <v>0.50694444444444442</v>
      </c>
      <c r="D36" s="264" t="str">
        <f>+K10</f>
        <v xml:space="preserve">  3)  CLUB CAMPESTRE IBAGUE UNO</v>
      </c>
      <c r="E36" s="264">
        <v>0</v>
      </c>
      <c r="F36" s="264">
        <v>0</v>
      </c>
      <c r="G36" s="267" t="str">
        <f>+K20</f>
        <v xml:space="preserve">  3)  NOVATOS F. C.</v>
      </c>
      <c r="H36" s="263" t="s">
        <v>174</v>
      </c>
      <c r="I36" s="264" t="str">
        <f t="shared" ref="I36:I41" si="3">+$A$3</f>
        <v>NACIDOS 2012 2013</v>
      </c>
      <c r="J36" s="265"/>
      <c r="S36" s="265"/>
      <c r="T36" s="265"/>
    </row>
    <row r="37" spans="1:20" s="202" customFormat="1" ht="42" customHeight="1" x14ac:dyDescent="0.45">
      <c r="A37" s="263">
        <v>45564</v>
      </c>
      <c r="B37" s="269" t="s">
        <v>157</v>
      </c>
      <c r="C37" s="270">
        <v>0.50694444444444442</v>
      </c>
      <c r="D37" s="264" t="str">
        <f>+K9</f>
        <v xml:space="preserve">  2)  COLEGIO NEIL ARMSTRONG</v>
      </c>
      <c r="E37" s="264">
        <f>+'GRUPO B'!G41</f>
        <v>0</v>
      </c>
      <c r="F37" s="264">
        <f>+'GRUPO B'!I41</f>
        <v>0</v>
      </c>
      <c r="G37" s="267" t="str">
        <f>+K19</f>
        <v xml:space="preserve">  2)  ESCUELA DE FORMACIÓN DEPORTIVA MARACANA</v>
      </c>
      <c r="H37" s="263" t="s">
        <v>175</v>
      </c>
      <c r="I37" s="264" t="str">
        <f t="shared" si="3"/>
        <v>NACIDOS 2012 2013</v>
      </c>
      <c r="J37" s="265"/>
      <c r="S37" s="265"/>
      <c r="T37" s="265"/>
    </row>
    <row r="38" spans="1:20" s="202" customFormat="1" ht="42" customHeight="1" x14ac:dyDescent="0.45">
      <c r="A38" s="263">
        <v>45564</v>
      </c>
      <c r="B38" s="271" t="s">
        <v>180</v>
      </c>
      <c r="C38" s="270">
        <v>0.51388888888888884</v>
      </c>
      <c r="D38" s="267" t="str">
        <f>+K15</f>
        <v xml:space="preserve">  3)  COLEGIO PRINCIPADO DE MONACO</v>
      </c>
      <c r="E38" s="264">
        <f>+'GRUPO C'!G17</f>
        <v>0</v>
      </c>
      <c r="F38" s="264">
        <f>+'GRUPO C'!I17</f>
        <v>0</v>
      </c>
      <c r="G38" s="264" t="str">
        <f>+K25</f>
        <v xml:space="preserve">  3)  ESCUELA DEPORTIVA DE FÚTBOL RAQUIRA</v>
      </c>
      <c r="H38" s="263" t="s">
        <v>176</v>
      </c>
      <c r="I38" s="264" t="str">
        <f t="shared" si="3"/>
        <v>NACIDOS 2012 2013</v>
      </c>
      <c r="J38" s="265"/>
      <c r="S38" s="265"/>
      <c r="T38" s="265"/>
    </row>
    <row r="39" spans="1:20" ht="42" customHeight="1" x14ac:dyDescent="0.45">
      <c r="A39" s="263">
        <v>45564</v>
      </c>
      <c r="B39" s="271" t="s">
        <v>179</v>
      </c>
      <c r="C39" s="270">
        <v>0.51388888888888884</v>
      </c>
      <c r="D39" s="589" t="str">
        <f>+K14</f>
        <v xml:space="preserve">  2)  CENTAUROS DEL ARIARI</v>
      </c>
      <c r="E39" s="589">
        <f>+'GRUPO D'!G38</f>
        <v>0</v>
      </c>
      <c r="F39" s="589">
        <f>+'GRUPO D'!I38</f>
        <v>0</v>
      </c>
      <c r="G39" s="589" t="str">
        <f>+K24</f>
        <v xml:space="preserve">  2)  CORDOBA Y SERRANO F. C.</v>
      </c>
      <c r="H39" s="263" t="s">
        <v>175</v>
      </c>
      <c r="I39" s="264" t="str">
        <f t="shared" si="3"/>
        <v>NACIDOS 2012 2013</v>
      </c>
      <c r="J39" s="19"/>
      <c r="K39" s="19"/>
      <c r="L39" s="19"/>
      <c r="M39" s="19"/>
      <c r="N39" s="19"/>
      <c r="O39" s="265"/>
      <c r="P39" s="265"/>
      <c r="Q39" s="265"/>
      <c r="R39" s="265"/>
      <c r="S39" s="265"/>
      <c r="T39" s="265"/>
    </row>
    <row r="40" spans="1:20" ht="42" customHeight="1" x14ac:dyDescent="0.45">
      <c r="A40" s="263">
        <v>45564</v>
      </c>
      <c r="B40" s="268" t="s">
        <v>156</v>
      </c>
      <c r="C40" s="270">
        <v>0.55555555555555558</v>
      </c>
      <c r="D40" s="264" t="str">
        <f>+K8</f>
        <v xml:space="preserve">  1)  CLUB LOS PAPETICOS</v>
      </c>
      <c r="E40" s="264">
        <f>+'GRUPO A'!G41</f>
        <v>0</v>
      </c>
      <c r="F40" s="264">
        <f>+'GRUPO A'!I41</f>
        <v>0</v>
      </c>
      <c r="G40" s="267" t="str">
        <f>+K18</f>
        <v xml:space="preserve">  1)  GRAMA F. C.</v>
      </c>
      <c r="H40" s="263" t="s">
        <v>177</v>
      </c>
      <c r="I40" s="264" t="str">
        <f t="shared" si="3"/>
        <v>NACIDOS 2012 2013</v>
      </c>
      <c r="J40" s="19"/>
      <c r="K40" s="265"/>
      <c r="L40" s="265"/>
      <c r="M40" s="265"/>
      <c r="N40" s="265"/>
      <c r="O40" s="265"/>
      <c r="P40" s="265"/>
      <c r="Q40" s="265"/>
      <c r="R40" s="265"/>
      <c r="S40" s="265"/>
      <c r="T40" s="265"/>
    </row>
    <row r="41" spans="1:20" ht="42" customHeight="1" x14ac:dyDescent="0.45">
      <c r="A41" s="263">
        <v>45564</v>
      </c>
      <c r="B41" s="269" t="s">
        <v>157</v>
      </c>
      <c r="C41" s="270">
        <v>0.55555555555555558</v>
      </c>
      <c r="D41" s="267" t="str">
        <f>+K13</f>
        <v xml:space="preserve">  1)  CLUB ARIEL ARMEL</v>
      </c>
      <c r="E41" s="264">
        <f>+'GRUPO C'!G41</f>
        <v>0</v>
      </c>
      <c r="F41" s="264">
        <f>+'GRUPO C'!I41</f>
        <v>0</v>
      </c>
      <c r="G41" s="264" t="str">
        <f>+K23</f>
        <v xml:space="preserve">  1)  CLUB CAMPESTRE IBAGUE DOS</v>
      </c>
      <c r="H41" s="263" t="s">
        <v>177</v>
      </c>
      <c r="I41" s="264" t="str">
        <f t="shared" si="3"/>
        <v>NACIDOS 2012 2013</v>
      </c>
      <c r="J41" s="19"/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 ht="6" customHeight="1" x14ac:dyDescent="0.4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30" customHeight="1" x14ac:dyDescent="0.45">
      <c r="A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30" customHeight="1" x14ac:dyDescent="0.3"/>
    <row r="45" spans="1:20" ht="30" customHeight="1" x14ac:dyDescent="0.3"/>
    <row r="46" spans="1:20" ht="30" customHeight="1" x14ac:dyDescent="0.3"/>
    <row r="47" spans="1:20" ht="21" customHeight="1" x14ac:dyDescent="0.3">
      <c r="A47" s="230" t="s">
        <v>105</v>
      </c>
      <c r="B47" s="41"/>
      <c r="C47" s="41"/>
      <c r="D47" s="41"/>
      <c r="E47" s="41"/>
      <c r="F47" s="41"/>
      <c r="G47" s="41"/>
      <c r="H47" s="41"/>
      <c r="I47" s="41"/>
    </row>
    <row r="48" spans="1:20" ht="21" customHeight="1" x14ac:dyDescent="0.3">
      <c r="A48" s="230" t="s">
        <v>106</v>
      </c>
      <c r="B48" s="41"/>
      <c r="C48" s="41"/>
      <c r="D48" s="41"/>
      <c r="E48" s="41"/>
      <c r="F48" s="41"/>
      <c r="G48" s="41"/>
      <c r="H48" s="41"/>
      <c r="I48" s="41"/>
    </row>
    <row r="49" spans="1:1" ht="21" customHeight="1" x14ac:dyDescent="0.3">
      <c r="A49" s="230" t="s">
        <v>107</v>
      </c>
    </row>
    <row r="50" spans="1:1" ht="21" x14ac:dyDescent="0.3">
      <c r="A50" s="230" t="s">
        <v>109</v>
      </c>
    </row>
    <row r="51" spans="1:1" ht="21" x14ac:dyDescent="0.3">
      <c r="A51" s="230" t="s">
        <v>110</v>
      </c>
    </row>
    <row r="52" spans="1:1" ht="21" x14ac:dyDescent="0.3">
      <c r="A52" s="230" t="s">
        <v>108</v>
      </c>
    </row>
  </sheetData>
  <mergeCells count="14">
    <mergeCell ref="B34:I34"/>
    <mergeCell ref="E35:F35"/>
    <mergeCell ref="A1:I1"/>
    <mergeCell ref="A2:I2"/>
    <mergeCell ref="A3:I3"/>
    <mergeCell ref="A4:I4"/>
    <mergeCell ref="A5:I5"/>
    <mergeCell ref="E26:F26"/>
    <mergeCell ref="A6:I6"/>
    <mergeCell ref="E8:F8"/>
    <mergeCell ref="B7:I7"/>
    <mergeCell ref="B25:I25"/>
    <mergeCell ref="B16:I16"/>
    <mergeCell ref="E17:F17"/>
  </mergeCells>
  <printOptions horizontalCentered="1" verticalCentered="1"/>
  <pageMargins left="0.23622047244094491" right="0.23622047244094491" top="0" bottom="0" header="0.31496062992125984" footer="0.31496062992125984"/>
  <pageSetup scale="49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1:I68"/>
  <sheetViews>
    <sheetView topLeftCell="A28" zoomScaleNormal="100" workbookViewId="0">
      <selection activeCell="B1" sqref="B1:J69"/>
    </sheetView>
  </sheetViews>
  <sheetFormatPr baseColWidth="10" defaultColWidth="11.44140625" defaultRowHeight="14.4" x14ac:dyDescent="0.3"/>
  <cols>
    <col min="1" max="1" width="4.5546875" style="3" customWidth="1"/>
    <col min="2" max="2" width="2.21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2.21875" style="3" customWidth="1"/>
    <col min="11" max="11" width="4.44140625" style="3" customWidth="1"/>
    <col min="12" max="16384" width="11.44140625" style="3"/>
  </cols>
  <sheetData>
    <row r="1" spans="3:9" ht="24.6" x14ac:dyDescent="0.3">
      <c r="C1" s="334" t="str">
        <f>+'PRE BABY GRUPOS'!C1:I1</f>
        <v>XVIII Festival Nacional Fútbol Infantil</v>
      </c>
      <c r="D1" s="334"/>
      <c r="E1" s="334"/>
      <c r="F1" s="334"/>
      <c r="G1" s="334"/>
      <c r="H1" s="334"/>
      <c r="I1" s="334"/>
    </row>
    <row r="2" spans="3:9" ht="17.399999999999999" x14ac:dyDescent="0.3">
      <c r="C2" s="505" t="str">
        <f>+'PRE BABY GRUPOS'!C2:I2</f>
        <v>“COPA SOCCER MELGAR”</v>
      </c>
      <c r="D2" s="505"/>
      <c r="E2" s="505"/>
      <c r="F2" s="505"/>
      <c r="G2" s="505"/>
      <c r="H2" s="505"/>
      <c r="I2" s="505"/>
    </row>
    <row r="3" spans="3:9" ht="16.8" customHeight="1" x14ac:dyDescent="0.3">
      <c r="C3" s="505" t="e">
        <f>+_xlfn.SINGLE('PRE BABY GRUPOS'!#REF!)</f>
        <v>#REF!</v>
      </c>
      <c r="D3" s="505"/>
      <c r="E3" s="505"/>
      <c r="F3" s="505"/>
      <c r="G3" s="505"/>
      <c r="H3" s="505"/>
      <c r="I3" s="505"/>
    </row>
    <row r="4" spans="3:9" ht="16.8" customHeight="1" x14ac:dyDescent="0.3">
      <c r="C4" s="505" t="str">
        <f>+'PRE BABY GRUPOS'!C3:I3</f>
        <v>NACIDOS 2012 2013</v>
      </c>
      <c r="D4" s="505"/>
      <c r="E4" s="505"/>
      <c r="F4" s="505"/>
      <c r="G4" s="505"/>
      <c r="H4" s="505"/>
      <c r="I4" s="505"/>
    </row>
    <row r="5" spans="3:9" ht="20.399999999999999" x14ac:dyDescent="0.3">
      <c r="C5" s="562" t="s">
        <v>45</v>
      </c>
      <c r="D5" s="562"/>
      <c r="E5" s="562"/>
      <c r="F5" s="562"/>
      <c r="G5" s="562"/>
      <c r="H5" s="562"/>
      <c r="I5" s="562"/>
    </row>
    <row r="6" spans="3:9" ht="6" customHeight="1" thickBot="1" x14ac:dyDescent="0.35">
      <c r="C6" s="160"/>
      <c r="D6" s="160"/>
      <c r="E6" s="160"/>
      <c r="F6" s="160"/>
      <c r="G6" s="160"/>
      <c r="H6" s="160"/>
      <c r="I6" s="160"/>
    </row>
    <row r="7" spans="3:9" ht="15.6" x14ac:dyDescent="0.3">
      <c r="C7" s="161" t="s">
        <v>0</v>
      </c>
      <c r="D7" s="162"/>
      <c r="E7" s="163" t="s">
        <v>1</v>
      </c>
      <c r="F7" s="164"/>
      <c r="G7" s="165" t="s">
        <v>38</v>
      </c>
      <c r="H7" s="166"/>
      <c r="I7" s="167" t="s">
        <v>39</v>
      </c>
    </row>
    <row r="8" spans="3:9" ht="18" x14ac:dyDescent="0.3">
      <c r="C8" s="119">
        <v>1</v>
      </c>
      <c r="D8" s="168"/>
      <c r="E8" s="119">
        <v>4</v>
      </c>
      <c r="G8" s="119">
        <v>7</v>
      </c>
      <c r="H8" s="36"/>
      <c r="I8" s="119">
        <v>10</v>
      </c>
    </row>
    <row r="9" spans="3:9" ht="18" x14ac:dyDescent="0.3">
      <c r="C9" s="119">
        <v>2</v>
      </c>
      <c r="D9" s="168"/>
      <c r="E9" s="119">
        <v>5</v>
      </c>
      <c r="G9" s="119">
        <v>8</v>
      </c>
      <c r="H9" s="36"/>
      <c r="I9" s="119">
        <v>11</v>
      </c>
    </row>
    <row r="10" spans="3:9" ht="18" x14ac:dyDescent="0.3">
      <c r="C10" s="119">
        <v>3</v>
      </c>
      <c r="D10" s="168"/>
      <c r="E10" s="119">
        <v>6</v>
      </c>
      <c r="G10" s="119">
        <v>9</v>
      </c>
      <c r="H10" s="36"/>
      <c r="I10" s="119">
        <v>12</v>
      </c>
    </row>
    <row r="11" spans="3:9" ht="6.6" customHeight="1" x14ac:dyDescent="0.3">
      <c r="C11" s="229"/>
      <c r="D11" s="229"/>
      <c r="E11" s="229"/>
      <c r="F11" s="229"/>
      <c r="G11" s="229"/>
      <c r="H11" s="229"/>
      <c r="I11" s="229"/>
    </row>
    <row r="12" spans="3:9" ht="20.399999999999999" x14ac:dyDescent="0.3">
      <c r="C12" s="561" t="s">
        <v>146</v>
      </c>
      <c r="D12" s="561"/>
      <c r="E12" s="561"/>
      <c r="F12" s="561"/>
      <c r="G12" s="561"/>
      <c r="H12" s="561"/>
      <c r="I12" s="561"/>
    </row>
    <row r="13" spans="3:9" ht="3.6" customHeight="1" thickBot="1" x14ac:dyDescent="0.4">
      <c r="C13" s="169"/>
      <c r="D13" s="169"/>
      <c r="E13" s="169"/>
      <c r="F13" s="169"/>
      <c r="G13" s="169"/>
      <c r="H13" s="169"/>
      <c r="I13" s="169"/>
    </row>
    <row r="14" spans="3:9" ht="15" thickBot="1" x14ac:dyDescent="0.35">
      <c r="C14" s="502">
        <v>4</v>
      </c>
      <c r="D14" s="502"/>
      <c r="E14" s="502"/>
      <c r="F14" s="171" t="s">
        <v>47</v>
      </c>
      <c r="G14" s="501">
        <v>5</v>
      </c>
      <c r="H14" s="502"/>
      <c r="I14" s="503"/>
    </row>
    <row r="15" spans="3:9" ht="4.2" customHeight="1" thickBot="1" x14ac:dyDescent="0.35">
      <c r="F15" s="172"/>
    </row>
    <row r="16" spans="3:9" ht="15" thickBot="1" x14ac:dyDescent="0.35">
      <c r="C16" s="559">
        <v>3</v>
      </c>
      <c r="D16" s="559"/>
      <c r="E16" s="559"/>
      <c r="F16" s="171" t="s">
        <v>47</v>
      </c>
      <c r="G16" s="558">
        <v>6</v>
      </c>
      <c r="H16" s="559"/>
      <c r="I16" s="560"/>
    </row>
    <row r="18" spans="3:9" ht="15" thickBot="1" x14ac:dyDescent="0.35">
      <c r="C18" s="502">
        <v>7</v>
      </c>
      <c r="D18" s="502"/>
      <c r="E18" s="502"/>
      <c r="F18" s="171" t="s">
        <v>47</v>
      </c>
      <c r="G18" s="501">
        <v>8</v>
      </c>
      <c r="H18" s="502"/>
      <c r="I18" s="503"/>
    </row>
    <row r="19" spans="3:9" ht="4.2" customHeight="1" thickBot="1" x14ac:dyDescent="0.35"/>
    <row r="20" spans="3:9" ht="15" thickBot="1" x14ac:dyDescent="0.35">
      <c r="C20" s="559">
        <v>9</v>
      </c>
      <c r="D20" s="559"/>
      <c r="E20" s="559"/>
      <c r="F20" s="171" t="s">
        <v>47</v>
      </c>
      <c r="G20" s="558">
        <v>12</v>
      </c>
      <c r="H20" s="559"/>
      <c r="I20" s="560"/>
    </row>
    <row r="21" spans="3:9" ht="4.2" customHeight="1" thickBot="1" x14ac:dyDescent="0.35">
      <c r="C21" s="214"/>
      <c r="D21" s="214"/>
      <c r="E21" s="214"/>
      <c r="F21" s="215"/>
      <c r="G21" s="214"/>
      <c r="H21" s="214"/>
      <c r="I21" s="214"/>
    </row>
    <row r="22" spans="3:9" ht="15" thickBot="1" x14ac:dyDescent="0.35">
      <c r="C22" s="502">
        <v>1</v>
      </c>
      <c r="D22" s="502"/>
      <c r="E22" s="502"/>
      <c r="F22" s="171" t="s">
        <v>47</v>
      </c>
      <c r="G22" s="501">
        <v>2</v>
      </c>
      <c r="H22" s="502"/>
      <c r="I22" s="503"/>
    </row>
    <row r="23" spans="3:9" ht="4.2" customHeight="1" thickBot="1" x14ac:dyDescent="0.35">
      <c r="F23" s="172"/>
    </row>
    <row r="24" spans="3:9" ht="15" thickBot="1" x14ac:dyDescent="0.35">
      <c r="C24" s="502">
        <v>10</v>
      </c>
      <c r="D24" s="502"/>
      <c r="E24" s="502"/>
      <c r="F24" s="171" t="s">
        <v>47</v>
      </c>
      <c r="G24" s="501">
        <v>11</v>
      </c>
      <c r="H24" s="502"/>
      <c r="I24" s="503"/>
    </row>
    <row r="25" spans="3:9" ht="7.2" customHeight="1" x14ac:dyDescent="0.3"/>
    <row r="26" spans="3:9" ht="20.399999999999999" customHeight="1" x14ac:dyDescent="0.3">
      <c r="C26" s="561" t="s">
        <v>147</v>
      </c>
      <c r="D26" s="561"/>
      <c r="E26" s="561"/>
      <c r="F26" s="561"/>
      <c r="G26" s="561"/>
      <c r="H26" s="561"/>
      <c r="I26" s="561"/>
    </row>
    <row r="27" spans="3:9" ht="3.6" customHeight="1" thickBot="1" x14ac:dyDescent="0.4">
      <c r="C27" s="169"/>
      <c r="D27" s="169"/>
      <c r="E27" s="169"/>
      <c r="F27" s="169"/>
      <c r="G27" s="169"/>
      <c r="H27" s="169"/>
      <c r="I27" s="169"/>
    </row>
    <row r="28" spans="3:9" ht="15" customHeight="1" thickBot="1" x14ac:dyDescent="0.35">
      <c r="C28" s="501">
        <v>4</v>
      </c>
      <c r="D28" s="502"/>
      <c r="E28" s="503"/>
      <c r="F28" s="171" t="s">
        <v>47</v>
      </c>
      <c r="G28" s="501">
        <v>6</v>
      </c>
      <c r="H28" s="502"/>
      <c r="I28" s="503"/>
    </row>
    <row r="29" spans="3:9" ht="4.2" customHeight="1" thickBot="1" x14ac:dyDescent="0.35">
      <c r="F29" s="172"/>
    </row>
    <row r="30" spans="3:9" ht="15" customHeight="1" thickBot="1" x14ac:dyDescent="0.35">
      <c r="C30" s="501">
        <v>7</v>
      </c>
      <c r="D30" s="502"/>
      <c r="E30" s="503"/>
      <c r="F30" s="171" t="s">
        <v>47</v>
      </c>
      <c r="G30" s="501">
        <v>9</v>
      </c>
      <c r="H30" s="502"/>
      <c r="I30" s="503"/>
    </row>
    <row r="31" spans="3:9" ht="4.2" customHeight="1" thickBot="1" x14ac:dyDescent="0.35"/>
    <row r="32" spans="3:9" ht="15" customHeight="1" thickBot="1" x14ac:dyDescent="0.35">
      <c r="C32" s="501">
        <v>10</v>
      </c>
      <c r="D32" s="502"/>
      <c r="E32" s="503"/>
      <c r="F32" s="171" t="s">
        <v>47</v>
      </c>
      <c r="G32" s="501">
        <v>12</v>
      </c>
      <c r="H32" s="502"/>
      <c r="I32" s="503"/>
    </row>
    <row r="34" spans="3:9" ht="15" customHeight="1" thickBot="1" x14ac:dyDescent="0.35">
      <c r="C34" s="558">
        <v>2</v>
      </c>
      <c r="D34" s="559"/>
      <c r="E34" s="560"/>
      <c r="F34" s="171" t="s">
        <v>47</v>
      </c>
      <c r="G34" s="558">
        <v>5</v>
      </c>
      <c r="H34" s="559"/>
      <c r="I34" s="560"/>
    </row>
    <row r="35" spans="3:9" ht="4.2" customHeight="1" thickBot="1" x14ac:dyDescent="0.35">
      <c r="C35" s="214"/>
      <c r="D35" s="214"/>
      <c r="E35" s="214"/>
      <c r="F35" s="215"/>
      <c r="G35" s="214"/>
      <c r="H35" s="214"/>
      <c r="I35" s="214"/>
    </row>
    <row r="36" spans="3:9" ht="15" customHeight="1" thickBot="1" x14ac:dyDescent="0.35">
      <c r="C36" s="501">
        <v>1</v>
      </c>
      <c r="D36" s="502"/>
      <c r="E36" s="503"/>
      <c r="F36" s="171" t="s">
        <v>47</v>
      </c>
      <c r="G36" s="501">
        <v>3</v>
      </c>
      <c r="H36" s="502"/>
      <c r="I36" s="503"/>
    </row>
    <row r="37" spans="3:9" ht="4.2" customHeight="1" thickBot="1" x14ac:dyDescent="0.35">
      <c r="F37" s="172"/>
    </row>
    <row r="38" spans="3:9" ht="15" thickBot="1" x14ac:dyDescent="0.35">
      <c r="C38" s="558">
        <v>8</v>
      </c>
      <c r="D38" s="559"/>
      <c r="E38" s="560"/>
      <c r="F38" s="171" t="s">
        <v>47</v>
      </c>
      <c r="G38" s="558">
        <v>11</v>
      </c>
      <c r="H38" s="559"/>
      <c r="I38" s="560"/>
    </row>
    <row r="39" spans="3:9" ht="3" customHeight="1" x14ac:dyDescent="0.3"/>
    <row r="40" spans="3:9" ht="20.399999999999999" x14ac:dyDescent="0.3">
      <c r="C40" s="561" t="s">
        <v>148</v>
      </c>
      <c r="D40" s="561"/>
      <c r="E40" s="561"/>
      <c r="F40" s="561"/>
      <c r="G40" s="561"/>
      <c r="H40" s="561"/>
      <c r="I40" s="561"/>
    </row>
    <row r="41" spans="3:9" ht="3" customHeight="1" thickBot="1" x14ac:dyDescent="0.4">
      <c r="C41" s="169"/>
      <c r="D41" s="169"/>
      <c r="E41" s="169"/>
      <c r="F41" s="169"/>
      <c r="G41" s="169"/>
      <c r="H41" s="169"/>
      <c r="I41" s="169"/>
    </row>
    <row r="42" spans="3:9" ht="15" thickBot="1" x14ac:dyDescent="0.35">
      <c r="C42" s="558">
        <v>1</v>
      </c>
      <c r="D42" s="559"/>
      <c r="E42" s="560"/>
      <c r="F42" s="171" t="s">
        <v>47</v>
      </c>
      <c r="G42" s="558">
        <v>4</v>
      </c>
      <c r="H42" s="559"/>
      <c r="I42" s="560"/>
    </row>
    <row r="43" spans="3:9" ht="3" customHeight="1" thickBot="1" x14ac:dyDescent="0.35">
      <c r="F43" s="172"/>
    </row>
    <row r="44" spans="3:9" ht="15" thickBot="1" x14ac:dyDescent="0.35">
      <c r="C44" s="501">
        <v>2</v>
      </c>
      <c r="D44" s="502"/>
      <c r="E44" s="503"/>
      <c r="F44" s="171" t="s">
        <v>47</v>
      </c>
      <c r="G44" s="501">
        <v>3</v>
      </c>
      <c r="H44" s="502"/>
      <c r="I44" s="503"/>
    </row>
    <row r="45" spans="3:9" ht="3.75" customHeight="1" thickBot="1" x14ac:dyDescent="0.35"/>
    <row r="46" spans="3:9" ht="15" thickBot="1" x14ac:dyDescent="0.35">
      <c r="C46" s="501">
        <v>5</v>
      </c>
      <c r="D46" s="502"/>
      <c r="E46" s="503"/>
      <c r="F46" s="171" t="s">
        <v>47</v>
      </c>
      <c r="G46" s="501">
        <v>6</v>
      </c>
      <c r="H46" s="502"/>
      <c r="I46" s="503"/>
    </row>
    <row r="47" spans="3:9" ht="3" customHeight="1" thickBot="1" x14ac:dyDescent="0.35"/>
    <row r="48" spans="3:9" ht="15" thickBot="1" x14ac:dyDescent="0.35">
      <c r="C48" s="501">
        <v>8</v>
      </c>
      <c r="D48" s="502"/>
      <c r="E48" s="503"/>
      <c r="F48" s="171" t="s">
        <v>47</v>
      </c>
      <c r="G48" s="501">
        <v>9</v>
      </c>
      <c r="H48" s="502"/>
      <c r="I48" s="503"/>
    </row>
    <row r="50" spans="3:9" ht="17.399999999999999" customHeight="1" thickBot="1" x14ac:dyDescent="0.35">
      <c r="C50" s="501">
        <v>11</v>
      </c>
      <c r="D50" s="502"/>
      <c r="E50" s="503"/>
      <c r="F50" s="171" t="s">
        <v>47</v>
      </c>
      <c r="G50" s="501">
        <v>12</v>
      </c>
      <c r="H50" s="502"/>
      <c r="I50" s="503"/>
    </row>
    <row r="51" spans="3:9" ht="3" customHeight="1" thickBot="1" x14ac:dyDescent="0.35">
      <c r="F51" s="172"/>
    </row>
    <row r="52" spans="3:9" ht="15" thickBot="1" x14ac:dyDescent="0.35">
      <c r="C52" s="558">
        <v>7</v>
      </c>
      <c r="D52" s="559"/>
      <c r="E52" s="560"/>
      <c r="F52" s="171" t="s">
        <v>47</v>
      </c>
      <c r="G52" s="558">
        <v>10</v>
      </c>
      <c r="H52" s="559"/>
      <c r="I52" s="560"/>
    </row>
    <row r="53" spans="3:9" ht="3" customHeight="1" thickBot="1" x14ac:dyDescent="0.35"/>
    <row r="54" spans="3:9" ht="16.95" customHeight="1" thickBot="1" x14ac:dyDescent="0.35">
      <c r="C54" s="558" t="s">
        <v>149</v>
      </c>
      <c r="D54" s="559"/>
      <c r="E54" s="559"/>
      <c r="F54" s="559"/>
      <c r="G54" s="559"/>
      <c r="H54" s="559"/>
      <c r="I54" s="560"/>
    </row>
    <row r="55" spans="3:9" ht="3" customHeight="1" x14ac:dyDescent="0.3"/>
    <row r="56" spans="3:9" ht="20.399999999999999" x14ac:dyDescent="0.3">
      <c r="C56" s="561" t="s">
        <v>119</v>
      </c>
      <c r="D56" s="561"/>
      <c r="E56" s="561"/>
      <c r="F56" s="561"/>
      <c r="G56" s="561"/>
      <c r="H56" s="561"/>
      <c r="I56" s="561"/>
    </row>
    <row r="57" spans="3:9" ht="3" customHeight="1" thickBot="1" x14ac:dyDescent="0.4">
      <c r="C57" s="169"/>
      <c r="D57" s="169"/>
      <c r="E57" s="169"/>
      <c r="F57" s="169"/>
      <c r="G57" s="169"/>
      <c r="H57" s="169"/>
      <c r="I57" s="169"/>
    </row>
    <row r="58" spans="3:9" ht="15" thickBot="1" x14ac:dyDescent="0.35">
      <c r="C58" s="501" t="s">
        <v>124</v>
      </c>
      <c r="D58" s="502"/>
      <c r="E58" s="503"/>
      <c r="F58" s="171" t="s">
        <v>47</v>
      </c>
      <c r="G58" s="563" t="s">
        <v>120</v>
      </c>
      <c r="H58" s="564"/>
      <c r="I58" s="565"/>
    </row>
    <row r="59" spans="3:9" ht="3" customHeight="1" thickBot="1" x14ac:dyDescent="0.35">
      <c r="F59" s="172"/>
    </row>
    <row r="60" spans="3:9" ht="15" thickBot="1" x14ac:dyDescent="0.35">
      <c r="C60" s="501" t="s">
        <v>123</v>
      </c>
      <c r="D60" s="502"/>
      <c r="E60" s="503"/>
      <c r="F60" s="171" t="s">
        <v>47</v>
      </c>
      <c r="G60" s="563" t="s">
        <v>125</v>
      </c>
      <c r="H60" s="564"/>
      <c r="I60" s="565"/>
    </row>
    <row r="61" spans="3:9" ht="3" customHeight="1" thickBot="1" x14ac:dyDescent="0.35"/>
    <row r="62" spans="3:9" ht="15" thickBot="1" x14ac:dyDescent="0.35">
      <c r="C62" s="501" t="s">
        <v>79</v>
      </c>
      <c r="D62" s="502"/>
      <c r="E62" s="503"/>
      <c r="F62" s="171" t="s">
        <v>47</v>
      </c>
      <c r="G62" s="563" t="s">
        <v>81</v>
      </c>
      <c r="H62" s="564"/>
      <c r="I62" s="565"/>
    </row>
    <row r="63" spans="3:9" ht="3" customHeight="1" thickBot="1" x14ac:dyDescent="0.35"/>
    <row r="64" spans="3:9" ht="15" thickBot="1" x14ac:dyDescent="0.35">
      <c r="C64" s="563" t="s">
        <v>127</v>
      </c>
      <c r="D64" s="564"/>
      <c r="E64" s="565"/>
      <c r="F64" s="171" t="s">
        <v>47</v>
      </c>
      <c r="G64" s="501" t="s">
        <v>121</v>
      </c>
      <c r="H64" s="502"/>
      <c r="I64" s="503"/>
    </row>
    <row r="66" spans="3:9" ht="15" thickBot="1" x14ac:dyDescent="0.35">
      <c r="C66" s="563" t="s">
        <v>126</v>
      </c>
      <c r="D66" s="564"/>
      <c r="E66" s="565"/>
      <c r="F66" s="171" t="s">
        <v>47</v>
      </c>
      <c r="G66" s="501" t="s">
        <v>128</v>
      </c>
      <c r="H66" s="502"/>
      <c r="I66" s="503"/>
    </row>
    <row r="67" spans="3:9" ht="3" customHeight="1" thickBot="1" x14ac:dyDescent="0.35">
      <c r="F67" s="172"/>
    </row>
    <row r="68" spans="3:9" ht="15" thickBot="1" x14ac:dyDescent="0.35">
      <c r="C68" s="563" t="s">
        <v>80</v>
      </c>
      <c r="D68" s="564"/>
      <c r="E68" s="565"/>
      <c r="F68" s="171" t="s">
        <v>47</v>
      </c>
      <c r="G68" s="501" t="s">
        <v>82</v>
      </c>
      <c r="H68" s="502"/>
      <c r="I68" s="503"/>
    </row>
  </sheetData>
  <mergeCells count="58">
    <mergeCell ref="G68:I68"/>
    <mergeCell ref="C3:I3"/>
    <mergeCell ref="C4:I4"/>
    <mergeCell ref="C56:I56"/>
    <mergeCell ref="C58:E58"/>
    <mergeCell ref="G58:I58"/>
    <mergeCell ref="C60:E60"/>
    <mergeCell ref="G60:I60"/>
    <mergeCell ref="C62:E62"/>
    <mergeCell ref="G62:I62"/>
    <mergeCell ref="C64:E64"/>
    <mergeCell ref="G64:I64"/>
    <mergeCell ref="C66:E66"/>
    <mergeCell ref="G66:I66"/>
    <mergeCell ref="C68:E68"/>
    <mergeCell ref="C50:E50"/>
    <mergeCell ref="C40:I40"/>
    <mergeCell ref="C42:E42"/>
    <mergeCell ref="G42:I42"/>
    <mergeCell ref="C44:E44"/>
    <mergeCell ref="G44:I44"/>
    <mergeCell ref="C22:E22"/>
    <mergeCell ref="G22:I22"/>
    <mergeCell ref="C24:E24"/>
    <mergeCell ref="G24:I24"/>
    <mergeCell ref="C1:I1"/>
    <mergeCell ref="C2:I2"/>
    <mergeCell ref="C5:I5"/>
    <mergeCell ref="C14:E14"/>
    <mergeCell ref="G14:I14"/>
    <mergeCell ref="C12:I12"/>
    <mergeCell ref="C16:E16"/>
    <mergeCell ref="G16:I16"/>
    <mergeCell ref="C18:E18"/>
    <mergeCell ref="G18:I18"/>
    <mergeCell ref="C20:E20"/>
    <mergeCell ref="G20:I20"/>
    <mergeCell ref="C38:E38"/>
    <mergeCell ref="G38:I38"/>
    <mergeCell ref="C26:I26"/>
    <mergeCell ref="C30:E30"/>
    <mergeCell ref="G30:I30"/>
    <mergeCell ref="C32:E32"/>
    <mergeCell ref="G32:I32"/>
    <mergeCell ref="C28:E28"/>
    <mergeCell ref="G28:I28"/>
    <mergeCell ref="C34:E34"/>
    <mergeCell ref="G34:I34"/>
    <mergeCell ref="C36:E36"/>
    <mergeCell ref="G36:I36"/>
    <mergeCell ref="C52:E52"/>
    <mergeCell ref="G52:I52"/>
    <mergeCell ref="C54:I54"/>
    <mergeCell ref="C46:E46"/>
    <mergeCell ref="G46:I46"/>
    <mergeCell ref="C48:E48"/>
    <mergeCell ref="G50:I50"/>
    <mergeCell ref="G48:I48"/>
  </mergeCells>
  <hyperlinks>
    <hyperlink ref="G7" location="'GRUPO B'!A1" display="GRUPO B" xr:uid="{00000000-0004-0000-1500-000000000000}"/>
    <hyperlink ref="E7" location="'GRUPO B'!A1" display="GRUPO B" xr:uid="{00000000-0004-0000-1500-000001000000}"/>
    <hyperlink ref="C7" location="'GRUPO B'!A1" display="GRUPO B" xr:uid="{00000000-0004-0000-1500-000002000000}"/>
    <hyperlink ref="I7" location="'GRUPO B'!A1" display="GRUPO B" xr:uid="{00000000-0004-0000-1500-000003000000}"/>
  </hyperlink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W52"/>
  <sheetViews>
    <sheetView topLeftCell="A3" zoomScale="80" zoomScaleNormal="80" workbookViewId="0">
      <selection sqref="A1:I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33203125" style="3" bestFit="1" customWidth="1"/>
    <col min="9" max="9" width="13.44140625" style="3" customWidth="1"/>
    <col min="10" max="10" width="0.6640625" style="3" customWidth="1"/>
    <col min="11" max="11" width="30.5546875" style="3" customWidth="1"/>
    <col min="12" max="12" width="4.33203125" style="3" bestFit="1" customWidth="1"/>
    <col min="13" max="13" width="5" style="3" customWidth="1"/>
    <col min="14" max="14" width="5" style="3" bestFit="1" customWidth="1"/>
    <col min="15" max="20" width="5" style="3" customWidth="1"/>
    <col min="21" max="21" width="3.5546875" style="3" customWidth="1"/>
    <col min="22" max="16384" width="11.44140625" style="3"/>
  </cols>
  <sheetData>
    <row r="1" spans="1:20" ht="30" x14ac:dyDescent="0.45">
      <c r="A1" s="566" t="str">
        <f>+'PRE BABY GRUPOS'!C1</f>
        <v>XVIII Festival Nacional Fútbol Infantil</v>
      </c>
      <c r="B1" s="566"/>
      <c r="C1" s="566"/>
      <c r="D1" s="566"/>
      <c r="E1" s="566"/>
      <c r="F1" s="566"/>
      <c r="G1" s="566"/>
      <c r="H1" s="566"/>
      <c r="I1" s="566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</row>
    <row r="2" spans="1:20" ht="31.2" x14ac:dyDescent="0.55000000000000004">
      <c r="A2" s="548" t="str">
        <f>+'PRE BABY GRUPOS'!C2</f>
        <v>“COPA SOCCER MELGAR”</v>
      </c>
      <c r="B2" s="548"/>
      <c r="C2" s="548"/>
      <c r="D2" s="548"/>
      <c r="E2" s="548"/>
      <c r="F2" s="548"/>
      <c r="G2" s="548"/>
      <c r="H2" s="548"/>
      <c r="I2" s="54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</row>
    <row r="3" spans="1:20" ht="28.8" x14ac:dyDescent="0.55000000000000004">
      <c r="A3" s="567" t="e">
        <f>+'PRE BABY GRUPOS'!#REF!</f>
        <v>#REF!</v>
      </c>
      <c r="B3" s="567"/>
      <c r="C3" s="567"/>
      <c r="D3" s="567"/>
      <c r="E3" s="567"/>
      <c r="F3" s="567"/>
      <c r="G3" s="567"/>
      <c r="H3" s="567"/>
      <c r="I3" s="567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</row>
    <row r="4" spans="1:20" ht="21" x14ac:dyDescent="0.4">
      <c r="A4" s="551" t="str">
        <f>+'PRE BABY GRUPOS'!C3</f>
        <v>NACIDOS 2012 2013</v>
      </c>
      <c r="B4" s="551"/>
      <c r="C4" s="551"/>
      <c r="D4" s="551"/>
      <c r="E4" s="551"/>
      <c r="F4" s="551"/>
      <c r="G4" s="551"/>
      <c r="H4" s="551"/>
      <c r="I4" s="551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</row>
    <row r="5" spans="1:20" ht="21" x14ac:dyDescent="0.4">
      <c r="A5" s="551"/>
      <c r="B5" s="551"/>
      <c r="C5" s="551"/>
      <c r="D5" s="551"/>
      <c r="E5" s="551"/>
      <c r="F5" s="551"/>
      <c r="G5" s="551"/>
      <c r="H5" s="551"/>
      <c r="I5" s="551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</row>
    <row r="6" spans="1:20" ht="21" x14ac:dyDescent="0.4">
      <c r="A6" s="552" t="s">
        <v>73</v>
      </c>
      <c r="B6" s="552"/>
      <c r="C6" s="552"/>
      <c r="D6" s="552"/>
      <c r="E6" s="552"/>
      <c r="F6" s="552"/>
      <c r="G6" s="552"/>
      <c r="H6" s="552"/>
      <c r="I6" s="552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</row>
    <row r="7" spans="1:20" ht="30" customHeight="1" x14ac:dyDescent="0.3">
      <c r="A7"/>
      <c r="B7" s="568" t="s">
        <v>85</v>
      </c>
      <c r="C7" s="568"/>
      <c r="D7" s="568"/>
      <c r="E7" s="568"/>
      <c r="F7" s="568"/>
      <c r="G7" s="568"/>
      <c r="H7" s="568"/>
      <c r="I7" s="568"/>
      <c r="K7" s="178" t="str">
        <f>+'GRUPO A'!B4</f>
        <v>GRUPO A</v>
      </c>
      <c r="L7" s="178" t="str">
        <f>+'GRUPO A'!Q8</f>
        <v>Pts.</v>
      </c>
      <c r="M7" s="178" t="str">
        <f>+'GRUPO A'!R8</f>
        <v>PJ</v>
      </c>
      <c r="N7" s="178" t="str">
        <f>+'GRUPO A'!S8</f>
        <v>Gan.</v>
      </c>
      <c r="O7" s="178" t="str">
        <f>+'GRUPO A'!T8</f>
        <v>Emp.</v>
      </c>
      <c r="P7" s="178" t="str">
        <f>+'GRUPO A'!U8</f>
        <v>Per.</v>
      </c>
      <c r="Q7" s="178" t="str">
        <f>+'GRUPO A'!V8</f>
        <v>GF</v>
      </c>
      <c r="R7" s="178" t="str">
        <f>+'GRUPO A'!W8</f>
        <v>GC</v>
      </c>
      <c r="S7" s="178" t="str">
        <f>+'GRUPO A'!X8</f>
        <v>Dif.</v>
      </c>
      <c r="T7" s="178" t="str">
        <f>+'GRUPO A'!Y8</f>
        <v>Tj</v>
      </c>
    </row>
    <row r="8" spans="1:20" ht="30.6" customHeight="1" x14ac:dyDescent="0.3">
      <c r="B8" s="184" t="s">
        <v>68</v>
      </c>
      <c r="C8" s="184" t="s">
        <v>69</v>
      </c>
      <c r="D8" s="184" t="s">
        <v>70</v>
      </c>
      <c r="E8" s="516" t="s">
        <v>71</v>
      </c>
      <c r="F8" s="516"/>
      <c r="G8" s="184" t="s">
        <v>70</v>
      </c>
      <c r="H8" s="184" t="s">
        <v>72</v>
      </c>
      <c r="I8" s="184" t="s">
        <v>89</v>
      </c>
      <c r="K8" s="231" t="str">
        <f>+'GRUPO A'!P10</f>
        <v xml:space="preserve">  1)  CLUB LOS PAPETICOS</v>
      </c>
      <c r="L8" s="232">
        <f>+'GRUPO A'!Q10</f>
        <v>7</v>
      </c>
      <c r="M8" s="232">
        <f>+'GRUPO A'!R10</f>
        <v>3</v>
      </c>
      <c r="N8" s="232">
        <f>+'GRUPO A'!S10</f>
        <v>2</v>
      </c>
      <c r="O8" s="232">
        <f>+'GRUPO A'!T10</f>
        <v>1</v>
      </c>
      <c r="P8" s="232">
        <f>+'GRUPO A'!U10</f>
        <v>0</v>
      </c>
      <c r="Q8" s="232">
        <f>+'GRUPO A'!V10</f>
        <v>10</v>
      </c>
      <c r="R8" s="232">
        <f>+'GRUPO A'!W10</f>
        <v>5</v>
      </c>
      <c r="S8" s="232">
        <f>+'GRUPO A'!X10</f>
        <v>8</v>
      </c>
      <c r="T8" s="232">
        <f>+'GRUPO A'!Y10</f>
        <v>0</v>
      </c>
    </row>
    <row r="9" spans="1:20" s="202" customFormat="1" ht="30" customHeight="1" x14ac:dyDescent="0.3">
      <c r="A9" s="216">
        <v>43680</v>
      </c>
      <c r="B9" s="217" t="s">
        <v>130</v>
      </c>
      <c r="C9" s="217" t="s">
        <v>150</v>
      </c>
      <c r="D9" s="217" t="str">
        <f>+'GRUPO B'!E17</f>
        <v>COLEGIO PRINCIPADO DE MONACO</v>
      </c>
      <c r="E9" s="217">
        <f>+'GRUPO B'!G17</f>
        <v>4</v>
      </c>
      <c r="F9" s="217">
        <f>+'GRUPO B'!I17</f>
        <v>4</v>
      </c>
      <c r="G9" s="217" t="str">
        <f>+'GRUPO B'!K17</f>
        <v>CLUB ARIEL ARMEL</v>
      </c>
      <c r="H9" s="217" t="str">
        <f>+'GRUPO B'!B4</f>
        <v>GRUPO B</v>
      </c>
      <c r="I9" s="217" t="e">
        <f>+A3</f>
        <v>#REF!</v>
      </c>
      <c r="K9" s="231" t="str">
        <f>+'GRUPO A'!P12</f>
        <v xml:space="preserve">  2)  COLEGIO NEIL ARMSTRONG</v>
      </c>
      <c r="L9" s="217">
        <f>+'GRUPO A'!Q12</f>
        <v>7</v>
      </c>
      <c r="M9" s="217">
        <f>+'GRUPO A'!R12</f>
        <v>3</v>
      </c>
      <c r="N9" s="217">
        <f>+'GRUPO A'!S12</f>
        <v>2</v>
      </c>
      <c r="O9" s="217">
        <f>+'GRUPO A'!T12</f>
        <v>1</v>
      </c>
      <c r="P9" s="217">
        <f>+'GRUPO A'!U12</f>
        <v>0</v>
      </c>
      <c r="Q9" s="217">
        <f>+'GRUPO A'!V12</f>
        <v>9</v>
      </c>
      <c r="R9" s="217">
        <f>+'GRUPO A'!W12</f>
        <v>4</v>
      </c>
      <c r="S9" s="217">
        <f>+'GRUPO A'!X12</f>
        <v>5</v>
      </c>
      <c r="T9" s="217">
        <f>+'GRUPO A'!Y12</f>
        <v>0</v>
      </c>
    </row>
    <row r="10" spans="1:20" s="202" customFormat="1" ht="30" customHeight="1" x14ac:dyDescent="0.3">
      <c r="A10" s="216">
        <v>43680</v>
      </c>
      <c r="B10" s="217" t="s">
        <v>131</v>
      </c>
      <c r="C10" s="217" t="s">
        <v>151</v>
      </c>
      <c r="D10" s="217" t="str">
        <f>+'GRUPO A'!E14</f>
        <v>CLUB CAMPESTRE IBAGUE UNO</v>
      </c>
      <c r="E10" s="217">
        <f>+'GRUPO A'!G14</f>
        <v>3</v>
      </c>
      <c r="F10" s="217">
        <f>+'GRUPO A'!I14</f>
        <v>0</v>
      </c>
      <c r="G10" s="217" t="str">
        <f>+'GRUPO A'!K14</f>
        <v>CENTAUROS DEL ARIARI</v>
      </c>
      <c r="H10" s="217" t="s">
        <v>83</v>
      </c>
      <c r="I10" s="217" t="e">
        <f>+A3</f>
        <v>#REF!</v>
      </c>
      <c r="K10" s="231" t="str">
        <f>+'GRUPO A'!P14</f>
        <v xml:space="preserve">  3)  CLUB CAMPESTRE IBAGUE UNO</v>
      </c>
      <c r="L10" s="217">
        <f>+'GRUPO A'!Q14</f>
        <v>3</v>
      </c>
      <c r="M10" s="217">
        <f>+'GRUPO A'!R14</f>
        <v>3</v>
      </c>
      <c r="N10" s="217">
        <f>+'GRUPO A'!S14</f>
        <v>1</v>
      </c>
      <c r="O10" s="217">
        <f>+'GRUPO A'!T14</f>
        <v>0</v>
      </c>
      <c r="P10" s="217">
        <f>+'GRUPO A'!U14</f>
        <v>2</v>
      </c>
      <c r="Q10" s="217">
        <f>+'GRUPO A'!V14</f>
        <v>3</v>
      </c>
      <c r="R10" s="217">
        <f>+'GRUPO A'!W14</f>
        <v>13</v>
      </c>
      <c r="S10" s="217">
        <f>+'GRUPO A'!X14</f>
        <v>-10</v>
      </c>
      <c r="T10" s="217">
        <f>+'GRUPO A'!Y14</f>
        <v>0</v>
      </c>
    </row>
    <row r="11" spans="1:20" s="202" customFormat="1" ht="30" customHeight="1" x14ac:dyDescent="0.3">
      <c r="A11" s="216">
        <v>43680</v>
      </c>
      <c r="B11" s="217" t="s">
        <v>130</v>
      </c>
      <c r="C11" s="217" t="s">
        <v>142</v>
      </c>
      <c r="D11" s="217" t="str">
        <f>+'GRUPO C'!E26</f>
        <v>GRAMA F. C.</v>
      </c>
      <c r="E11" s="217">
        <f>+'GRUPO C'!G26</f>
        <v>5</v>
      </c>
      <c r="F11" s="217">
        <f>+'GRUPO C'!I26</f>
        <v>1</v>
      </c>
      <c r="G11" s="217" t="str">
        <f>+'GRUPO C'!K26</f>
        <v>NOVATOS F. C.</v>
      </c>
      <c r="H11" s="216" t="str">
        <f>+'GRUPO C'!B4</f>
        <v>GRUPO C</v>
      </c>
      <c r="I11" s="217" t="e">
        <f>+A3</f>
        <v>#REF!</v>
      </c>
    </row>
    <row r="12" spans="1:20" s="202" customFormat="1" ht="30" customHeight="1" x14ac:dyDescent="0.3">
      <c r="A12" s="216">
        <v>43680</v>
      </c>
      <c r="B12" s="217" t="s">
        <v>131</v>
      </c>
      <c r="C12" s="217" t="s">
        <v>152</v>
      </c>
      <c r="D12" s="217" t="str">
        <f>+'GRUPO C'!E14</f>
        <v>ESCUELA DE FORMACIÓN DEPORTIVA MARACANA</v>
      </c>
      <c r="E12" s="217">
        <f>+'GRUPO C'!G14</f>
        <v>3</v>
      </c>
      <c r="F12" s="217">
        <f>+'GRUPO C'!I14</f>
        <v>3</v>
      </c>
      <c r="G12" s="217" t="str">
        <f>+'GRUPO C'!K14</f>
        <v>CORDOBA Y SERRANO F. C.</v>
      </c>
      <c r="H12" s="217" t="s">
        <v>83</v>
      </c>
      <c r="I12" s="217" t="e">
        <f>+A3</f>
        <v>#REF!</v>
      </c>
      <c r="K12" s="203" t="str">
        <f>+'GRUPO B'!B4</f>
        <v>GRUPO B</v>
      </c>
      <c r="L12" s="203" t="str">
        <f>+'GRUPO B'!Q8</f>
        <v>Pts.</v>
      </c>
      <c r="M12" s="203" t="str">
        <f>+'GRUPO B'!R8</f>
        <v>PJ</v>
      </c>
      <c r="N12" s="203" t="str">
        <f>+'GRUPO B'!S8</f>
        <v>Gan.</v>
      </c>
      <c r="O12" s="203" t="str">
        <f>+'GRUPO B'!T8</f>
        <v>Emp.</v>
      </c>
      <c r="P12" s="203" t="str">
        <f>+'GRUPO B'!U8</f>
        <v>Per.</v>
      </c>
      <c r="Q12" s="203" t="str">
        <f>+'GRUPO B'!V8</f>
        <v>GF</v>
      </c>
      <c r="R12" s="203" t="str">
        <f>+'GRUPO B'!W8</f>
        <v>GC</v>
      </c>
      <c r="S12" s="203" t="str">
        <f>+'GRUPO B'!X8</f>
        <v>Dif.</v>
      </c>
      <c r="T12" s="203" t="str">
        <f>+'GRUPO B'!Y8</f>
        <v>Tj</v>
      </c>
    </row>
    <row r="13" spans="1:20" s="202" customFormat="1" ht="30" customHeight="1" x14ac:dyDescent="0.3">
      <c r="A13" s="216">
        <v>43680</v>
      </c>
      <c r="B13" s="217" t="s">
        <v>130</v>
      </c>
      <c r="C13" s="217" t="s">
        <v>153</v>
      </c>
      <c r="D13" s="217" t="str">
        <f>+'GRUPO A'!E17</f>
        <v>COLEGIO NEIL ARMSTRONG</v>
      </c>
      <c r="E13" s="217">
        <f>+'GRUPO A'!G17</f>
        <v>1</v>
      </c>
      <c r="F13" s="217">
        <f>+'GRUPO A'!I17</f>
        <v>1</v>
      </c>
      <c r="G13" s="217" t="str">
        <f>+'GRUPO A'!K17</f>
        <v>CLUB LOS PAPETICOS</v>
      </c>
      <c r="H13" s="217" t="str">
        <f>+'GRUPO A'!B4</f>
        <v>GRUPO A</v>
      </c>
      <c r="I13" s="217" t="e">
        <f>+A3</f>
        <v>#REF!</v>
      </c>
      <c r="K13" s="231" t="str">
        <f>+'GRUPO B'!P10</f>
        <v xml:space="preserve">  1)  CLUB ARIEL ARMEL</v>
      </c>
      <c r="L13" s="217">
        <f>+'GRUPO B'!Q10</f>
        <v>4</v>
      </c>
      <c r="M13" s="217">
        <f>+'GRUPO B'!R10</f>
        <v>3</v>
      </c>
      <c r="N13" s="217">
        <f>+'GRUPO B'!S10</f>
        <v>1</v>
      </c>
      <c r="O13" s="217">
        <f>+'GRUPO B'!T10</f>
        <v>1</v>
      </c>
      <c r="P13" s="217">
        <f>+'GRUPO B'!U10</f>
        <v>1</v>
      </c>
      <c r="Q13" s="217">
        <f>+'GRUPO B'!V10</f>
        <v>7</v>
      </c>
      <c r="R13" s="217">
        <f>+'GRUPO B'!W10</f>
        <v>4</v>
      </c>
      <c r="S13" s="217">
        <f>+'GRUPO B'!X10</f>
        <v>3</v>
      </c>
      <c r="T13" s="217">
        <f>+'GRUPO B'!Y10</f>
        <v>0</v>
      </c>
    </row>
    <row r="14" spans="1:20" s="202" customFormat="1" ht="30" customHeight="1" x14ac:dyDescent="0.3">
      <c r="A14" s="216">
        <v>43680</v>
      </c>
      <c r="B14" s="217" t="s">
        <v>131</v>
      </c>
      <c r="C14" s="217" t="s">
        <v>154</v>
      </c>
      <c r="D14" s="249" t="str">
        <f>+'GRUPO D'!E26</f>
        <v>ESCUELA DEPORTIVA DE FÚTBOL RAQUIRA</v>
      </c>
      <c r="E14" s="217">
        <f>+'GRUPO D'!G26</f>
        <v>2</v>
      </c>
      <c r="F14" s="217">
        <f>+'GRUPO D'!I26</f>
        <v>5</v>
      </c>
      <c r="G14" s="217" t="str">
        <f>+'GRUPO D'!K26</f>
        <v>CLUB CAMPESTRE IBAGUE DOS</v>
      </c>
      <c r="H14" s="217" t="str">
        <f>+'GRUPO D'!B4</f>
        <v>GRUPO D</v>
      </c>
      <c r="I14" s="217" t="e">
        <f>+A3</f>
        <v>#REF!</v>
      </c>
      <c r="K14" s="231" t="str">
        <f>+'GRUPO B'!P12</f>
        <v xml:space="preserve">  2)  CENTAUROS DEL ARIARI</v>
      </c>
      <c r="L14" s="217">
        <f>+'GRUPO B'!Q12</f>
        <v>3</v>
      </c>
      <c r="M14" s="217">
        <f>+'GRUPO B'!R12</f>
        <v>3</v>
      </c>
      <c r="N14" s="217">
        <f>+'GRUPO B'!S12</f>
        <v>1</v>
      </c>
      <c r="O14" s="217">
        <f>+'GRUPO B'!T12</f>
        <v>0</v>
      </c>
      <c r="P14" s="217">
        <f>+'GRUPO B'!U12</f>
        <v>2</v>
      </c>
      <c r="Q14" s="217">
        <f>+'GRUPO B'!V12</f>
        <v>4</v>
      </c>
      <c r="R14" s="217">
        <f>+'GRUPO B'!W12</f>
        <v>5</v>
      </c>
      <c r="S14" s="217">
        <f>+'GRUPO B'!X12</f>
        <v>-1</v>
      </c>
      <c r="T14" s="217">
        <f>+'GRUPO B'!Y12</f>
        <v>0</v>
      </c>
    </row>
    <row r="15" spans="1:20" s="202" customFormat="1" ht="30" customHeight="1" x14ac:dyDescent="0.3">
      <c r="K15" s="231" t="str">
        <f>+'GRUPO B'!P14</f>
        <v xml:space="preserve">  3)  COLEGIO PRINCIPADO DE MONACO</v>
      </c>
      <c r="L15" s="217">
        <f>+'GRUPO B'!Q14</f>
        <v>1</v>
      </c>
      <c r="M15" s="217">
        <f>+'GRUPO B'!R14</f>
        <v>3</v>
      </c>
      <c r="N15" s="217">
        <f>+'GRUPO B'!S14</f>
        <v>0</v>
      </c>
      <c r="O15" s="217">
        <f>+'GRUPO B'!T14</f>
        <v>1</v>
      </c>
      <c r="P15" s="217">
        <f>+'GRUPO B'!U14</f>
        <v>2</v>
      </c>
      <c r="Q15" s="217">
        <f>+'GRUPO B'!V14</f>
        <v>7</v>
      </c>
      <c r="R15" s="217">
        <f>+'GRUPO B'!W14</f>
        <v>12</v>
      </c>
      <c r="S15" s="217">
        <f>+'GRUPO B'!X14</f>
        <v>-5</v>
      </c>
      <c r="T15" s="217">
        <f>+'GRUPO B'!Y14</f>
        <v>0</v>
      </c>
    </row>
    <row r="16" spans="1:20" s="202" customFormat="1" ht="30" customHeight="1" x14ac:dyDescent="0.3">
      <c r="B16" s="569" t="str">
        <f>+'IMPRIMIR 2'!A14</f>
        <v>PARTIDOS                 fecha 2</v>
      </c>
      <c r="C16" s="570"/>
      <c r="D16" s="570"/>
      <c r="E16" s="570"/>
      <c r="F16" s="570"/>
      <c r="G16" s="570"/>
      <c r="H16" s="570"/>
      <c r="I16" s="571"/>
    </row>
    <row r="17" spans="1:23" s="202" customFormat="1" ht="30" customHeight="1" x14ac:dyDescent="0.3">
      <c r="B17" s="235" t="s">
        <v>68</v>
      </c>
      <c r="C17" s="235" t="s">
        <v>69</v>
      </c>
      <c r="D17" s="235" t="s">
        <v>70</v>
      </c>
      <c r="E17" s="572" t="s">
        <v>71</v>
      </c>
      <c r="F17" s="572"/>
      <c r="G17" s="235" t="s">
        <v>70</v>
      </c>
      <c r="H17" s="235" t="s">
        <v>72</v>
      </c>
      <c r="I17" s="184" t="s">
        <v>89</v>
      </c>
      <c r="K17" s="204" t="str">
        <f>+'GRUPO C'!B4</f>
        <v>GRUPO C</v>
      </c>
      <c r="L17" s="205" t="str">
        <f>+'GRUPO C'!Q8</f>
        <v>Pts.</v>
      </c>
      <c r="M17" s="205" t="str">
        <f>+'GRUPO C'!R8</f>
        <v>PJ</v>
      </c>
      <c r="N17" s="205" t="str">
        <f>+'GRUPO C'!S8</f>
        <v>Gan.</v>
      </c>
      <c r="O17" s="205" t="str">
        <f>+'GRUPO C'!T8</f>
        <v>Emp.</v>
      </c>
      <c r="P17" s="205" t="str">
        <f>+'GRUPO C'!U8</f>
        <v>Per.</v>
      </c>
      <c r="Q17" s="205" t="str">
        <f>+'GRUPO C'!V8</f>
        <v>GF</v>
      </c>
      <c r="R17" s="205" t="str">
        <f>+'GRUPO C'!W8</f>
        <v>GC</v>
      </c>
      <c r="S17" s="205" t="str">
        <f>+'GRUPO C'!X8</f>
        <v>Dif.</v>
      </c>
      <c r="T17" s="205" t="str">
        <f>+'GRUPO C'!Y8</f>
        <v>Tj</v>
      </c>
    </row>
    <row r="18" spans="1:23" s="202" customFormat="1" ht="30" customHeight="1" x14ac:dyDescent="0.3">
      <c r="A18" s="216">
        <v>43680</v>
      </c>
      <c r="B18" s="217" t="s">
        <v>130</v>
      </c>
      <c r="C18" s="217" t="s">
        <v>133</v>
      </c>
      <c r="D18" s="217" t="str">
        <f>+'GRUPO B'!E29</f>
        <v>COLEGIO PRINCIPADO DE MONACO</v>
      </c>
      <c r="E18" s="217">
        <f>+'GRUPO B'!G29</f>
        <v>1</v>
      </c>
      <c r="F18" s="217">
        <f>+'GRUPO B'!I29</f>
        <v>4</v>
      </c>
      <c r="G18" s="217" t="str">
        <f>+'GRUPO B'!K29</f>
        <v>CENTAUROS DEL ARIARI</v>
      </c>
      <c r="H18" s="217" t="str">
        <f>+'GRUPO B'!B4</f>
        <v>GRUPO B</v>
      </c>
      <c r="I18" s="217" t="e">
        <f>+A3</f>
        <v>#REF!</v>
      </c>
      <c r="K18" s="231" t="str">
        <f>+'GRUPO C'!P10</f>
        <v xml:space="preserve">  1)  GRAMA F. C.</v>
      </c>
      <c r="L18" s="217">
        <f>+'GRUPO C'!Q10</f>
        <v>6</v>
      </c>
      <c r="M18" s="217">
        <f>+'GRUPO C'!R10</f>
        <v>3</v>
      </c>
      <c r="N18" s="217">
        <f>+'GRUPO C'!S10</f>
        <v>2</v>
      </c>
      <c r="O18" s="217">
        <f>+'GRUPO C'!T10</f>
        <v>0</v>
      </c>
      <c r="P18" s="217">
        <f>+'GRUPO C'!U10</f>
        <v>1</v>
      </c>
      <c r="Q18" s="217">
        <f>+'GRUPO C'!V10</f>
        <v>8</v>
      </c>
      <c r="R18" s="217">
        <f>+'GRUPO C'!W10</f>
        <v>6</v>
      </c>
      <c r="S18" s="217">
        <f>+'GRUPO C'!X10</f>
        <v>2</v>
      </c>
      <c r="T18" s="217">
        <f>+'GRUPO C'!Y10</f>
        <v>0</v>
      </c>
    </row>
    <row r="19" spans="1:23" s="202" customFormat="1" ht="30" customHeight="1" x14ac:dyDescent="0.3">
      <c r="A19" s="216">
        <v>43680</v>
      </c>
      <c r="B19" s="217" t="s">
        <v>131</v>
      </c>
      <c r="C19" s="217" t="s">
        <v>135</v>
      </c>
      <c r="D19" s="217" t="str">
        <f>+'GRUPO C'!E29</f>
        <v>GRAMA F. C.</v>
      </c>
      <c r="E19" s="217">
        <f>+'GRUPO C'!G29</f>
        <v>2</v>
      </c>
      <c r="F19" s="217">
        <f>+'GRUPO C'!I29</f>
        <v>1</v>
      </c>
      <c r="G19" s="217" t="str">
        <f>+'GRUPO C'!K29</f>
        <v>ESCUELA DE FORMACIÓN DEPORTIVA MARACANA</v>
      </c>
      <c r="H19" s="217" t="str">
        <f>+'GRUPO C'!B4</f>
        <v>GRUPO C</v>
      </c>
      <c r="I19" s="217" t="e">
        <f>+A3</f>
        <v>#REF!</v>
      </c>
      <c r="K19" s="231" t="str">
        <f>+'GRUPO C'!P12</f>
        <v xml:space="preserve">  2)  ESCUELA DE FORMACIÓN DEPORTIVA MARACANA</v>
      </c>
      <c r="L19" s="217">
        <f>+'GRUPO C'!Q12</f>
        <v>4</v>
      </c>
      <c r="M19" s="217">
        <f>+'GRUPO C'!R12</f>
        <v>3</v>
      </c>
      <c r="N19" s="217">
        <f>+'GRUPO C'!S12</f>
        <v>1</v>
      </c>
      <c r="O19" s="217">
        <f>+'GRUPO C'!T12</f>
        <v>1</v>
      </c>
      <c r="P19" s="217">
        <f>+'GRUPO C'!U12</f>
        <v>1</v>
      </c>
      <c r="Q19" s="217">
        <f>+'GRUPO C'!V12</f>
        <v>17</v>
      </c>
      <c r="R19" s="217">
        <f>+'GRUPO C'!W12</f>
        <v>5</v>
      </c>
      <c r="S19" s="217">
        <f>+'GRUPO C'!X12</f>
        <v>12</v>
      </c>
      <c r="T19" s="217">
        <f>+'GRUPO C'!Y12</f>
        <v>0</v>
      </c>
    </row>
    <row r="20" spans="1:23" s="202" customFormat="1" ht="30" customHeight="1" x14ac:dyDescent="0.3">
      <c r="A20" s="216">
        <v>43680</v>
      </c>
      <c r="B20" s="217" t="s">
        <v>130</v>
      </c>
      <c r="C20" s="217" t="s">
        <v>112</v>
      </c>
      <c r="D20" s="217" t="str">
        <f>+'GRUPO D'!E32</f>
        <v>CLUB CAMPESTRE IBAGUE DOS</v>
      </c>
      <c r="E20" s="217">
        <f>+'GRUPO D'!G32</f>
        <v>3</v>
      </c>
      <c r="F20" s="217">
        <f>+'GRUPO D'!I32</f>
        <v>3</v>
      </c>
      <c r="G20" s="217" t="str">
        <f>+'GRUPO D'!K32</f>
        <v>CORDOBA Y SERRANO F. C.</v>
      </c>
      <c r="H20" s="216" t="str">
        <f>+'GRUPO D'!B4</f>
        <v>GRUPO D</v>
      </c>
      <c r="I20" s="217" t="e">
        <f>+A3</f>
        <v>#REF!</v>
      </c>
      <c r="K20" s="231" t="str">
        <f>+'GRUPO C'!P14</f>
        <v xml:space="preserve">  3)  NOVATOS F. C.</v>
      </c>
      <c r="L20" s="217">
        <f>+'GRUPO C'!Q14</f>
        <v>0</v>
      </c>
      <c r="M20" s="217">
        <f>+'GRUPO C'!R14</f>
        <v>3</v>
      </c>
      <c r="N20" s="217">
        <f>+'GRUPO C'!S14</f>
        <v>0</v>
      </c>
      <c r="O20" s="217">
        <f>+'GRUPO C'!T14</f>
        <v>0</v>
      </c>
      <c r="P20" s="217">
        <f>+'GRUPO C'!U14</f>
        <v>3</v>
      </c>
      <c r="Q20" s="217">
        <f>+'GRUPO C'!V14</f>
        <v>1</v>
      </c>
      <c r="R20" s="217">
        <f>+'GRUPO C'!W14</f>
        <v>21</v>
      </c>
      <c r="S20" s="217">
        <f>+'GRUPO C'!X14</f>
        <v>-20</v>
      </c>
      <c r="T20" s="217">
        <f>+'GRUPO C'!Y14</f>
        <v>0</v>
      </c>
      <c r="W20" s="202" t="s">
        <v>118</v>
      </c>
    </row>
    <row r="21" spans="1:23" s="202" customFormat="1" ht="30" customHeight="1" x14ac:dyDescent="0.3">
      <c r="A21" s="216">
        <v>43680</v>
      </c>
      <c r="B21" s="217" t="s">
        <v>131</v>
      </c>
      <c r="C21" s="217" t="s">
        <v>132</v>
      </c>
      <c r="D21" s="217" t="str">
        <f>+'GRUPO A'!E11</f>
        <v>CLUB LOS PAPETICOS</v>
      </c>
      <c r="E21" s="217">
        <f>+'GRUPO A'!G11</f>
        <v>3</v>
      </c>
      <c r="F21" s="217">
        <f>+'GRUPO A'!I11</f>
        <v>2</v>
      </c>
      <c r="G21" s="217" t="str">
        <f>+'GRUPO A'!K11</f>
        <v>CLUB ARIEL ARMEL</v>
      </c>
      <c r="H21" s="217" t="s">
        <v>83</v>
      </c>
      <c r="I21" s="217" t="e">
        <f>+A3</f>
        <v>#REF!</v>
      </c>
    </row>
    <row r="22" spans="1:23" s="202" customFormat="1" ht="30" customHeight="1" x14ac:dyDescent="0.3">
      <c r="A22" s="216">
        <v>43680</v>
      </c>
      <c r="B22" s="217" t="s">
        <v>130</v>
      </c>
      <c r="C22" s="217" t="s">
        <v>134</v>
      </c>
      <c r="D22" s="217" t="str">
        <f>+'GRUPO A'!E29</f>
        <v>COLEGIO NEIL ARMSTRONG</v>
      </c>
      <c r="E22" s="217">
        <f>+'GRUPO A'!G29</f>
        <v>4</v>
      </c>
      <c r="F22" s="217">
        <f>+'GRUPO A'!I29</f>
        <v>1</v>
      </c>
      <c r="G22" s="217" t="str">
        <f>+'GRUPO A'!K29</f>
        <v>CLUB CAMPESTRE IBAGUE UNO</v>
      </c>
      <c r="H22" s="216" t="str">
        <f>+'GRUPO A'!B4</f>
        <v>GRUPO A</v>
      </c>
      <c r="I22" s="217" t="e">
        <f>+A3</f>
        <v>#REF!</v>
      </c>
      <c r="K22" s="206" t="str">
        <f>+'GRUPO D'!B4</f>
        <v>GRUPO D</v>
      </c>
      <c r="L22" s="207" t="str">
        <f>+'GRUPO D'!Q8</f>
        <v>Pts.</v>
      </c>
      <c r="M22" s="207" t="str">
        <f>+'GRUPO D'!R8</f>
        <v>PJ</v>
      </c>
      <c r="N22" s="207" t="str">
        <f>+'GRUPO D'!S8</f>
        <v>Gan.</v>
      </c>
      <c r="O22" s="207" t="str">
        <f>+'GRUPO D'!T8</f>
        <v>Emp.</v>
      </c>
      <c r="P22" s="207" t="str">
        <f>+'GRUPO D'!U8</f>
        <v>Per.</v>
      </c>
      <c r="Q22" s="207" t="str">
        <f>+'GRUPO D'!V8</f>
        <v>GF</v>
      </c>
      <c r="R22" s="207" t="str">
        <f>+'GRUPO D'!W8</f>
        <v>GC</v>
      </c>
      <c r="S22" s="207" t="str">
        <f>+'GRUPO D'!X8</f>
        <v>Dif.</v>
      </c>
      <c r="T22" s="207" t="str">
        <f>+'GRUPO D'!Y8</f>
        <v>Tj</v>
      </c>
    </row>
    <row r="23" spans="1:23" s="202" customFormat="1" ht="30" customHeight="1" x14ac:dyDescent="0.3">
      <c r="A23" s="216">
        <v>43680</v>
      </c>
      <c r="B23" s="217" t="s">
        <v>131</v>
      </c>
      <c r="C23" s="217" t="s">
        <v>136</v>
      </c>
      <c r="D23" s="217" t="str">
        <f>+'GRUPO C'!E11</f>
        <v>NOVATOS F. C.</v>
      </c>
      <c r="E23" s="217">
        <f>+'GRUPO C'!G11</f>
        <v>0</v>
      </c>
      <c r="F23" s="217">
        <f>+'GRUPO C'!I11</f>
        <v>3</v>
      </c>
      <c r="G23" s="249" t="str">
        <f>+'GRUPO C'!K11</f>
        <v>ESCUELA DEPORTIVA DE FÚTBOL RAQUIRA</v>
      </c>
      <c r="H23" s="217" t="s">
        <v>83</v>
      </c>
      <c r="I23" s="217" t="e">
        <f>+A3</f>
        <v>#REF!</v>
      </c>
      <c r="K23" s="231" t="str">
        <f>+'GRUPO D'!P10</f>
        <v xml:space="preserve">  1)  CLUB CAMPESTRE IBAGUE DOS</v>
      </c>
      <c r="L23" s="217">
        <f>+'GRUPO D'!Q10</f>
        <v>7</v>
      </c>
      <c r="M23" s="217">
        <f>+'GRUPO D'!R10</f>
        <v>3</v>
      </c>
      <c r="N23" s="217">
        <f>+'GRUPO D'!S10</f>
        <v>2</v>
      </c>
      <c r="O23" s="217">
        <f>+'GRUPO D'!T10</f>
        <v>1</v>
      </c>
      <c r="P23" s="217">
        <f>+'GRUPO D'!U10</f>
        <v>0</v>
      </c>
      <c r="Q23" s="217">
        <f>+'GRUPO D'!V10</f>
        <v>12</v>
      </c>
      <c r="R23" s="217">
        <f>+'GRUPO D'!W10</f>
        <v>9</v>
      </c>
      <c r="S23" s="217">
        <f>+'GRUPO D'!X10</f>
        <v>3</v>
      </c>
      <c r="T23" s="217">
        <f>+'GRUPO D'!Y10</f>
        <v>0</v>
      </c>
    </row>
    <row r="24" spans="1:23" s="202" customFormat="1" ht="30" customHeight="1" x14ac:dyDescent="0.3">
      <c r="K24" s="231" t="str">
        <f>+'GRUPO D'!P12</f>
        <v xml:space="preserve">  2)  CORDOBA Y SERRANO F. C.</v>
      </c>
      <c r="L24" s="217">
        <f>+'GRUPO D'!Q12</f>
        <v>5</v>
      </c>
      <c r="M24" s="217">
        <f>+'GRUPO D'!R12</f>
        <v>3</v>
      </c>
      <c r="N24" s="217">
        <f>+'GRUPO D'!S12</f>
        <v>1</v>
      </c>
      <c r="O24" s="217">
        <f>+'GRUPO D'!T12</f>
        <v>2</v>
      </c>
      <c r="P24" s="217">
        <f>+'GRUPO D'!U12</f>
        <v>0</v>
      </c>
      <c r="Q24" s="217">
        <f>+'GRUPO D'!V12</f>
        <v>18</v>
      </c>
      <c r="R24" s="217">
        <f>+'GRUPO D'!W12</f>
        <v>6</v>
      </c>
      <c r="S24" s="217">
        <f>+'GRUPO D'!X12</f>
        <v>12</v>
      </c>
      <c r="T24" s="217">
        <f>+'GRUPO D'!Y12</f>
        <v>0</v>
      </c>
    </row>
    <row r="25" spans="1:23" s="202" customFormat="1" ht="30" customHeight="1" thickBot="1" x14ac:dyDescent="0.35">
      <c r="B25" s="573" t="s">
        <v>84</v>
      </c>
      <c r="C25" s="573"/>
      <c r="D25" s="573"/>
      <c r="E25" s="573"/>
      <c r="F25" s="573"/>
      <c r="G25" s="573"/>
      <c r="H25" s="573"/>
      <c r="I25" s="573"/>
      <c r="K25" s="231" t="str">
        <f>+'GRUPO D'!P14</f>
        <v xml:space="preserve">  3)  ESCUELA DEPORTIVA DE FÚTBOL RAQUIRA</v>
      </c>
      <c r="L25" s="217">
        <f>+'GRUPO D'!Q14</f>
        <v>3</v>
      </c>
      <c r="M25" s="217">
        <f>+'GRUPO D'!R14</f>
        <v>3</v>
      </c>
      <c r="N25" s="217">
        <f>+'GRUPO D'!S14</f>
        <v>1</v>
      </c>
      <c r="O25" s="217">
        <f>+'GRUPO D'!T14</f>
        <v>0</v>
      </c>
      <c r="P25" s="217">
        <f>+'GRUPO D'!U14</f>
        <v>2</v>
      </c>
      <c r="Q25" s="217">
        <f>+'GRUPO D'!V14</f>
        <v>5</v>
      </c>
      <c r="R25" s="217">
        <f>+'GRUPO D'!W14</f>
        <v>17</v>
      </c>
      <c r="S25" s="217">
        <f>+'GRUPO D'!X14</f>
        <v>-12</v>
      </c>
      <c r="T25" s="217">
        <f>+'GRUPO D'!Y14</f>
        <v>0</v>
      </c>
    </row>
    <row r="26" spans="1:23" s="202" customFormat="1" ht="30" customHeight="1" x14ac:dyDescent="0.3">
      <c r="B26" s="235" t="s">
        <v>68</v>
      </c>
      <c r="C26" s="235" t="s">
        <v>69</v>
      </c>
      <c r="D26" s="235" t="s">
        <v>70</v>
      </c>
      <c r="E26" s="572" t="s">
        <v>71</v>
      </c>
      <c r="F26" s="572"/>
      <c r="G26" s="235" t="s">
        <v>70</v>
      </c>
      <c r="H26" s="235" t="s">
        <v>72</v>
      </c>
      <c r="I26" s="184" t="s">
        <v>89</v>
      </c>
      <c r="K26" s="580" t="s">
        <v>122</v>
      </c>
      <c r="L26" s="581"/>
      <c r="M26" s="581"/>
      <c r="N26" s="581"/>
      <c r="O26" s="581"/>
      <c r="P26" s="581"/>
      <c r="Q26" s="581"/>
      <c r="R26" s="581"/>
      <c r="S26" s="581"/>
      <c r="T26" s="582"/>
    </row>
    <row r="27" spans="1:23" s="202" customFormat="1" ht="30" customHeight="1" thickBot="1" x14ac:dyDescent="0.35">
      <c r="A27" s="216">
        <v>43681</v>
      </c>
      <c r="B27" s="217" t="s">
        <v>130</v>
      </c>
      <c r="C27" s="217" t="s">
        <v>137</v>
      </c>
      <c r="D27" s="217" t="str">
        <f>+'GRUPO A'!E8</f>
        <v>COLEGIO NEIL ARMSTRONG</v>
      </c>
      <c r="E27" s="217">
        <f>+'GRUPO A'!G8</f>
        <v>4</v>
      </c>
      <c r="F27" s="217">
        <f>+'GRUPO A'!I8</f>
        <v>2</v>
      </c>
      <c r="G27" s="217" t="str">
        <f>+'GRUPO A'!K8</f>
        <v>COLEGIO PRINCIPADO DE MONACO</v>
      </c>
      <c r="H27" s="217" t="s">
        <v>83</v>
      </c>
      <c r="I27" s="217" t="e">
        <f>+A3</f>
        <v>#REF!</v>
      </c>
      <c r="K27" s="583"/>
      <c r="L27" s="584"/>
      <c r="M27" s="584"/>
      <c r="N27" s="584"/>
      <c r="O27" s="584"/>
      <c r="P27" s="584"/>
      <c r="Q27" s="584"/>
      <c r="R27" s="584"/>
      <c r="S27" s="584"/>
      <c r="T27" s="585"/>
    </row>
    <row r="28" spans="1:23" s="202" customFormat="1" ht="30" customHeight="1" thickBot="1" x14ac:dyDescent="0.35">
      <c r="A28" s="216">
        <v>43681</v>
      </c>
      <c r="B28" s="217" t="s">
        <v>131</v>
      </c>
      <c r="C28" s="217" t="s">
        <v>138</v>
      </c>
      <c r="D28" s="217" t="str">
        <f>+'GRUPO A'!E32</f>
        <v>CLUB LOS PAPETICOS</v>
      </c>
      <c r="E28" s="217">
        <f>+'GRUPO A'!G32</f>
        <v>9</v>
      </c>
      <c r="F28" s="217">
        <f>+'GRUPO A'!I32</f>
        <v>2</v>
      </c>
      <c r="G28" s="217" t="str">
        <f>+'GRUPO A'!K32</f>
        <v>CLUB CAMPESTRE IBAGUE UNO</v>
      </c>
      <c r="H28" s="216" t="str">
        <f>+'GRUPO A'!B4</f>
        <v>GRUPO A</v>
      </c>
      <c r="I28" s="217" t="e">
        <f>+I29</f>
        <v>#REF!</v>
      </c>
      <c r="K28" s="241" t="s">
        <v>79</v>
      </c>
      <c r="L28" s="242" t="s">
        <v>47</v>
      </c>
      <c r="M28" s="586" t="s">
        <v>81</v>
      </c>
      <c r="N28" s="587"/>
      <c r="O28" s="587"/>
      <c r="P28" s="587"/>
      <c r="Q28" s="587"/>
      <c r="R28" s="588"/>
      <c r="S28" s="246"/>
      <c r="T28" s="247"/>
    </row>
    <row r="29" spans="1:23" s="202" customFormat="1" ht="30" customHeight="1" thickBot="1" x14ac:dyDescent="0.35">
      <c r="A29" s="216">
        <v>43681</v>
      </c>
      <c r="B29" s="217" t="s">
        <v>130</v>
      </c>
      <c r="C29" s="217" t="s">
        <v>139</v>
      </c>
      <c r="D29" s="217" t="str">
        <f>+'GRUPO B'!E32</f>
        <v>CLUB ARIEL ARMEL</v>
      </c>
      <c r="E29" s="217">
        <f>+'GRUPO B'!G32</f>
        <v>1</v>
      </c>
      <c r="F29" s="217">
        <f>+'GRUPO B'!I32</f>
        <v>0</v>
      </c>
      <c r="G29" s="217" t="str">
        <f>+'GRUPO B'!K32</f>
        <v>CENTAUROS DEL ARIARI</v>
      </c>
      <c r="H29" s="216" t="str">
        <f>+'GRUPO B'!B4</f>
        <v>GRUPO B</v>
      </c>
      <c r="I29" s="217" t="e">
        <f>+A3</f>
        <v>#REF!</v>
      </c>
      <c r="K29" s="243" t="s">
        <v>123</v>
      </c>
      <c r="L29" s="242" t="s">
        <v>47</v>
      </c>
      <c r="M29" s="586" t="s">
        <v>125</v>
      </c>
      <c r="N29" s="587"/>
      <c r="O29" s="587"/>
      <c r="P29" s="587"/>
      <c r="Q29" s="587"/>
      <c r="R29" s="588"/>
      <c r="S29" s="246"/>
      <c r="T29" s="247"/>
    </row>
    <row r="30" spans="1:23" s="202" customFormat="1" ht="30" customHeight="1" thickBot="1" x14ac:dyDescent="0.35">
      <c r="A30" s="216">
        <v>43681</v>
      </c>
      <c r="B30" s="217" t="s">
        <v>131</v>
      </c>
      <c r="C30" s="217" t="s">
        <v>140</v>
      </c>
      <c r="D30" s="217" t="str">
        <f>+'GRUPO C'!E32</f>
        <v>NOVATOS F. C.</v>
      </c>
      <c r="E30" s="217">
        <f>+'GRUPO C'!G32</f>
        <v>0</v>
      </c>
      <c r="F30" s="217">
        <f>+'GRUPO C'!I32</f>
        <v>13</v>
      </c>
      <c r="G30" s="217" t="str">
        <f>+'GRUPO C'!K32</f>
        <v>ESCUELA DE FORMACIÓN DEPORTIVA MARACANA</v>
      </c>
      <c r="H30" s="216" t="str">
        <f>+'GRUPO C'!B4</f>
        <v>GRUPO C</v>
      </c>
      <c r="I30" s="217" t="e">
        <f>+A3</f>
        <v>#REF!</v>
      </c>
      <c r="K30" s="243" t="s">
        <v>124</v>
      </c>
      <c r="L30" s="242" t="s">
        <v>47</v>
      </c>
      <c r="M30" s="586" t="s">
        <v>120</v>
      </c>
      <c r="N30" s="587"/>
      <c r="O30" s="587"/>
      <c r="P30" s="587"/>
      <c r="Q30" s="587"/>
      <c r="R30" s="588"/>
      <c r="S30" s="246"/>
      <c r="T30" s="247"/>
    </row>
    <row r="31" spans="1:23" s="202" customFormat="1" ht="30" customHeight="1" thickBot="1" x14ac:dyDescent="0.35">
      <c r="A31" s="216">
        <v>43681</v>
      </c>
      <c r="B31" s="217" t="s">
        <v>130</v>
      </c>
      <c r="C31" s="217" t="s">
        <v>141</v>
      </c>
      <c r="D31" s="249" t="str">
        <f>+'GRUPO D'!E29</f>
        <v>ESCUELA DEPORTIVA DE FÚTBOL RAQUIRA</v>
      </c>
      <c r="E31" s="217">
        <f>+'GRUPO D'!G29</f>
        <v>0</v>
      </c>
      <c r="F31" s="217">
        <f>+'GRUPO D'!I29</f>
        <v>12</v>
      </c>
      <c r="G31" s="217" t="str">
        <f>+'GRUPO D'!K29</f>
        <v>CORDOBA Y SERRANO F. C.</v>
      </c>
      <c r="H31" s="217" t="str">
        <f>+'GRUPO D'!B4</f>
        <v>GRUPO D</v>
      </c>
      <c r="I31" s="217" t="e">
        <f>+I28</f>
        <v>#REF!</v>
      </c>
      <c r="K31" s="244" t="s">
        <v>80</v>
      </c>
      <c r="L31" s="242" t="s">
        <v>47</v>
      </c>
      <c r="M31" s="574" t="s">
        <v>82</v>
      </c>
      <c r="N31" s="575"/>
      <c r="O31" s="575"/>
      <c r="P31" s="575"/>
      <c r="Q31" s="575"/>
      <c r="R31" s="576"/>
      <c r="S31" s="246"/>
      <c r="T31" s="247"/>
    </row>
    <row r="32" spans="1:23" s="202" customFormat="1" ht="30" customHeight="1" thickBot="1" x14ac:dyDescent="0.35">
      <c r="A32" s="216">
        <v>43681</v>
      </c>
      <c r="B32" s="217" t="s">
        <v>131</v>
      </c>
      <c r="C32" s="217" t="s">
        <v>142</v>
      </c>
      <c r="D32" s="217" t="str">
        <f>+'GRUPO C'!E8</f>
        <v>GRAMA F. C.</v>
      </c>
      <c r="E32" s="217">
        <f>+'GRUPO C'!G8</f>
        <v>1</v>
      </c>
      <c r="F32" s="217">
        <f>+'GRUPO C'!I8</f>
        <v>4</v>
      </c>
      <c r="G32" s="217" t="str">
        <f>+'GRUPO C'!K8</f>
        <v>CLUB CAMPESTRE IBAGUE DOS</v>
      </c>
      <c r="H32" s="217" t="s">
        <v>83</v>
      </c>
      <c r="I32" s="217" t="e">
        <f>+A3</f>
        <v>#REF!</v>
      </c>
      <c r="K32" s="245" t="s">
        <v>126</v>
      </c>
      <c r="L32" s="242" t="s">
        <v>47</v>
      </c>
      <c r="M32" s="574" t="s">
        <v>128</v>
      </c>
      <c r="N32" s="575"/>
      <c r="O32" s="575"/>
      <c r="P32" s="575"/>
      <c r="Q32" s="575"/>
      <c r="R32" s="576"/>
      <c r="S32" s="577"/>
      <c r="T32" s="578"/>
    </row>
    <row r="33" spans="1:20" s="202" customFormat="1" ht="30" customHeight="1" thickBot="1" x14ac:dyDescent="0.35">
      <c r="K33" s="245" t="s">
        <v>127</v>
      </c>
      <c r="L33" s="242" t="s">
        <v>47</v>
      </c>
      <c r="M33" s="574" t="s">
        <v>121</v>
      </c>
      <c r="N33" s="575"/>
      <c r="O33" s="575"/>
      <c r="P33" s="575"/>
      <c r="Q33" s="575"/>
      <c r="R33" s="576"/>
      <c r="S33" s="577"/>
      <c r="T33" s="578"/>
    </row>
    <row r="34" spans="1:20" s="202" customFormat="1" ht="30" customHeight="1" x14ac:dyDescent="0.3">
      <c r="B34" s="579" t="s">
        <v>129</v>
      </c>
      <c r="C34" s="579"/>
      <c r="D34" s="579"/>
      <c r="E34" s="579"/>
      <c r="F34" s="579"/>
      <c r="G34" s="579"/>
      <c r="H34" s="579"/>
      <c r="I34" s="579"/>
    </row>
    <row r="35" spans="1:20" s="202" customFormat="1" ht="30" customHeight="1" x14ac:dyDescent="0.3">
      <c r="B35" s="235" t="s">
        <v>68</v>
      </c>
      <c r="C35" s="235" t="s">
        <v>69</v>
      </c>
      <c r="D35" s="235" t="s">
        <v>70</v>
      </c>
      <c r="E35" s="572" t="s">
        <v>71</v>
      </c>
      <c r="F35" s="572"/>
      <c r="G35" s="235" t="s">
        <v>70</v>
      </c>
      <c r="H35" s="235" t="s">
        <v>72</v>
      </c>
      <c r="I35" s="184" t="s">
        <v>89</v>
      </c>
    </row>
    <row r="36" spans="1:20" s="202" customFormat="1" ht="30" customHeight="1" x14ac:dyDescent="0.3">
      <c r="A36" s="216">
        <v>43681</v>
      </c>
      <c r="B36" s="249" t="s">
        <v>130</v>
      </c>
      <c r="C36" s="249" t="s">
        <v>133</v>
      </c>
      <c r="D36" s="217" t="str">
        <f>+K10</f>
        <v xml:space="preserve">  3)  CLUB CAMPESTRE IBAGUE UNO</v>
      </c>
      <c r="E36" s="217">
        <v>0</v>
      </c>
      <c r="F36" s="217">
        <v>0</v>
      </c>
      <c r="G36" s="248" t="str">
        <f>+K20</f>
        <v xml:space="preserve">  3)  NOVATOS F. C.</v>
      </c>
      <c r="H36" s="216" t="s">
        <v>62</v>
      </c>
      <c r="I36" s="217" t="e">
        <f>+A3</f>
        <v>#REF!</v>
      </c>
    </row>
    <row r="37" spans="1:20" s="202" customFormat="1" ht="30" customHeight="1" x14ac:dyDescent="0.3">
      <c r="A37" s="216">
        <v>43681</v>
      </c>
      <c r="B37" s="249" t="s">
        <v>131</v>
      </c>
      <c r="C37" s="249" t="s">
        <v>135</v>
      </c>
      <c r="D37" s="217" t="str">
        <f>+K9</f>
        <v xml:space="preserve">  2)  COLEGIO NEIL ARMSTRONG</v>
      </c>
      <c r="E37" s="217">
        <f>+'GRUPO B'!G41</f>
        <v>0</v>
      </c>
      <c r="F37" s="217">
        <f>+'GRUPO B'!I41</f>
        <v>0</v>
      </c>
      <c r="G37" s="248" t="str">
        <f>+K19</f>
        <v xml:space="preserve">  2)  ESCUELA DE FORMACIÓN DEPORTIVA MARACANA</v>
      </c>
      <c r="H37" s="216" t="s">
        <v>62</v>
      </c>
      <c r="I37" s="217" t="e">
        <f>+A3</f>
        <v>#REF!</v>
      </c>
    </row>
    <row r="38" spans="1:20" s="202" customFormat="1" ht="30" customHeight="1" x14ac:dyDescent="0.3">
      <c r="A38" s="216">
        <v>43681</v>
      </c>
      <c r="B38" s="249" t="s">
        <v>130</v>
      </c>
      <c r="C38" s="249" t="s">
        <v>143</v>
      </c>
      <c r="D38" s="217" t="str">
        <f>+K8</f>
        <v xml:space="preserve">  1)  CLUB LOS PAPETICOS</v>
      </c>
      <c r="E38" s="217">
        <f>+'GRUPO A'!G41</f>
        <v>0</v>
      </c>
      <c r="F38" s="217">
        <f>+'GRUPO A'!I41</f>
        <v>0</v>
      </c>
      <c r="G38" s="248" t="str">
        <f>+K18</f>
        <v xml:space="preserve">  1)  GRAMA F. C.</v>
      </c>
      <c r="H38" s="216" t="s">
        <v>62</v>
      </c>
      <c r="I38" s="217" t="e">
        <f>+A3</f>
        <v>#REF!</v>
      </c>
    </row>
    <row r="39" spans="1:20" ht="30" customHeight="1" x14ac:dyDescent="0.3">
      <c r="A39" s="216">
        <v>43681</v>
      </c>
      <c r="B39" s="249" t="s">
        <v>131</v>
      </c>
      <c r="C39" s="249" t="s">
        <v>112</v>
      </c>
      <c r="D39" s="248" t="str">
        <f>+K15</f>
        <v xml:space="preserve">  3)  COLEGIO PRINCIPADO DE MONACO</v>
      </c>
      <c r="E39" s="217">
        <f>+'GRUPO C'!G17</f>
        <v>0</v>
      </c>
      <c r="F39" s="217">
        <f>+'GRUPO C'!I17</f>
        <v>0</v>
      </c>
      <c r="G39" s="217" t="str">
        <f>+K25</f>
        <v xml:space="preserve">  3)  ESCUELA DEPORTIVA DE FÚTBOL RAQUIRA</v>
      </c>
      <c r="H39" s="216" t="s">
        <v>62</v>
      </c>
      <c r="I39" s="217" t="e">
        <f>+A3</f>
        <v>#REF!</v>
      </c>
      <c r="O39" s="202"/>
      <c r="P39" s="202"/>
      <c r="Q39" s="202"/>
      <c r="R39" s="202"/>
      <c r="S39" s="202"/>
      <c r="T39" s="202"/>
    </row>
    <row r="40" spans="1:20" ht="30" customHeight="1" x14ac:dyDescent="0.3">
      <c r="A40" s="216">
        <v>43681</v>
      </c>
      <c r="B40" s="249" t="s">
        <v>130</v>
      </c>
      <c r="C40" s="249" t="s">
        <v>144</v>
      </c>
      <c r="D40" s="248" t="str">
        <f>+K14</f>
        <v xml:space="preserve">  2)  CENTAUROS DEL ARIARI</v>
      </c>
      <c r="E40" s="217">
        <f>+'GRUPO D'!G38</f>
        <v>0</v>
      </c>
      <c r="F40" s="217">
        <f>+'GRUPO D'!I38</f>
        <v>0</v>
      </c>
      <c r="G40" s="217" t="str">
        <f>+K24</f>
        <v xml:space="preserve">  2)  CORDOBA Y SERRANO F. C.</v>
      </c>
      <c r="H40" s="216" t="s">
        <v>62</v>
      </c>
      <c r="I40" s="217" t="e">
        <f>+A3</f>
        <v>#REF!</v>
      </c>
      <c r="K40" s="202"/>
      <c r="L40" s="202"/>
      <c r="M40" s="202"/>
      <c r="N40" s="202"/>
      <c r="O40" s="202"/>
      <c r="P40" s="202"/>
      <c r="Q40" s="202"/>
      <c r="R40" s="202"/>
      <c r="S40" s="202"/>
      <c r="T40" s="202"/>
    </row>
    <row r="41" spans="1:20" ht="30" customHeight="1" x14ac:dyDescent="0.3">
      <c r="A41" s="216">
        <v>43681</v>
      </c>
      <c r="B41" s="249" t="s">
        <v>131</v>
      </c>
      <c r="C41" s="249" t="s">
        <v>145</v>
      </c>
      <c r="D41" s="248" t="str">
        <f>+K13</f>
        <v xml:space="preserve">  1)  CLUB ARIEL ARMEL</v>
      </c>
      <c r="E41" s="217">
        <f>+'GRUPO C'!G41</f>
        <v>0</v>
      </c>
      <c r="F41" s="217">
        <f>+'GRUPO C'!I41</f>
        <v>0</v>
      </c>
      <c r="G41" s="217" t="str">
        <f>+K23</f>
        <v xml:space="preserve">  1)  CLUB CAMPESTRE IBAGUE DOS</v>
      </c>
      <c r="H41" s="216" t="s">
        <v>62</v>
      </c>
      <c r="I41" s="217" t="e">
        <f>+A3</f>
        <v>#REF!</v>
      </c>
      <c r="K41" s="202"/>
      <c r="L41" s="202"/>
      <c r="M41" s="202"/>
      <c r="N41" s="202"/>
      <c r="O41" s="202"/>
      <c r="P41" s="202"/>
      <c r="Q41" s="202"/>
      <c r="R41" s="202"/>
      <c r="S41" s="202"/>
      <c r="T41" s="202"/>
    </row>
    <row r="42" spans="1:20" ht="6" customHeight="1" x14ac:dyDescent="0.3"/>
    <row r="43" spans="1:20" ht="30" customHeight="1" x14ac:dyDescent="0.3"/>
    <row r="44" spans="1:20" ht="30" customHeight="1" x14ac:dyDescent="0.3"/>
    <row r="45" spans="1:20" ht="30" customHeight="1" x14ac:dyDescent="0.3"/>
    <row r="46" spans="1:20" ht="30" customHeight="1" x14ac:dyDescent="0.3"/>
    <row r="47" spans="1:20" ht="21" customHeight="1" x14ac:dyDescent="0.3">
      <c r="A47" s="230" t="s">
        <v>105</v>
      </c>
      <c r="B47" s="41"/>
      <c r="C47" s="41"/>
      <c r="D47" s="41"/>
      <c r="E47" s="41"/>
      <c r="F47" s="41"/>
      <c r="G47" s="41"/>
      <c r="H47" s="41"/>
      <c r="I47" s="41"/>
    </row>
    <row r="48" spans="1:20" ht="21" customHeight="1" x14ac:dyDescent="0.3">
      <c r="A48" s="230" t="s">
        <v>106</v>
      </c>
      <c r="B48" s="41"/>
      <c r="C48" s="41"/>
      <c r="D48" s="41"/>
      <c r="E48" s="41"/>
      <c r="F48" s="41"/>
      <c r="G48" s="41"/>
      <c r="H48" s="41"/>
      <c r="I48" s="41"/>
    </row>
    <row r="49" spans="1:1" ht="21" customHeight="1" x14ac:dyDescent="0.3">
      <c r="A49" s="230" t="s">
        <v>107</v>
      </c>
    </row>
    <row r="50" spans="1:1" ht="21" x14ac:dyDescent="0.3">
      <c r="A50" s="230" t="s">
        <v>109</v>
      </c>
    </row>
    <row r="51" spans="1:1" ht="21" x14ac:dyDescent="0.3">
      <c r="A51" s="230" t="s">
        <v>110</v>
      </c>
    </row>
    <row r="52" spans="1:1" ht="21" x14ac:dyDescent="0.3">
      <c r="A52" s="230" t="s">
        <v>108</v>
      </c>
    </row>
  </sheetData>
  <mergeCells count="23">
    <mergeCell ref="M33:R33"/>
    <mergeCell ref="S33:T33"/>
    <mergeCell ref="B34:I34"/>
    <mergeCell ref="E35:F35"/>
    <mergeCell ref="K26:T27"/>
    <mergeCell ref="M28:R28"/>
    <mergeCell ref="M29:R29"/>
    <mergeCell ref="M30:R30"/>
    <mergeCell ref="M31:R31"/>
    <mergeCell ref="M32:R32"/>
    <mergeCell ref="S32:T32"/>
    <mergeCell ref="E26:F26"/>
    <mergeCell ref="B7:I7"/>
    <mergeCell ref="E8:F8"/>
    <mergeCell ref="B16:I16"/>
    <mergeCell ref="E17:F17"/>
    <mergeCell ref="B25:I25"/>
    <mergeCell ref="A6:I6"/>
    <mergeCell ref="A1:I1"/>
    <mergeCell ref="A2:I2"/>
    <mergeCell ref="A3:I3"/>
    <mergeCell ref="A4:I4"/>
    <mergeCell ref="A5:I5"/>
  </mergeCells>
  <printOptions horizontalCentered="1" verticalCentered="1"/>
  <pageMargins left="0.23622047244094491" right="0.23622047244094491" top="0" bottom="0" header="0.31496062992125984" footer="0.31496062992125984"/>
  <pageSetup scale="4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PRE BABY GRUPOS</vt:lpstr>
      <vt:lpstr>GRUPO A</vt:lpstr>
      <vt:lpstr>GRUPO B</vt:lpstr>
      <vt:lpstr>GRUPO C</vt:lpstr>
      <vt:lpstr>GRUPO D</vt:lpstr>
      <vt:lpstr>CUARTOS DE FINAL.</vt:lpstr>
      <vt:lpstr>DEFINICION</vt:lpstr>
      <vt:lpstr>FINAL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IMPRIMIR HOJA 1</vt:lpstr>
      <vt:lpstr>Hoja1 (2)</vt:lpstr>
      <vt:lpstr>IMPRIMIR HOJA 1 (2)</vt:lpstr>
      <vt:lpstr>'CUARTOS DE FINAL'!Área_de_impresión</vt:lpstr>
      <vt:lpstr>'CUARTOS DE FINAL.'!Área_de_impresión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 C'!Área_de_impresión</vt:lpstr>
      <vt:lpstr>'GRUPO D'!Área_de_impresión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1'!Área_de_impresión</vt:lpstr>
      <vt:lpstr>'IMPRIMIR HOJA 1 (2)'!Área_de_impresión</vt:lpstr>
      <vt:lpstr>'PRE BABY GRUPOS'!Área_de_impresión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2019-08-03T16:09:32Z</cp:lastPrinted>
  <dcterms:created xsi:type="dcterms:W3CDTF">2015-01-09T01:36:28Z</dcterms:created>
  <dcterms:modified xsi:type="dcterms:W3CDTF">2024-09-29T16:00:54Z</dcterms:modified>
</cp:coreProperties>
</file>