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\Dropbox\campeonato 2015\CAMPEONATO NACIONAL\TORNEOS NACIONALES\Nueva carpeta\Nacional 2016\2024\SEPTIEMBRE 2024\FIXTURE SEPT\"/>
    </mc:Choice>
  </mc:AlternateContent>
  <xr:revisionPtr revIDLastSave="0" documentId="13_ncr:1_{8A05978F-AB4A-4F9B-8FD1-53CB51FB2698}" xr6:coauthVersionLast="47" xr6:coauthVersionMax="47" xr10:uidLastSave="{00000000-0000-0000-0000-000000000000}"/>
  <bookViews>
    <workbookView xWindow="-108" yWindow="-108" windowWidth="23256" windowHeight="13896" tabRatio="825" activeTab="6" xr2:uid="{00000000-000D-0000-FFFF-FFFF00000000}"/>
  </bookViews>
  <sheets>
    <sheet name="GRUPOS INFANTIL" sheetId="3" r:id="rId1"/>
    <sheet name="GRUPO A" sheetId="2" r:id="rId2"/>
    <sheet name="GRUPO B" sheetId="6" r:id="rId3"/>
    <sheet name="CUARTOS DE FINAL." sheetId="27" state="hidden" r:id="rId4"/>
    <sheet name="GRUPO C" sheetId="34" r:id="rId5"/>
    <sheet name="GRUPO D" sheetId="35" r:id="rId6"/>
    <sheet name="IMPRIMIR HOJA" sheetId="36" r:id="rId7"/>
    <sheet name="IMPRIMIR HOJA (2)" sheetId="37" r:id="rId8"/>
    <sheet name="DEFINICION" sheetId="10" r:id="rId9"/>
    <sheet name="FINAL" sheetId="11" r:id="rId10"/>
    <sheet name="IMPRIMIR" sheetId="14" state="hidden" r:id="rId11"/>
    <sheet name="IMPRIMIR 2" sheetId="15" state="hidden" r:id="rId12"/>
    <sheet name="IMPRIMIR 3" sheetId="17" state="hidden" r:id="rId13"/>
    <sheet name="IMPRIMIR 3 (2)" sheetId="22" state="hidden" r:id="rId14"/>
    <sheet name="CUARTOS DE FINAL" sheetId="23" state="hidden" r:id="rId15"/>
    <sheet name="IMPRIMIR 4" sheetId="18" state="hidden" r:id="rId16"/>
    <sheet name="IMPRIMIR 5" sheetId="19" state="hidden" r:id="rId17"/>
    <sheet name="Hoja1" sheetId="24" state="hidden" r:id="rId18"/>
    <sheet name="Hoja2 (2)" sheetId="28" state="hidden" r:id="rId19"/>
    <sheet name="Hoja2 (3)" sheetId="29" state="hidden" r:id="rId20"/>
    <sheet name="Hoja2 (4)" sheetId="30" state="hidden" r:id="rId21"/>
    <sheet name="Hoja1 (2)" sheetId="31" r:id="rId22"/>
  </sheets>
  <definedNames>
    <definedName name="_xlnm.Print_Area" localSheetId="14">'CUARTOS DE FINAL'!$A$1:$Q$23</definedName>
    <definedName name="_xlnm.Print_Area" localSheetId="3">'CUARTOS DE FINAL.'!$A$1:$Q$23</definedName>
    <definedName name="_xlnm.Print_Area" localSheetId="8">DEFINICION!$A$1:$U$16</definedName>
    <definedName name="_xlnm.Print_Area" localSheetId="9">FINAL!$A$1:$R$23</definedName>
    <definedName name="_xlnm.Print_Area" localSheetId="1">'GRUPO A'!$A$1:$AL$37</definedName>
    <definedName name="_xlnm.Print_Area" localSheetId="2">'GRUPO B'!$A$1:$AL$37</definedName>
    <definedName name="_xlnm.Print_Area" localSheetId="4">'GRUPO C'!$A$1:$AL$37</definedName>
    <definedName name="_xlnm.Print_Area" localSheetId="5">'GRUPO D'!$A$1:$AL$37</definedName>
    <definedName name="_xlnm.Print_Area" localSheetId="0">'GRUPOS INFANTIL'!$A$1:$M$14</definedName>
    <definedName name="_xlnm.Print_Area" localSheetId="18">'Hoja2 (2)'!$A$1:$T$45</definedName>
    <definedName name="_xlnm.Print_Area" localSheetId="19">'Hoja2 (3)'!$A$1:$T$45</definedName>
    <definedName name="_xlnm.Print_Area" localSheetId="20">'Hoja2 (4)'!$A$1:$W$74</definedName>
    <definedName name="_xlnm.Print_Area" localSheetId="10">IMPRIMIR!$A$1:$O$49</definedName>
    <definedName name="_xlnm.Print_Area" localSheetId="11">'IMPRIMIR 2'!$A$1:$O$49</definedName>
    <definedName name="_xlnm.Print_Area" localSheetId="12">'IMPRIMIR 3'!$A$1:$M$81</definedName>
    <definedName name="_xlnm.Print_Area" localSheetId="13">'IMPRIMIR 3 (2)'!$A$1:$M$81</definedName>
    <definedName name="_xlnm.Print_Area" localSheetId="15">'IMPRIMIR 4'!$A$1:$R$26</definedName>
    <definedName name="_xlnm.Print_Area" localSheetId="16">'IMPRIMIR 5'!$A$1:$R$31</definedName>
    <definedName name="_xlnm.Print_Area" localSheetId="6">'IMPRIMIR HOJA'!$A$1:$U$45</definedName>
    <definedName name="_xlnm.Print_Area" localSheetId="7">'IMPRIMIR HOJA (2)'!$A$1:$U$45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6" i="2" l="1"/>
  <c r="AG16" i="2"/>
  <c r="AG14" i="2"/>
  <c r="AG12" i="2"/>
  <c r="AG10" i="2"/>
  <c r="AF14" i="2"/>
  <c r="AF12" i="2"/>
  <c r="D40" i="36"/>
  <c r="G44" i="36"/>
  <c r="G40" i="36"/>
  <c r="G39" i="36"/>
  <c r="T60" i="34"/>
  <c r="S60" i="34"/>
  <c r="R60" i="34"/>
  <c r="S59" i="34"/>
  <c r="T58" i="34"/>
  <c r="AC10" i="34"/>
  <c r="AG14" i="34"/>
  <c r="AG12" i="34"/>
  <c r="AG10" i="34"/>
  <c r="AF14" i="34"/>
  <c r="AF12" i="34"/>
  <c r="AF10" i="34"/>
  <c r="F45" i="37" l="1"/>
  <c r="E45" i="37"/>
  <c r="F44" i="37"/>
  <c r="E44" i="37"/>
  <c r="G43" i="37"/>
  <c r="F43" i="37"/>
  <c r="E43" i="37"/>
  <c r="F42" i="37"/>
  <c r="E42" i="37"/>
  <c r="F41" i="37"/>
  <c r="E41" i="37"/>
  <c r="F40" i="37"/>
  <c r="E40" i="37"/>
  <c r="F39" i="37"/>
  <c r="E39" i="37"/>
  <c r="H35" i="37"/>
  <c r="G35" i="37"/>
  <c r="F35" i="37"/>
  <c r="E35" i="37"/>
  <c r="D35" i="37"/>
  <c r="H34" i="37"/>
  <c r="G34" i="37"/>
  <c r="F34" i="37"/>
  <c r="E34" i="37"/>
  <c r="D34" i="37"/>
  <c r="H33" i="37"/>
  <c r="G33" i="37"/>
  <c r="F33" i="37"/>
  <c r="E33" i="37"/>
  <c r="D33" i="37"/>
  <c r="H32" i="37"/>
  <c r="G32" i="37"/>
  <c r="F32" i="37"/>
  <c r="E32" i="37"/>
  <c r="D32" i="37"/>
  <c r="H31" i="37"/>
  <c r="G31" i="37"/>
  <c r="F31" i="37"/>
  <c r="E31" i="37"/>
  <c r="D31" i="37"/>
  <c r="G30" i="37"/>
  <c r="F30" i="37"/>
  <c r="E30" i="37"/>
  <c r="D30" i="37"/>
  <c r="H29" i="37"/>
  <c r="G29" i="37"/>
  <c r="F29" i="37"/>
  <c r="E29" i="37"/>
  <c r="D29" i="37"/>
  <c r="I28" i="37"/>
  <c r="I38" i="37" s="1"/>
  <c r="H25" i="37"/>
  <c r="G25" i="37"/>
  <c r="F25" i="37"/>
  <c r="E25" i="37"/>
  <c r="D25" i="37"/>
  <c r="H24" i="37"/>
  <c r="G24" i="37"/>
  <c r="F24" i="37"/>
  <c r="E24" i="37"/>
  <c r="D24" i="37"/>
  <c r="H23" i="37"/>
  <c r="G23" i="37"/>
  <c r="F23" i="37"/>
  <c r="E23" i="37"/>
  <c r="D23" i="37"/>
  <c r="H22" i="37"/>
  <c r="G22" i="37"/>
  <c r="F22" i="37"/>
  <c r="E22" i="37"/>
  <c r="D22" i="37"/>
  <c r="H21" i="37"/>
  <c r="G21" i="37"/>
  <c r="F21" i="37"/>
  <c r="E21" i="37"/>
  <c r="D21" i="37"/>
  <c r="T20" i="37"/>
  <c r="S20" i="37"/>
  <c r="R20" i="37"/>
  <c r="Q20" i="37"/>
  <c r="P20" i="37"/>
  <c r="O20" i="37"/>
  <c r="N20" i="37"/>
  <c r="M20" i="37"/>
  <c r="L20" i="37"/>
  <c r="K20" i="37"/>
  <c r="G20" i="37"/>
  <c r="F20" i="37"/>
  <c r="E20" i="37"/>
  <c r="D20" i="37"/>
  <c r="I19" i="37"/>
  <c r="H19" i="37"/>
  <c r="G19" i="37"/>
  <c r="F19" i="37"/>
  <c r="E19" i="37"/>
  <c r="D19" i="37"/>
  <c r="I18" i="37"/>
  <c r="B17" i="37"/>
  <c r="T16" i="37"/>
  <c r="S16" i="37"/>
  <c r="R16" i="37"/>
  <c r="Q16" i="37"/>
  <c r="P16" i="37"/>
  <c r="O16" i="37"/>
  <c r="N16" i="37"/>
  <c r="M16" i="37"/>
  <c r="L16" i="37"/>
  <c r="K16" i="37"/>
  <c r="T15" i="37"/>
  <c r="S15" i="37"/>
  <c r="R15" i="37"/>
  <c r="Q15" i="37"/>
  <c r="P15" i="37"/>
  <c r="O15" i="37"/>
  <c r="N15" i="37"/>
  <c r="M15" i="37"/>
  <c r="L15" i="37"/>
  <c r="K15" i="37"/>
  <c r="G42" i="37" s="1"/>
  <c r="I15" i="37"/>
  <c r="H15" i="37"/>
  <c r="G15" i="37"/>
  <c r="F15" i="37"/>
  <c r="E15" i="37"/>
  <c r="D15" i="37"/>
  <c r="T14" i="37"/>
  <c r="S14" i="37"/>
  <c r="R14" i="37"/>
  <c r="Q14" i="37"/>
  <c r="P14" i="37"/>
  <c r="O14" i="37"/>
  <c r="N14" i="37"/>
  <c r="M14" i="37"/>
  <c r="L14" i="37"/>
  <c r="K14" i="37"/>
  <c r="H14" i="37"/>
  <c r="G14" i="37"/>
  <c r="F14" i="37"/>
  <c r="E14" i="37"/>
  <c r="D14" i="37"/>
  <c r="T13" i="37"/>
  <c r="S13" i="37"/>
  <c r="R13" i="37"/>
  <c r="Q13" i="37"/>
  <c r="P13" i="37"/>
  <c r="O13" i="37"/>
  <c r="N13" i="37"/>
  <c r="M13" i="37"/>
  <c r="L13" i="37"/>
  <c r="K13" i="37"/>
  <c r="G45" i="37" s="1"/>
  <c r="H13" i="37"/>
  <c r="G13" i="37"/>
  <c r="F13" i="37"/>
  <c r="E13" i="37"/>
  <c r="D13" i="37"/>
  <c r="T12" i="37"/>
  <c r="S12" i="37"/>
  <c r="R12" i="37"/>
  <c r="Q12" i="37"/>
  <c r="P12" i="37"/>
  <c r="O12" i="37"/>
  <c r="N12" i="37"/>
  <c r="M12" i="37"/>
  <c r="L12" i="37"/>
  <c r="K12" i="37"/>
  <c r="I12" i="37"/>
  <c r="H12" i="37"/>
  <c r="G12" i="37"/>
  <c r="F12" i="37"/>
  <c r="E12" i="37"/>
  <c r="D12" i="37"/>
  <c r="H11" i="37"/>
  <c r="G11" i="37"/>
  <c r="F11" i="37"/>
  <c r="E11" i="37"/>
  <c r="D11" i="37"/>
  <c r="G10" i="37"/>
  <c r="F10" i="37"/>
  <c r="E10" i="37"/>
  <c r="D10" i="37"/>
  <c r="H9" i="37"/>
  <c r="G9" i="37"/>
  <c r="F9" i="37"/>
  <c r="E9" i="37"/>
  <c r="D9" i="37"/>
  <c r="T7" i="37"/>
  <c r="S7" i="37"/>
  <c r="R7" i="37"/>
  <c r="Q7" i="37"/>
  <c r="P7" i="37"/>
  <c r="O7" i="37"/>
  <c r="N7" i="37"/>
  <c r="M7" i="37"/>
  <c r="L7" i="37"/>
  <c r="K7" i="37"/>
  <c r="A4" i="37"/>
  <c r="A3" i="37"/>
  <c r="I45" i="37" s="1"/>
  <c r="A2" i="37"/>
  <c r="A1" i="37"/>
  <c r="I39" i="37" l="1"/>
  <c r="I22" i="37"/>
  <c r="I25" i="37"/>
  <c r="I30" i="37"/>
  <c r="I32" i="37"/>
  <c r="I34" i="37"/>
  <c r="I43" i="37"/>
  <c r="I40" i="37"/>
  <c r="I23" i="37"/>
  <c r="I9" i="37"/>
  <c r="I13" i="37"/>
  <c r="I20" i="37"/>
  <c r="I10" i="37"/>
  <c r="I31" i="37"/>
  <c r="I33" i="37"/>
  <c r="I35" i="37"/>
  <c r="I41" i="37"/>
  <c r="I44" i="37"/>
  <c r="I21" i="37"/>
  <c r="I24" i="37"/>
  <c r="I29" i="37"/>
  <c r="I11" i="37"/>
  <c r="I14" i="37"/>
  <c r="I42" i="37"/>
  <c r="AF10" i="2"/>
  <c r="F45" i="36"/>
  <c r="E45" i="36"/>
  <c r="F42" i="36"/>
  <c r="E42" i="36"/>
  <c r="F41" i="36"/>
  <c r="E41" i="36"/>
  <c r="F43" i="36"/>
  <c r="E43" i="36"/>
  <c r="F44" i="36"/>
  <c r="E44" i="36"/>
  <c r="F40" i="36"/>
  <c r="E40" i="36"/>
  <c r="F39" i="36"/>
  <c r="E39" i="36"/>
  <c r="O12" i="36"/>
  <c r="F29" i="36" l="1"/>
  <c r="E29" i="36"/>
  <c r="AG14" i="6"/>
  <c r="AG12" i="6"/>
  <c r="AG10" i="6"/>
  <c r="AF14" i="6"/>
  <c r="AF12" i="6"/>
  <c r="AF10" i="6"/>
  <c r="K32" i="6"/>
  <c r="K35" i="34"/>
  <c r="K29" i="34"/>
  <c r="K29" i="6"/>
  <c r="K23" i="6"/>
  <c r="K23" i="34"/>
  <c r="F34" i="36" l="1"/>
  <c r="F32" i="36"/>
  <c r="F30" i="36"/>
  <c r="F31" i="36"/>
  <c r="E34" i="36"/>
  <c r="E32" i="36"/>
  <c r="E30" i="36"/>
  <c r="E31" i="36"/>
  <c r="F15" i="36"/>
  <c r="F13" i="36"/>
  <c r="F9" i="36"/>
  <c r="E15" i="36"/>
  <c r="E13" i="36"/>
  <c r="E9" i="36"/>
  <c r="T20" i="36" l="1"/>
  <c r="S20" i="36"/>
  <c r="R20" i="36"/>
  <c r="Q20" i="36"/>
  <c r="P20" i="36"/>
  <c r="O20" i="36"/>
  <c r="N20" i="36"/>
  <c r="M20" i="36"/>
  <c r="L20" i="36"/>
  <c r="T16" i="36"/>
  <c r="S16" i="36" l="1"/>
  <c r="R16" i="36"/>
  <c r="Q16" i="36"/>
  <c r="P16" i="36"/>
  <c r="O16" i="36"/>
  <c r="N16" i="36"/>
  <c r="M16" i="36"/>
  <c r="L16" i="36"/>
  <c r="F24" i="36"/>
  <c r="E24" i="36"/>
  <c r="B4" i="35"/>
  <c r="H24" i="36" s="1"/>
  <c r="F21" i="36"/>
  <c r="E21" i="36"/>
  <c r="F19" i="36"/>
  <c r="E19" i="36"/>
  <c r="F33" i="36"/>
  <c r="E33" i="36"/>
  <c r="F35" i="36"/>
  <c r="E35" i="36"/>
  <c r="F20" i="36"/>
  <c r="E20" i="36"/>
  <c r="F25" i="36"/>
  <c r="E25" i="36"/>
  <c r="F23" i="36"/>
  <c r="E23" i="36"/>
  <c r="F22" i="36"/>
  <c r="E22" i="36"/>
  <c r="I18" i="36"/>
  <c r="I28" i="36" s="1"/>
  <c r="I38" i="36" s="1"/>
  <c r="B17" i="36"/>
  <c r="T12" i="36"/>
  <c r="S12" i="36"/>
  <c r="R12" i="36"/>
  <c r="Q12" i="36"/>
  <c r="P12" i="36"/>
  <c r="N12" i="36"/>
  <c r="M12" i="36"/>
  <c r="L12" i="36"/>
  <c r="F11" i="36"/>
  <c r="E11" i="36"/>
  <c r="F14" i="36"/>
  <c r="E14" i="36"/>
  <c r="F10" i="36"/>
  <c r="E10" i="36"/>
  <c r="F12" i="36"/>
  <c r="E12" i="36"/>
  <c r="T7" i="36"/>
  <c r="S7" i="36"/>
  <c r="R7" i="36"/>
  <c r="Q7" i="36"/>
  <c r="P7" i="36"/>
  <c r="O7" i="36"/>
  <c r="N7" i="36"/>
  <c r="M7" i="36"/>
  <c r="L7" i="36"/>
  <c r="A4" i="36"/>
  <c r="A3" i="36"/>
  <c r="A2" i="36"/>
  <c r="A1" i="36"/>
  <c r="AG16" i="35"/>
  <c r="AG14" i="35"/>
  <c r="AG12" i="35"/>
  <c r="AG10" i="35"/>
  <c r="AF16" i="35"/>
  <c r="AF14" i="35"/>
  <c r="AF12" i="35"/>
  <c r="AF10" i="35"/>
  <c r="AH10" i="35" s="1"/>
  <c r="P61" i="35"/>
  <c r="P60" i="35"/>
  <c r="P59" i="35"/>
  <c r="P58" i="35"/>
  <c r="AA16" i="35"/>
  <c r="AA14" i="35"/>
  <c r="AA12" i="35"/>
  <c r="AA10" i="35"/>
  <c r="K35" i="35"/>
  <c r="K32" i="35"/>
  <c r="K29" i="35"/>
  <c r="K26" i="35"/>
  <c r="K23" i="35"/>
  <c r="K20" i="35"/>
  <c r="E35" i="35"/>
  <c r="E32" i="35"/>
  <c r="E29" i="35"/>
  <c r="E26" i="35"/>
  <c r="E23" i="35"/>
  <c r="E20" i="35"/>
  <c r="L46" i="35"/>
  <c r="J46" i="35"/>
  <c r="L43" i="35"/>
  <c r="J43" i="35"/>
  <c r="J35" i="35"/>
  <c r="T61" i="35" s="1"/>
  <c r="F35" i="35"/>
  <c r="T58" i="35" s="1"/>
  <c r="J32" i="35"/>
  <c r="T60" i="35" s="1"/>
  <c r="F32" i="35"/>
  <c r="T59" i="35" s="1"/>
  <c r="J29" i="35"/>
  <c r="S61" i="35" s="1"/>
  <c r="F29" i="35"/>
  <c r="S59" i="35" s="1"/>
  <c r="J26" i="35"/>
  <c r="S60" i="35" s="1"/>
  <c r="F26" i="35"/>
  <c r="S58" i="35" s="1"/>
  <c r="J23" i="35"/>
  <c r="R61" i="35" s="1"/>
  <c r="F23" i="35"/>
  <c r="R60" i="35" s="1"/>
  <c r="J20" i="35"/>
  <c r="R59" i="35" s="1"/>
  <c r="F20" i="35"/>
  <c r="R58" i="35" s="1"/>
  <c r="J17" i="35"/>
  <c r="F17" i="35"/>
  <c r="Q61" i="35" s="1"/>
  <c r="AI16" i="35"/>
  <c r="AI14" i="35"/>
  <c r="J14" i="35"/>
  <c r="F14" i="35"/>
  <c r="Q60" i="35" s="1"/>
  <c r="AI12" i="35"/>
  <c r="J11" i="35"/>
  <c r="F11" i="35"/>
  <c r="Q59" i="35" s="1"/>
  <c r="AI10" i="35"/>
  <c r="J8" i="35"/>
  <c r="F8" i="35"/>
  <c r="Q58" i="35" s="1"/>
  <c r="AJ6" i="35"/>
  <c r="AJ8" i="35" s="1"/>
  <c r="F3" i="35"/>
  <c r="B3" i="35"/>
  <c r="A1" i="35"/>
  <c r="AA14" i="34"/>
  <c r="AA12" i="34"/>
  <c r="AA10" i="34"/>
  <c r="P61" i="34"/>
  <c r="P60" i="34"/>
  <c r="P59" i="34"/>
  <c r="P58" i="34"/>
  <c r="E32" i="34"/>
  <c r="E26" i="34"/>
  <c r="K32" i="34"/>
  <c r="K26" i="34"/>
  <c r="K20" i="34"/>
  <c r="E20" i="34"/>
  <c r="B4" i="34"/>
  <c r="H19" i="36" s="1"/>
  <c r="B4" i="2"/>
  <c r="H22" i="36" s="1"/>
  <c r="L46" i="34"/>
  <c r="J46" i="34"/>
  <c r="L43" i="34"/>
  <c r="J43" i="34"/>
  <c r="J35" i="34"/>
  <c r="T61" i="34" s="1"/>
  <c r="F35" i="34"/>
  <c r="J32" i="34"/>
  <c r="F32" i="34"/>
  <c r="T59" i="34" s="1"/>
  <c r="J29" i="34"/>
  <c r="S61" i="34" s="1"/>
  <c r="F29" i="34"/>
  <c r="J26" i="34"/>
  <c r="F26" i="34"/>
  <c r="S58" i="34" s="1"/>
  <c r="J23" i="34"/>
  <c r="R61" i="34" s="1"/>
  <c r="F23" i="34"/>
  <c r="J20" i="34"/>
  <c r="R59" i="34" s="1"/>
  <c r="F20" i="34"/>
  <c r="R58" i="34" s="1"/>
  <c r="J17" i="34"/>
  <c r="F17" i="34"/>
  <c r="Q61" i="34" s="1"/>
  <c r="AI14" i="34"/>
  <c r="J14" i="34"/>
  <c r="F14" i="34"/>
  <c r="Q60" i="34" s="1"/>
  <c r="AI12" i="34"/>
  <c r="J11" i="34"/>
  <c r="F11" i="34"/>
  <c r="Q59" i="34" s="1"/>
  <c r="AI10" i="34"/>
  <c r="J8" i="34"/>
  <c r="F8" i="34"/>
  <c r="Q58" i="34" s="1"/>
  <c r="AJ6" i="34"/>
  <c r="AJ8" i="34" s="1"/>
  <c r="F3" i="34"/>
  <c r="B3" i="34"/>
  <c r="A1" i="34"/>
  <c r="AH16" i="35" l="1"/>
  <c r="AH14" i="35"/>
  <c r="I45" i="36"/>
  <c r="I25" i="36"/>
  <c r="I10" i="36"/>
  <c r="I42" i="36"/>
  <c r="I24" i="36"/>
  <c r="I9" i="36"/>
  <c r="I41" i="36"/>
  <c r="I23" i="36"/>
  <c r="I44" i="36"/>
  <c r="I22" i="36"/>
  <c r="I43" i="36"/>
  <c r="I21" i="36"/>
  <c r="I20" i="36"/>
  <c r="I34" i="36"/>
  <c r="I19" i="36"/>
  <c r="I33" i="36"/>
  <c r="I15" i="36"/>
  <c r="I32" i="36"/>
  <c r="I14" i="36"/>
  <c r="I31" i="36"/>
  <c r="I13" i="36"/>
  <c r="I40" i="36"/>
  <c r="I29" i="36"/>
  <c r="I12" i="36"/>
  <c r="I39" i="36"/>
  <c r="I30" i="36"/>
  <c r="I11" i="36"/>
  <c r="I35" i="36"/>
  <c r="AH12" i="34"/>
  <c r="H33" i="36"/>
  <c r="K7" i="36"/>
  <c r="H12" i="36"/>
  <c r="AH10" i="34"/>
  <c r="H14" i="36"/>
  <c r="H23" i="36"/>
  <c r="H35" i="36"/>
  <c r="H9" i="36"/>
  <c r="H31" i="36"/>
  <c r="H21" i="36"/>
  <c r="H34" i="36"/>
  <c r="H13" i="36"/>
  <c r="H32" i="36"/>
  <c r="H15" i="36"/>
  <c r="K20" i="36"/>
  <c r="K16" i="36"/>
  <c r="AH14" i="34"/>
  <c r="AH12" i="35"/>
  <c r="G34" i="36"/>
  <c r="D15" i="36"/>
  <c r="D32" i="36"/>
  <c r="G13" i="36"/>
  <c r="D21" i="36"/>
  <c r="D34" i="36"/>
  <c r="G15" i="36"/>
  <c r="D24" i="36"/>
  <c r="D13" i="36"/>
  <c r="G32" i="36"/>
  <c r="G21" i="36"/>
  <c r="G24" i="36"/>
  <c r="D9" i="36"/>
  <c r="G31" i="36"/>
  <c r="G9" i="36"/>
  <c r="G30" i="36"/>
  <c r="D31" i="36"/>
  <c r="D19" i="36"/>
  <c r="G19" i="36"/>
  <c r="AC16" i="35"/>
  <c r="AD16" i="35"/>
  <c r="AE16" i="35"/>
  <c r="AE14" i="35"/>
  <c r="AD14" i="35"/>
  <c r="AC14" i="35"/>
  <c r="AE10" i="35"/>
  <c r="AD10" i="35"/>
  <c r="AC10" i="35"/>
  <c r="AE12" i="35"/>
  <c r="AD12" i="35"/>
  <c r="AC12" i="35"/>
  <c r="AE10" i="34"/>
  <c r="AD10" i="34"/>
  <c r="AE14" i="34"/>
  <c r="AD14" i="34"/>
  <c r="AC14" i="34"/>
  <c r="AE12" i="34"/>
  <c r="AD12" i="34"/>
  <c r="AC12" i="34"/>
  <c r="C1" i="31"/>
  <c r="AB14" i="34" l="1"/>
  <c r="AJ14" i="34" s="1"/>
  <c r="AB14" i="35"/>
  <c r="AJ14" i="35" s="1"/>
  <c r="AB10" i="35"/>
  <c r="AJ10" i="35" s="1"/>
  <c r="AB12" i="35"/>
  <c r="AJ12" i="35" s="1"/>
  <c r="AB16" i="35"/>
  <c r="AJ16" i="35" s="1"/>
  <c r="AB10" i="34"/>
  <c r="AJ10" i="34" s="1"/>
  <c r="AB12" i="34"/>
  <c r="AJ12" i="34" s="1"/>
  <c r="Z16" i="35" l="1"/>
  <c r="Z10" i="35"/>
  <c r="Z12" i="35"/>
  <c r="Z14" i="35"/>
  <c r="Z12" i="34"/>
  <c r="Z10" i="34"/>
  <c r="Z14" i="34"/>
  <c r="Y16" i="35" l="1"/>
  <c r="T24" i="37" s="1"/>
  <c r="U16" i="35"/>
  <c r="P24" i="37" s="1"/>
  <c r="Q16" i="35"/>
  <c r="L24" i="37" s="1"/>
  <c r="W14" i="35"/>
  <c r="R23" i="37" s="1"/>
  <c r="S14" i="35"/>
  <c r="N23" i="37" s="1"/>
  <c r="W12" i="35"/>
  <c r="R22" i="37" s="1"/>
  <c r="S12" i="35"/>
  <c r="N22" i="37" s="1"/>
  <c r="W10" i="35"/>
  <c r="R21" i="37" s="1"/>
  <c r="S10" i="35"/>
  <c r="N21" i="37" s="1"/>
  <c r="T14" i="35"/>
  <c r="O23" i="37" s="1"/>
  <c r="X12" i="35"/>
  <c r="S22" i="37" s="1"/>
  <c r="P10" i="35"/>
  <c r="K21" i="37" s="1"/>
  <c r="X16" i="35"/>
  <c r="S24" i="37" s="1"/>
  <c r="T16" i="35"/>
  <c r="O24" i="37" s="1"/>
  <c r="P16" i="35"/>
  <c r="K24" i="37" s="1"/>
  <c r="V14" i="35"/>
  <c r="Q23" i="37" s="1"/>
  <c r="V12" i="35"/>
  <c r="Q22" i="37" s="1"/>
  <c r="V10" i="35"/>
  <c r="Q21" i="37" s="1"/>
  <c r="T12" i="35"/>
  <c r="O22" i="37" s="1"/>
  <c r="T10" i="35"/>
  <c r="O21" i="37" s="1"/>
  <c r="W16" i="35"/>
  <c r="R24" i="37" s="1"/>
  <c r="S16" i="35"/>
  <c r="N24" i="37" s="1"/>
  <c r="Y14" i="35"/>
  <c r="T23" i="37" s="1"/>
  <c r="U14" i="35"/>
  <c r="P23" i="37" s="1"/>
  <c r="Q14" i="35"/>
  <c r="L23" i="37" s="1"/>
  <c r="Y12" i="35"/>
  <c r="T22" i="37" s="1"/>
  <c r="U12" i="35"/>
  <c r="P22" i="37" s="1"/>
  <c r="Q12" i="35"/>
  <c r="L22" i="37" s="1"/>
  <c r="Y10" i="35"/>
  <c r="T21" i="37" s="1"/>
  <c r="U10" i="35"/>
  <c r="P21" i="37" s="1"/>
  <c r="Q10" i="35"/>
  <c r="L21" i="37" s="1"/>
  <c r="V16" i="35"/>
  <c r="Q24" i="37" s="1"/>
  <c r="X14" i="35"/>
  <c r="S23" i="37" s="1"/>
  <c r="P14" i="35"/>
  <c r="K23" i="37" s="1"/>
  <c r="P12" i="35"/>
  <c r="K22" i="37" s="1"/>
  <c r="X10" i="35"/>
  <c r="S21" i="37" s="1"/>
  <c r="P10" i="34"/>
  <c r="K17" i="37" s="1"/>
  <c r="D44" i="37" s="1"/>
  <c r="P12" i="34"/>
  <c r="K18" i="37" s="1"/>
  <c r="D40" i="37" s="1"/>
  <c r="W14" i="34"/>
  <c r="R19" i="37" s="1"/>
  <c r="S14" i="34"/>
  <c r="N19" i="37" s="1"/>
  <c r="W12" i="34"/>
  <c r="R18" i="37" s="1"/>
  <c r="S12" i="34"/>
  <c r="N18" i="37" s="1"/>
  <c r="W10" i="34"/>
  <c r="R17" i="37" s="1"/>
  <c r="S10" i="34"/>
  <c r="N17" i="37" s="1"/>
  <c r="Y14" i="34"/>
  <c r="T19" i="37" s="1"/>
  <c r="U14" i="34"/>
  <c r="P19" i="37" s="1"/>
  <c r="Q14" i="34"/>
  <c r="L19" i="37" s="1"/>
  <c r="Y12" i="34"/>
  <c r="T18" i="37" s="1"/>
  <c r="U12" i="34"/>
  <c r="P18" i="37" s="1"/>
  <c r="Q12" i="34"/>
  <c r="L18" i="37" s="1"/>
  <c r="Q10" i="34"/>
  <c r="L17" i="37" s="1"/>
  <c r="T14" i="34"/>
  <c r="O19" i="37" s="1"/>
  <c r="P14" i="34"/>
  <c r="K19" i="37" s="1"/>
  <c r="D39" i="37" s="1"/>
  <c r="X12" i="34"/>
  <c r="S18" i="37" s="1"/>
  <c r="X10" i="34"/>
  <c r="S17" i="37" s="1"/>
  <c r="V14" i="34"/>
  <c r="Q19" i="37" s="1"/>
  <c r="V12" i="34"/>
  <c r="Q18" i="37" s="1"/>
  <c r="V10" i="34"/>
  <c r="Q17" i="37" s="1"/>
  <c r="Y10" i="34"/>
  <c r="T17" i="37" s="1"/>
  <c r="U10" i="34"/>
  <c r="P17" i="37" s="1"/>
  <c r="X14" i="34"/>
  <c r="S19" i="37" s="1"/>
  <c r="T12" i="34"/>
  <c r="O18" i="37" s="1"/>
  <c r="T10" i="34"/>
  <c r="O17" i="37" s="1"/>
  <c r="W35" i="34" l="1"/>
  <c r="W34" i="34"/>
  <c r="W34" i="35"/>
  <c r="W35" i="35"/>
  <c r="K21" i="36"/>
  <c r="R21" i="36"/>
  <c r="R23" i="36"/>
  <c r="Q24" i="36"/>
  <c r="P23" i="36"/>
  <c r="Q23" i="36"/>
  <c r="L21" i="36"/>
  <c r="T23" i="36"/>
  <c r="O22" i="36"/>
  <c r="K24" i="36"/>
  <c r="AK12" i="35"/>
  <c r="S22" i="36"/>
  <c r="N22" i="36"/>
  <c r="L24" i="36"/>
  <c r="L22" i="36"/>
  <c r="O21" i="36"/>
  <c r="K23" i="36"/>
  <c r="P21" i="36"/>
  <c r="T22" i="36"/>
  <c r="R16" i="35"/>
  <c r="M24" i="37" s="1"/>
  <c r="N24" i="36"/>
  <c r="Q21" i="36"/>
  <c r="O24" i="36"/>
  <c r="O23" i="36"/>
  <c r="R22" i="36"/>
  <c r="P24" i="36"/>
  <c r="AK10" i="35"/>
  <c r="S21" i="36"/>
  <c r="K22" i="36"/>
  <c r="P22" i="36"/>
  <c r="AK14" i="35"/>
  <c r="S23" i="36"/>
  <c r="T21" i="36"/>
  <c r="L23" i="36"/>
  <c r="R24" i="36"/>
  <c r="Q22" i="36"/>
  <c r="AK16" i="35"/>
  <c r="S24" i="36"/>
  <c r="N21" i="36"/>
  <c r="N23" i="36"/>
  <c r="T24" i="36"/>
  <c r="O17" i="36"/>
  <c r="AK12" i="34"/>
  <c r="S18" i="36"/>
  <c r="L19" i="36"/>
  <c r="R18" i="36"/>
  <c r="O18" i="36"/>
  <c r="Q17" i="36"/>
  <c r="K19" i="36"/>
  <c r="D39" i="36" s="1"/>
  <c r="L18" i="36"/>
  <c r="P19" i="36"/>
  <c r="N17" i="36"/>
  <c r="N19" i="36"/>
  <c r="AK14" i="34"/>
  <c r="S19" i="36"/>
  <c r="Q18" i="36"/>
  <c r="O19" i="36"/>
  <c r="P18" i="36"/>
  <c r="T19" i="36"/>
  <c r="R17" i="36"/>
  <c r="R19" i="36"/>
  <c r="K18" i="36"/>
  <c r="G41" i="36" s="1"/>
  <c r="T17" i="36"/>
  <c r="L17" i="36"/>
  <c r="P17" i="36"/>
  <c r="Q19" i="36"/>
  <c r="AK10" i="34"/>
  <c r="S17" i="36"/>
  <c r="T18" i="36"/>
  <c r="N18" i="36"/>
  <c r="K17" i="36"/>
  <c r="D44" i="36" s="1"/>
  <c r="R12" i="35"/>
  <c r="M22" i="37" s="1"/>
  <c r="R10" i="35"/>
  <c r="M21" i="37" s="1"/>
  <c r="R14" i="35"/>
  <c r="M23" i="37" s="1"/>
  <c r="R12" i="34"/>
  <c r="M18" i="37" s="1"/>
  <c r="R10" i="34"/>
  <c r="M17" i="37" s="1"/>
  <c r="R14" i="34"/>
  <c r="M19" i="37" s="1"/>
  <c r="M23" i="36" l="1"/>
  <c r="M21" i="36"/>
  <c r="M24" i="36"/>
  <c r="M22" i="36"/>
  <c r="M19" i="36"/>
  <c r="M17" i="36"/>
  <c r="M18" i="36"/>
  <c r="A1" i="10"/>
  <c r="A2" i="11"/>
  <c r="F11" i="6"/>
  <c r="AA16" i="2" l="1"/>
  <c r="AA14" i="2"/>
  <c r="AA12" i="2"/>
  <c r="AA10" i="2"/>
  <c r="F8" i="2"/>
  <c r="Q58" i="2" s="1"/>
  <c r="AJ6" i="2"/>
  <c r="AJ8" i="2" s="1"/>
  <c r="AI14" i="6"/>
  <c r="AI12" i="6"/>
  <c r="AI10" i="6"/>
  <c r="AI16" i="2"/>
  <c r="AI14" i="2"/>
  <c r="AI12" i="2"/>
  <c r="AI10" i="2"/>
  <c r="J14" i="6"/>
  <c r="R60" i="6" s="1"/>
  <c r="E20" i="6"/>
  <c r="F20" i="6"/>
  <c r="J20" i="6"/>
  <c r="K20" i="6"/>
  <c r="AA10" i="6"/>
  <c r="E23" i="6"/>
  <c r="E23" i="34" s="1"/>
  <c r="F23" i="6"/>
  <c r="J23" i="6"/>
  <c r="AA12" i="6"/>
  <c r="E26" i="6"/>
  <c r="F26" i="6"/>
  <c r="J26" i="6"/>
  <c r="K26" i="6"/>
  <c r="AA14" i="6"/>
  <c r="E29" i="6"/>
  <c r="E29" i="34" s="1"/>
  <c r="F29" i="6"/>
  <c r="J29" i="6"/>
  <c r="J8" i="2"/>
  <c r="F14" i="2"/>
  <c r="Q60" i="2" s="1"/>
  <c r="F11" i="2"/>
  <c r="Q59" i="2" s="1"/>
  <c r="J17" i="2"/>
  <c r="F17" i="2"/>
  <c r="Q61" i="2" s="1"/>
  <c r="J14" i="2"/>
  <c r="J11" i="2"/>
  <c r="G25" i="36" l="1"/>
  <c r="D20" i="36"/>
  <c r="G10" i="36"/>
  <c r="D11" i="36"/>
  <c r="D25" i="36"/>
  <c r="D10" i="36"/>
  <c r="G20" i="36"/>
  <c r="G11" i="36"/>
  <c r="AH10" i="2"/>
  <c r="J17" i="6"/>
  <c r="R61" i="6" s="1"/>
  <c r="J11" i="6"/>
  <c r="R59" i="6" s="1"/>
  <c r="F8" i="6"/>
  <c r="AH10" i="6"/>
  <c r="F17" i="6"/>
  <c r="AJ6" i="6"/>
  <c r="F14" i="6"/>
  <c r="AH14" i="6"/>
  <c r="AH12" i="6"/>
  <c r="J8" i="6"/>
  <c r="R58" i="6" s="1"/>
  <c r="AH16" i="2"/>
  <c r="AH14" i="2"/>
  <c r="AH12" i="2"/>
  <c r="B21" i="27"/>
  <c r="B18" i="27"/>
  <c r="B55" i="29" l="1"/>
  <c r="B51" i="29"/>
  <c r="H42" i="29"/>
  <c r="F42" i="29"/>
  <c r="E42" i="29"/>
  <c r="C42" i="29"/>
  <c r="B42" i="29"/>
  <c r="H41" i="29"/>
  <c r="F41" i="29"/>
  <c r="E41" i="29"/>
  <c r="C41" i="29"/>
  <c r="B41" i="29"/>
  <c r="B39" i="29"/>
  <c r="B69" i="30"/>
  <c r="B64" i="30"/>
  <c r="B59" i="30"/>
  <c r="F57" i="30"/>
  <c r="E57" i="30"/>
  <c r="F53" i="30"/>
  <c r="E53" i="30"/>
  <c r="F49" i="30"/>
  <c r="E49" i="30"/>
  <c r="F48" i="30"/>
  <c r="E48" i="30"/>
  <c r="A57" i="30"/>
  <c r="A53" i="30"/>
  <c r="B53" i="30"/>
  <c r="B57" i="30"/>
  <c r="C57" i="30"/>
  <c r="B55" i="30"/>
  <c r="C53" i="30"/>
  <c r="B51" i="30"/>
  <c r="H49" i="30"/>
  <c r="C49" i="30"/>
  <c r="B49" i="30"/>
  <c r="H48" i="30"/>
  <c r="C48" i="30"/>
  <c r="B48" i="30"/>
  <c r="A48" i="30"/>
  <c r="B46" i="30"/>
  <c r="H44" i="30"/>
  <c r="F44" i="30"/>
  <c r="E44" i="30"/>
  <c r="C44" i="30"/>
  <c r="B44" i="30"/>
  <c r="H43" i="30"/>
  <c r="F43" i="30"/>
  <c r="E43" i="30"/>
  <c r="C43" i="30"/>
  <c r="B43" i="30"/>
  <c r="H42" i="30"/>
  <c r="F42" i="30"/>
  <c r="E42" i="30"/>
  <c r="C42" i="30"/>
  <c r="B42" i="30"/>
  <c r="H41" i="30"/>
  <c r="F41" i="30"/>
  <c r="E41" i="30"/>
  <c r="C41" i="30"/>
  <c r="B41" i="30"/>
  <c r="A41" i="30"/>
  <c r="B39" i="30"/>
  <c r="F37" i="30"/>
  <c r="E37" i="30"/>
  <c r="C37" i="30"/>
  <c r="B37" i="30"/>
  <c r="F36" i="30"/>
  <c r="E36" i="30"/>
  <c r="C36" i="30"/>
  <c r="B36" i="30"/>
  <c r="F35" i="30"/>
  <c r="E35" i="30"/>
  <c r="C35" i="30"/>
  <c r="B35" i="30"/>
  <c r="F34" i="30"/>
  <c r="E34" i="30"/>
  <c r="C34" i="30"/>
  <c r="B34" i="30"/>
  <c r="F33" i="30"/>
  <c r="E33" i="30"/>
  <c r="C33" i="30"/>
  <c r="B33" i="30"/>
  <c r="F32" i="30"/>
  <c r="E32" i="30"/>
  <c r="C32" i="30"/>
  <c r="B32" i="30"/>
  <c r="F31" i="30"/>
  <c r="E31" i="30"/>
  <c r="C31" i="30"/>
  <c r="B31" i="30"/>
  <c r="F30" i="30"/>
  <c r="E30" i="30"/>
  <c r="C30" i="30"/>
  <c r="B30" i="30"/>
  <c r="A30" i="30"/>
  <c r="B28" i="30"/>
  <c r="F26" i="30"/>
  <c r="E26" i="30"/>
  <c r="C26" i="30"/>
  <c r="B26" i="30"/>
  <c r="S25" i="30"/>
  <c r="R25" i="30"/>
  <c r="Q25" i="30"/>
  <c r="P25" i="30"/>
  <c r="O25" i="30"/>
  <c r="N25" i="30"/>
  <c r="M25" i="30"/>
  <c r="L25" i="30"/>
  <c r="K25" i="30"/>
  <c r="F25" i="30"/>
  <c r="E25" i="30"/>
  <c r="C25" i="30"/>
  <c r="B25" i="30"/>
  <c r="F24" i="30"/>
  <c r="E24" i="30"/>
  <c r="C24" i="30"/>
  <c r="B24" i="30"/>
  <c r="F23" i="30"/>
  <c r="E23" i="30"/>
  <c r="C23" i="30"/>
  <c r="B23" i="30"/>
  <c r="F22" i="30"/>
  <c r="E22" i="30"/>
  <c r="C22" i="30"/>
  <c r="B22" i="30"/>
  <c r="F21" i="30"/>
  <c r="E21" i="30"/>
  <c r="C21" i="30"/>
  <c r="B21" i="30"/>
  <c r="F20" i="30"/>
  <c r="E20" i="30"/>
  <c r="C20" i="30"/>
  <c r="B20" i="30"/>
  <c r="S19" i="30"/>
  <c r="R19" i="30"/>
  <c r="Q19" i="30"/>
  <c r="P19" i="30"/>
  <c r="O19" i="30"/>
  <c r="N19" i="30"/>
  <c r="M19" i="30"/>
  <c r="L19" i="30"/>
  <c r="K19" i="30"/>
  <c r="F19" i="30"/>
  <c r="E19" i="30"/>
  <c r="C19" i="30"/>
  <c r="B19" i="30"/>
  <c r="A19" i="30"/>
  <c r="B17" i="30"/>
  <c r="F15" i="30"/>
  <c r="E15" i="30"/>
  <c r="C15" i="30"/>
  <c r="B15" i="30"/>
  <c r="F14" i="30"/>
  <c r="E14" i="30"/>
  <c r="C14" i="30"/>
  <c r="B14" i="30"/>
  <c r="F13" i="30"/>
  <c r="E13" i="30"/>
  <c r="C13" i="30"/>
  <c r="B13" i="30"/>
  <c r="S12" i="30"/>
  <c r="R12" i="30"/>
  <c r="Q12" i="30"/>
  <c r="P12" i="30"/>
  <c r="O12" i="30"/>
  <c r="N12" i="30"/>
  <c r="M12" i="30"/>
  <c r="L12" i="30"/>
  <c r="K12" i="30"/>
  <c r="F12" i="30"/>
  <c r="E12" i="30"/>
  <c r="C12" i="30"/>
  <c r="B12" i="30"/>
  <c r="F11" i="30"/>
  <c r="E11" i="30"/>
  <c r="C11" i="30"/>
  <c r="B11" i="30"/>
  <c r="F10" i="30"/>
  <c r="E10" i="30"/>
  <c r="C10" i="30"/>
  <c r="B10" i="30"/>
  <c r="F9" i="30"/>
  <c r="E9" i="30"/>
  <c r="C9" i="30"/>
  <c r="B9" i="30"/>
  <c r="F8" i="30"/>
  <c r="E8" i="30"/>
  <c r="C8" i="30"/>
  <c r="B8" i="30"/>
  <c r="A8" i="30"/>
  <c r="S6" i="30"/>
  <c r="R6" i="30"/>
  <c r="Q6" i="30"/>
  <c r="P6" i="30"/>
  <c r="O6" i="30"/>
  <c r="N6" i="30"/>
  <c r="M6" i="30"/>
  <c r="L6" i="30"/>
  <c r="K6" i="30"/>
  <c r="B6" i="30"/>
  <c r="A4" i="30"/>
  <c r="A3" i="30"/>
  <c r="A2" i="30"/>
  <c r="A1" i="30"/>
  <c r="B57" i="29"/>
  <c r="B53" i="29"/>
  <c r="F57" i="29"/>
  <c r="E57" i="29"/>
  <c r="C57" i="29"/>
  <c r="F53" i="29"/>
  <c r="E53" i="29"/>
  <c r="C53" i="29"/>
  <c r="A53" i="29"/>
  <c r="H49" i="29"/>
  <c r="H48" i="29"/>
  <c r="E48" i="29"/>
  <c r="F48" i="29"/>
  <c r="C49" i="29"/>
  <c r="C48" i="29"/>
  <c r="B49" i="29"/>
  <c r="B48" i="29"/>
  <c r="A48" i="29"/>
  <c r="B46" i="29"/>
  <c r="F49" i="29"/>
  <c r="E49" i="29"/>
  <c r="H44" i="29"/>
  <c r="F44" i="29"/>
  <c r="E44" i="29"/>
  <c r="C44" i="29"/>
  <c r="B44" i="29"/>
  <c r="H43" i="29"/>
  <c r="F43" i="29"/>
  <c r="E43" i="29"/>
  <c r="C43" i="29"/>
  <c r="B43" i="29"/>
  <c r="A41" i="29"/>
  <c r="F37" i="29"/>
  <c r="E37" i="29"/>
  <c r="C37" i="29"/>
  <c r="B37" i="29"/>
  <c r="F36" i="29"/>
  <c r="E36" i="29"/>
  <c r="C36" i="29"/>
  <c r="B36" i="29"/>
  <c r="F35" i="29"/>
  <c r="E35" i="29"/>
  <c r="C35" i="29"/>
  <c r="B35" i="29"/>
  <c r="F34" i="29"/>
  <c r="E34" i="29"/>
  <c r="C34" i="29"/>
  <c r="B34" i="29"/>
  <c r="F33" i="29"/>
  <c r="E33" i="29"/>
  <c r="C33" i="29"/>
  <c r="B33" i="29"/>
  <c r="F32" i="29"/>
  <c r="E32" i="29"/>
  <c r="C32" i="29"/>
  <c r="B32" i="29"/>
  <c r="F31" i="29"/>
  <c r="E31" i="29"/>
  <c r="C31" i="29"/>
  <c r="B31" i="29"/>
  <c r="F30" i="29"/>
  <c r="E30" i="29"/>
  <c r="C30" i="29"/>
  <c r="B30" i="29"/>
  <c r="A30" i="29"/>
  <c r="B28" i="29"/>
  <c r="F26" i="29"/>
  <c r="E26" i="29"/>
  <c r="C26" i="29"/>
  <c r="B26" i="29"/>
  <c r="S25" i="29"/>
  <c r="R25" i="29"/>
  <c r="Q25" i="29"/>
  <c r="P25" i="29"/>
  <c r="O25" i="29"/>
  <c r="N25" i="29"/>
  <c r="M25" i="29"/>
  <c r="L25" i="29"/>
  <c r="K25" i="29"/>
  <c r="F25" i="29"/>
  <c r="E25" i="29"/>
  <c r="C25" i="29"/>
  <c r="B25" i="29"/>
  <c r="F24" i="29"/>
  <c r="E24" i="29"/>
  <c r="C24" i="29"/>
  <c r="B24" i="29"/>
  <c r="F23" i="29"/>
  <c r="E23" i="29"/>
  <c r="C23" i="29"/>
  <c r="B23" i="29"/>
  <c r="F22" i="29"/>
  <c r="E22" i="29"/>
  <c r="C22" i="29"/>
  <c r="B22" i="29"/>
  <c r="F21" i="29"/>
  <c r="E21" i="29"/>
  <c r="C21" i="29"/>
  <c r="B21" i="29"/>
  <c r="F20" i="29"/>
  <c r="E20" i="29"/>
  <c r="C20" i="29"/>
  <c r="B20" i="29"/>
  <c r="S19" i="29"/>
  <c r="R19" i="29"/>
  <c r="Q19" i="29"/>
  <c r="P19" i="29"/>
  <c r="O19" i="29"/>
  <c r="N19" i="29"/>
  <c r="M19" i="29"/>
  <c r="L19" i="29"/>
  <c r="K19" i="29"/>
  <c r="F19" i="29"/>
  <c r="E19" i="29"/>
  <c r="C19" i="29"/>
  <c r="B19" i="29"/>
  <c r="A19" i="29"/>
  <c r="B17" i="29"/>
  <c r="F15" i="29"/>
  <c r="E15" i="29"/>
  <c r="C15" i="29"/>
  <c r="B15" i="29"/>
  <c r="F14" i="29"/>
  <c r="E14" i="29"/>
  <c r="C14" i="29"/>
  <c r="B14" i="29"/>
  <c r="F13" i="29"/>
  <c r="E13" i="29"/>
  <c r="C13" i="29"/>
  <c r="B13" i="29"/>
  <c r="S12" i="29"/>
  <c r="R12" i="29"/>
  <c r="Q12" i="29"/>
  <c r="P12" i="29"/>
  <c r="O12" i="29"/>
  <c r="N12" i="29"/>
  <c r="M12" i="29"/>
  <c r="L12" i="29"/>
  <c r="K12" i="29"/>
  <c r="F12" i="29"/>
  <c r="E12" i="29"/>
  <c r="C12" i="29"/>
  <c r="B12" i="29"/>
  <c r="F11" i="29"/>
  <c r="E11" i="29"/>
  <c r="C11" i="29"/>
  <c r="B11" i="29"/>
  <c r="F10" i="29"/>
  <c r="E10" i="29"/>
  <c r="C10" i="29"/>
  <c r="B10" i="29"/>
  <c r="F9" i="29"/>
  <c r="E9" i="29"/>
  <c r="C9" i="29"/>
  <c r="B9" i="29"/>
  <c r="F8" i="29"/>
  <c r="E8" i="29"/>
  <c r="C8" i="29"/>
  <c r="B8" i="29"/>
  <c r="A8" i="29"/>
  <c r="S6" i="29"/>
  <c r="R6" i="29"/>
  <c r="Q6" i="29"/>
  <c r="P6" i="29"/>
  <c r="O6" i="29"/>
  <c r="N6" i="29"/>
  <c r="M6" i="29"/>
  <c r="L6" i="29"/>
  <c r="K6" i="29"/>
  <c r="B6" i="29"/>
  <c r="A4" i="29"/>
  <c r="A3" i="29"/>
  <c r="A2" i="29"/>
  <c r="A1" i="29"/>
  <c r="A41" i="28"/>
  <c r="H44" i="28"/>
  <c r="F44" i="28"/>
  <c r="E44" i="28"/>
  <c r="C44" i="28"/>
  <c r="B44" i="28"/>
  <c r="H43" i="28"/>
  <c r="F43" i="28"/>
  <c r="E43" i="28"/>
  <c r="C43" i="28"/>
  <c r="B43" i="28"/>
  <c r="H42" i="28"/>
  <c r="F42" i="28"/>
  <c r="E42" i="28"/>
  <c r="C42" i="28"/>
  <c r="B42" i="28"/>
  <c r="H41" i="28"/>
  <c r="F41" i="28"/>
  <c r="E41" i="28"/>
  <c r="C41" i="28"/>
  <c r="B41" i="28"/>
  <c r="B39" i="28"/>
  <c r="F37" i="28"/>
  <c r="E37" i="28"/>
  <c r="C37" i="28"/>
  <c r="B37" i="28"/>
  <c r="F36" i="28"/>
  <c r="E36" i="28"/>
  <c r="C36" i="28"/>
  <c r="B36" i="28"/>
  <c r="F35" i="28"/>
  <c r="E35" i="28"/>
  <c r="C35" i="28"/>
  <c r="B35" i="28"/>
  <c r="F34" i="28"/>
  <c r="E34" i="28"/>
  <c r="C34" i="28"/>
  <c r="B34" i="28"/>
  <c r="F33" i="28"/>
  <c r="E33" i="28"/>
  <c r="C33" i="28"/>
  <c r="B33" i="28"/>
  <c r="F32" i="28"/>
  <c r="E32" i="28"/>
  <c r="C32" i="28"/>
  <c r="B32" i="28"/>
  <c r="F31" i="28"/>
  <c r="E31" i="28"/>
  <c r="C31" i="28"/>
  <c r="B31" i="28"/>
  <c r="F30" i="28"/>
  <c r="E30" i="28"/>
  <c r="C30" i="28"/>
  <c r="B30" i="28"/>
  <c r="A30" i="28"/>
  <c r="B28" i="28"/>
  <c r="F26" i="28"/>
  <c r="E26" i="28"/>
  <c r="C26" i="28"/>
  <c r="B26" i="28"/>
  <c r="S25" i="28"/>
  <c r="R25" i="28"/>
  <c r="Q25" i="28"/>
  <c r="P25" i="28"/>
  <c r="O25" i="28"/>
  <c r="N25" i="28"/>
  <c r="M25" i="28"/>
  <c r="L25" i="28"/>
  <c r="K25" i="28"/>
  <c r="F25" i="28"/>
  <c r="E25" i="28"/>
  <c r="C25" i="28"/>
  <c r="B25" i="28"/>
  <c r="F24" i="28"/>
  <c r="E24" i="28"/>
  <c r="C24" i="28"/>
  <c r="B24" i="28"/>
  <c r="F23" i="28"/>
  <c r="E23" i="28"/>
  <c r="C23" i="28"/>
  <c r="B23" i="28"/>
  <c r="F22" i="28"/>
  <c r="E22" i="28"/>
  <c r="C22" i="28"/>
  <c r="B22" i="28"/>
  <c r="F21" i="28"/>
  <c r="E21" i="28"/>
  <c r="C21" i="28"/>
  <c r="B21" i="28"/>
  <c r="F20" i="28"/>
  <c r="E20" i="28"/>
  <c r="C20" i="28"/>
  <c r="B20" i="28"/>
  <c r="S19" i="28"/>
  <c r="R19" i="28"/>
  <c r="Q19" i="28"/>
  <c r="P19" i="28"/>
  <c r="O19" i="28"/>
  <c r="N19" i="28"/>
  <c r="M19" i="28"/>
  <c r="L19" i="28"/>
  <c r="K19" i="28"/>
  <c r="F19" i="28"/>
  <c r="E19" i="28"/>
  <c r="C19" i="28"/>
  <c r="B19" i="28"/>
  <c r="A19" i="28"/>
  <c r="B17" i="28"/>
  <c r="F15" i="28"/>
  <c r="E15" i="28"/>
  <c r="C15" i="28"/>
  <c r="B15" i="28"/>
  <c r="F14" i="28"/>
  <c r="E14" i="28"/>
  <c r="C14" i="28"/>
  <c r="B14" i="28"/>
  <c r="F13" i="28"/>
  <c r="E13" i="28"/>
  <c r="C13" i="28"/>
  <c r="B13" i="28"/>
  <c r="S12" i="28"/>
  <c r="R12" i="28"/>
  <c r="Q12" i="28"/>
  <c r="P12" i="28"/>
  <c r="O12" i="28"/>
  <c r="N12" i="28"/>
  <c r="M12" i="28"/>
  <c r="L12" i="28"/>
  <c r="K12" i="28"/>
  <c r="F12" i="28"/>
  <c r="E12" i="28"/>
  <c r="C12" i="28"/>
  <c r="B12" i="28"/>
  <c r="F11" i="28"/>
  <c r="E11" i="28"/>
  <c r="C11" i="28"/>
  <c r="B11" i="28"/>
  <c r="F10" i="28"/>
  <c r="E10" i="28"/>
  <c r="C10" i="28"/>
  <c r="B10" i="28"/>
  <c r="F9" i="28"/>
  <c r="E9" i="28"/>
  <c r="C9" i="28"/>
  <c r="B9" i="28"/>
  <c r="F8" i="28"/>
  <c r="E8" i="28"/>
  <c r="C8" i="28"/>
  <c r="B8" i="28"/>
  <c r="A8" i="28"/>
  <c r="S6" i="28"/>
  <c r="R6" i="28"/>
  <c r="Q6" i="28"/>
  <c r="P6" i="28"/>
  <c r="O6" i="28"/>
  <c r="N6" i="28"/>
  <c r="M6" i="28"/>
  <c r="L6" i="28"/>
  <c r="K6" i="28"/>
  <c r="B6" i="28"/>
  <c r="A4" i="28"/>
  <c r="A3" i="28"/>
  <c r="A2" i="28"/>
  <c r="A1" i="28"/>
  <c r="N15" i="23"/>
  <c r="N12" i="23"/>
  <c r="N9" i="23"/>
  <c r="N6" i="23"/>
  <c r="C15" i="23"/>
  <c r="D15" i="23"/>
  <c r="B15" i="23"/>
  <c r="C12" i="23"/>
  <c r="D12" i="23"/>
  <c r="B12" i="23"/>
  <c r="C9" i="23"/>
  <c r="D9" i="23"/>
  <c r="B9" i="23"/>
  <c r="C6" i="23"/>
  <c r="D6" i="23"/>
  <c r="B6" i="23"/>
  <c r="K15" i="27"/>
  <c r="F15" i="27"/>
  <c r="K12" i="27"/>
  <c r="F12" i="27"/>
  <c r="K9" i="27"/>
  <c r="F9" i="27"/>
  <c r="K6" i="27"/>
  <c r="F6" i="27"/>
  <c r="A1" i="11"/>
  <c r="A1" i="6" l="1"/>
  <c r="A1" i="2"/>
  <c r="K15" i="23" l="1"/>
  <c r="F15" i="23"/>
  <c r="P15" i="23" s="1"/>
  <c r="K12" i="23"/>
  <c r="F12" i="23"/>
  <c r="P12" i="23" s="1"/>
  <c r="K9" i="23"/>
  <c r="F9" i="23"/>
  <c r="P9" i="23" s="1"/>
  <c r="K6" i="23"/>
  <c r="F6" i="23"/>
  <c r="P6" i="23" s="1"/>
  <c r="K74" i="22" l="1"/>
  <c r="B74" i="22"/>
  <c r="A74" i="22"/>
  <c r="K72" i="22"/>
  <c r="B72" i="22"/>
  <c r="A72" i="22"/>
  <c r="L59" i="22"/>
  <c r="K59" i="22"/>
  <c r="J59" i="22"/>
  <c r="I59" i="22"/>
  <c r="H59" i="22"/>
  <c r="G59" i="22"/>
  <c r="F59" i="22"/>
  <c r="E59" i="22"/>
  <c r="D59" i="22"/>
  <c r="B59" i="22"/>
  <c r="K56" i="22"/>
  <c r="B56" i="22"/>
  <c r="A56" i="22"/>
  <c r="K54" i="22"/>
  <c r="B54" i="22"/>
  <c r="A54" i="22"/>
  <c r="L41" i="22"/>
  <c r="K41" i="22"/>
  <c r="J41" i="22"/>
  <c r="I41" i="22"/>
  <c r="H41" i="22"/>
  <c r="G41" i="22"/>
  <c r="F41" i="22"/>
  <c r="E41" i="22"/>
  <c r="D41" i="22"/>
  <c r="B41" i="22"/>
  <c r="K38" i="22"/>
  <c r="B38" i="22"/>
  <c r="A38" i="22"/>
  <c r="K36" i="22"/>
  <c r="B36" i="22"/>
  <c r="A36" i="22"/>
  <c r="L23" i="22"/>
  <c r="K23" i="22"/>
  <c r="J23" i="22"/>
  <c r="I23" i="22"/>
  <c r="H23" i="22"/>
  <c r="G23" i="22"/>
  <c r="F23" i="22"/>
  <c r="E23" i="22"/>
  <c r="D23" i="22"/>
  <c r="B23" i="22"/>
  <c r="K21" i="22"/>
  <c r="B21" i="22"/>
  <c r="A21" i="22"/>
  <c r="K19" i="22"/>
  <c r="B19" i="22"/>
  <c r="A19" i="22"/>
  <c r="L6" i="22"/>
  <c r="K6" i="22"/>
  <c r="J6" i="22"/>
  <c r="I6" i="22"/>
  <c r="H6" i="22"/>
  <c r="G6" i="22"/>
  <c r="F6" i="22"/>
  <c r="E6" i="22"/>
  <c r="D6" i="22"/>
  <c r="B6" i="22"/>
  <c r="G4" i="22"/>
  <c r="G3" i="22"/>
  <c r="K74" i="17"/>
  <c r="K72" i="17"/>
  <c r="B74" i="17"/>
  <c r="B72" i="17"/>
  <c r="A74" i="17"/>
  <c r="A72" i="17"/>
  <c r="K56" i="17"/>
  <c r="K54" i="17"/>
  <c r="B56" i="17"/>
  <c r="B54" i="17"/>
  <c r="A56" i="17"/>
  <c r="A54" i="17"/>
  <c r="E59" i="17"/>
  <c r="F59" i="17"/>
  <c r="G59" i="17"/>
  <c r="H59" i="17"/>
  <c r="I59" i="17"/>
  <c r="J59" i="17"/>
  <c r="K59" i="17"/>
  <c r="L59" i="17"/>
  <c r="D59" i="17"/>
  <c r="B59" i="17"/>
  <c r="K38" i="17"/>
  <c r="K36" i="17"/>
  <c r="B38" i="17"/>
  <c r="B36" i="17"/>
  <c r="A38" i="17"/>
  <c r="A36" i="17"/>
  <c r="L23" i="17"/>
  <c r="K23" i="17"/>
  <c r="J23" i="17"/>
  <c r="I23" i="17"/>
  <c r="H23" i="17"/>
  <c r="G23" i="17"/>
  <c r="F23" i="17"/>
  <c r="E23" i="17"/>
  <c r="D23" i="17"/>
  <c r="B23" i="17"/>
  <c r="B6" i="17"/>
  <c r="O40" i="15"/>
  <c r="O38" i="15"/>
  <c r="B40" i="15"/>
  <c r="B38" i="15"/>
  <c r="A40" i="15"/>
  <c r="A38" i="15"/>
  <c r="O33" i="15"/>
  <c r="O31" i="15"/>
  <c r="B33" i="15"/>
  <c r="B31" i="15"/>
  <c r="A33" i="15"/>
  <c r="A31" i="15"/>
  <c r="O26" i="15"/>
  <c r="O24" i="15"/>
  <c r="B26" i="15"/>
  <c r="B24" i="15"/>
  <c r="A26" i="15"/>
  <c r="A24" i="15"/>
  <c r="O18" i="15"/>
  <c r="O16" i="15"/>
  <c r="B18" i="15"/>
  <c r="B16" i="15"/>
  <c r="A18" i="15"/>
  <c r="A16" i="15"/>
  <c r="N8" i="15"/>
  <c r="N7" i="15"/>
  <c r="N6" i="15"/>
  <c r="N5" i="15"/>
  <c r="N10" i="14"/>
  <c r="N10" i="15"/>
  <c r="J40" i="15"/>
  <c r="F40" i="15"/>
  <c r="J38" i="15"/>
  <c r="F38" i="15"/>
  <c r="J33" i="15"/>
  <c r="F33" i="15"/>
  <c r="J31" i="15"/>
  <c r="F31" i="15"/>
  <c r="J26" i="15"/>
  <c r="F26" i="15"/>
  <c r="J24" i="15"/>
  <c r="F24" i="15"/>
  <c r="J18" i="15"/>
  <c r="F18" i="15"/>
  <c r="J16" i="15"/>
  <c r="F16" i="15"/>
  <c r="B11" i="15"/>
  <c r="B10" i="15"/>
  <c r="G8" i="15"/>
  <c r="D8" i="15"/>
  <c r="B8" i="15"/>
  <c r="G7" i="15"/>
  <c r="D7" i="15"/>
  <c r="B7" i="15"/>
  <c r="G6" i="15"/>
  <c r="D6" i="15"/>
  <c r="B6" i="15"/>
  <c r="G5" i="15"/>
  <c r="D5" i="15"/>
  <c r="B5" i="15"/>
  <c r="N4" i="15"/>
  <c r="G4" i="15"/>
  <c r="D4" i="15"/>
  <c r="B4" i="15"/>
  <c r="O40" i="14" l="1"/>
  <c r="O38" i="14"/>
  <c r="B40" i="14"/>
  <c r="B38" i="14"/>
  <c r="A40" i="14"/>
  <c r="A38" i="14"/>
  <c r="J40" i="14"/>
  <c r="F40" i="14"/>
  <c r="J38" i="14"/>
  <c r="F38" i="14"/>
  <c r="O33" i="14"/>
  <c r="O31" i="14"/>
  <c r="B33" i="14"/>
  <c r="B31" i="14"/>
  <c r="A33" i="14"/>
  <c r="A31" i="14"/>
  <c r="J33" i="14"/>
  <c r="F33" i="14"/>
  <c r="J31" i="14"/>
  <c r="F31" i="14"/>
  <c r="N5" i="14"/>
  <c r="N6" i="14"/>
  <c r="N7" i="14"/>
  <c r="N8" i="14"/>
  <c r="N4" i="14"/>
  <c r="D5" i="14"/>
  <c r="D6" i="14"/>
  <c r="D7" i="14"/>
  <c r="D8" i="14"/>
  <c r="D4" i="14"/>
  <c r="P61" i="6" l="1"/>
  <c r="P60" i="6"/>
  <c r="P59" i="6"/>
  <c r="P58" i="6"/>
  <c r="Q58" i="6"/>
  <c r="F20" i="2"/>
  <c r="R58" i="2" s="1"/>
  <c r="K35" i="6"/>
  <c r="G29" i="36" s="1"/>
  <c r="E35" i="6"/>
  <c r="D29" i="36" s="1"/>
  <c r="E32" i="6"/>
  <c r="E35" i="34" s="1"/>
  <c r="B4" i="6"/>
  <c r="H29" i="36" l="1"/>
  <c r="H11" i="36"/>
  <c r="K12" i="36"/>
  <c r="H25" i="36"/>
  <c r="D30" i="36"/>
  <c r="K33" i="14"/>
  <c r="G13" i="30"/>
  <c r="G12" i="30"/>
  <c r="G13" i="29"/>
  <c r="G13" i="28"/>
  <c r="G12" i="29"/>
  <c r="G12" i="28"/>
  <c r="K31" i="14"/>
  <c r="D23" i="30"/>
  <c r="D23" i="29"/>
  <c r="D23" i="28"/>
  <c r="D31" i="15"/>
  <c r="G24" i="30"/>
  <c r="G24" i="29"/>
  <c r="G24" i="28"/>
  <c r="K33" i="15"/>
  <c r="G35" i="30"/>
  <c r="G35" i="29"/>
  <c r="G35" i="28"/>
  <c r="G56" i="22"/>
  <c r="G56" i="17"/>
  <c r="D12" i="30"/>
  <c r="D12" i="29"/>
  <c r="D12" i="28"/>
  <c r="D31" i="14"/>
  <c r="D13" i="30"/>
  <c r="D13" i="29"/>
  <c r="D13" i="28"/>
  <c r="D33" i="14"/>
  <c r="G23" i="30"/>
  <c r="G23" i="29"/>
  <c r="G23" i="28"/>
  <c r="K31" i="15"/>
  <c r="D24" i="30"/>
  <c r="D24" i="29"/>
  <c r="D24" i="28"/>
  <c r="D33" i="15"/>
  <c r="D34" i="30"/>
  <c r="D34" i="29"/>
  <c r="D34" i="28"/>
  <c r="C54" i="17"/>
  <c r="C54" i="22"/>
  <c r="D35" i="30"/>
  <c r="D35" i="29"/>
  <c r="D35" i="28"/>
  <c r="C56" i="22"/>
  <c r="C56" i="17"/>
  <c r="D10" i="30"/>
  <c r="D10" i="29"/>
  <c r="D10" i="28"/>
  <c r="D21" i="30"/>
  <c r="D21" i="29"/>
  <c r="D21" i="28"/>
  <c r="D24" i="15"/>
  <c r="D32" i="30"/>
  <c r="D32" i="29"/>
  <c r="D32" i="28"/>
  <c r="C36" i="17"/>
  <c r="C36" i="22"/>
  <c r="G10" i="30"/>
  <c r="G10" i="29"/>
  <c r="G10" i="28"/>
  <c r="G21" i="30"/>
  <c r="G21" i="28"/>
  <c r="G21" i="29"/>
  <c r="K24" i="15"/>
  <c r="G32" i="30"/>
  <c r="G32" i="29"/>
  <c r="G32" i="28"/>
  <c r="G36" i="22"/>
  <c r="G36" i="17"/>
  <c r="H34" i="30"/>
  <c r="H24" i="30"/>
  <c r="J19" i="30"/>
  <c r="H35" i="30"/>
  <c r="H23" i="30"/>
  <c r="H12" i="30"/>
  <c r="H34" i="29"/>
  <c r="H24" i="29"/>
  <c r="H13" i="30"/>
  <c r="H35" i="29"/>
  <c r="H23" i="29"/>
  <c r="J19" i="29"/>
  <c r="H12" i="29"/>
  <c r="H34" i="28"/>
  <c r="H24" i="28"/>
  <c r="J19" i="28"/>
  <c r="H12" i="28"/>
  <c r="H13" i="29"/>
  <c r="H35" i="28"/>
  <c r="H23" i="28"/>
  <c r="H13" i="28"/>
  <c r="A27" i="15"/>
  <c r="A27" i="14"/>
  <c r="D14" i="30"/>
  <c r="D14" i="29"/>
  <c r="D14" i="28"/>
  <c r="D38" i="14"/>
  <c r="D25" i="30"/>
  <c r="D25" i="29"/>
  <c r="D25" i="28"/>
  <c r="D38" i="15"/>
  <c r="D36" i="30"/>
  <c r="D36" i="29"/>
  <c r="D36" i="28"/>
  <c r="C72" i="17"/>
  <c r="C72" i="22"/>
  <c r="G14" i="30"/>
  <c r="G14" i="29"/>
  <c r="G14" i="28"/>
  <c r="K38" i="14"/>
  <c r="G25" i="30"/>
  <c r="G25" i="29"/>
  <c r="G25" i="28"/>
  <c r="K38" i="15"/>
  <c r="G36" i="30"/>
  <c r="G36" i="29"/>
  <c r="G36" i="28"/>
  <c r="G72" i="22"/>
  <c r="G72" i="17"/>
  <c r="G34" i="30"/>
  <c r="G34" i="29"/>
  <c r="G34" i="28"/>
  <c r="G54" i="22"/>
  <c r="G54" i="17"/>
  <c r="H32" i="30"/>
  <c r="H22" i="30"/>
  <c r="H33" i="30"/>
  <c r="H21" i="30"/>
  <c r="H10" i="30"/>
  <c r="H32" i="29"/>
  <c r="H22" i="29"/>
  <c r="J12" i="30"/>
  <c r="H11" i="30"/>
  <c r="H33" i="29"/>
  <c r="H21" i="29"/>
  <c r="H10" i="29"/>
  <c r="H32" i="28"/>
  <c r="H22" i="28"/>
  <c r="H10" i="28"/>
  <c r="J12" i="29"/>
  <c r="H11" i="29"/>
  <c r="H33" i="28"/>
  <c r="H21" i="28"/>
  <c r="J12" i="28"/>
  <c r="H11" i="28"/>
  <c r="A20" i="15"/>
  <c r="D11" i="30"/>
  <c r="D11" i="29"/>
  <c r="D11" i="28"/>
  <c r="D22" i="30"/>
  <c r="D22" i="29"/>
  <c r="D22" i="28"/>
  <c r="D26" i="15"/>
  <c r="D33" i="30"/>
  <c r="D33" i="29"/>
  <c r="D33" i="28"/>
  <c r="C38" i="22"/>
  <c r="C38" i="17"/>
  <c r="G11" i="30"/>
  <c r="G11" i="29"/>
  <c r="G11" i="28"/>
  <c r="G22" i="30"/>
  <c r="G22" i="29"/>
  <c r="G22" i="28"/>
  <c r="K26" i="15"/>
  <c r="G33" i="30"/>
  <c r="G33" i="29"/>
  <c r="G33" i="28"/>
  <c r="G38" i="22"/>
  <c r="G38" i="17"/>
  <c r="H36" i="30"/>
  <c r="H26" i="30"/>
  <c r="J25" i="30"/>
  <c r="H37" i="30"/>
  <c r="H25" i="30"/>
  <c r="H15" i="30"/>
  <c r="H14" i="30"/>
  <c r="H36" i="29"/>
  <c r="H26" i="29"/>
  <c r="J25" i="29"/>
  <c r="H37" i="29"/>
  <c r="H25" i="29"/>
  <c r="H14" i="29"/>
  <c r="H36" i="28"/>
  <c r="H26" i="28"/>
  <c r="J25" i="28"/>
  <c r="H14" i="28"/>
  <c r="H15" i="29"/>
  <c r="H37" i="28"/>
  <c r="H25" i="28"/>
  <c r="H15" i="28"/>
  <c r="A34" i="15"/>
  <c r="A34" i="14"/>
  <c r="D15" i="30"/>
  <c r="D15" i="29"/>
  <c r="D15" i="28"/>
  <c r="D40" i="14"/>
  <c r="D26" i="30"/>
  <c r="D26" i="29"/>
  <c r="D26" i="28"/>
  <c r="D40" i="15"/>
  <c r="D37" i="30"/>
  <c r="D37" i="29"/>
  <c r="D37" i="28"/>
  <c r="C74" i="22"/>
  <c r="C74" i="17"/>
  <c r="G15" i="30"/>
  <c r="G15" i="29"/>
  <c r="G15" i="28"/>
  <c r="K40" i="14"/>
  <c r="G26" i="30"/>
  <c r="G26" i="29"/>
  <c r="G26" i="28"/>
  <c r="K40" i="15"/>
  <c r="G37" i="30"/>
  <c r="G37" i="29"/>
  <c r="G37" i="28"/>
  <c r="G74" i="22"/>
  <c r="G74" i="17"/>
  <c r="F3" i="6"/>
  <c r="B3" i="6"/>
  <c r="F3" i="2"/>
  <c r="B3" i="2"/>
  <c r="O13" i="19" l="1"/>
  <c r="O7" i="19"/>
  <c r="D13" i="19"/>
  <c r="B13" i="19"/>
  <c r="D7" i="19"/>
  <c r="B7" i="19"/>
  <c r="O10" i="18"/>
  <c r="O7" i="18"/>
  <c r="D10" i="18"/>
  <c r="C10" i="18"/>
  <c r="B10" i="18"/>
  <c r="D7" i="18"/>
  <c r="C7" i="18"/>
  <c r="B7" i="18"/>
  <c r="O26" i="14" l="1"/>
  <c r="O24" i="14"/>
  <c r="O18" i="14"/>
  <c r="O16" i="14"/>
  <c r="K21" i="17"/>
  <c r="K19" i="17"/>
  <c r="K13" i="19"/>
  <c r="K7" i="19"/>
  <c r="I13" i="19"/>
  <c r="I7" i="19"/>
  <c r="K10" i="18"/>
  <c r="K7" i="18"/>
  <c r="I10" i="18"/>
  <c r="I7" i="18"/>
  <c r="A4" i="11" l="1"/>
  <c r="A3" i="11"/>
  <c r="A4" i="10"/>
  <c r="A3" i="10"/>
  <c r="J22" i="30" l="1"/>
  <c r="J22" i="29"/>
  <c r="J22" i="28"/>
  <c r="J21" i="30"/>
  <c r="J21" i="29"/>
  <c r="J21" i="28"/>
  <c r="O20" i="30"/>
  <c r="O20" i="29"/>
  <c r="O20" i="28"/>
  <c r="M21" i="30"/>
  <c r="M21" i="29"/>
  <c r="M21" i="28"/>
  <c r="K22" i="30"/>
  <c r="K22" i="29"/>
  <c r="K22" i="28"/>
  <c r="O22" i="30"/>
  <c r="O22" i="29"/>
  <c r="O22" i="28"/>
  <c r="M23" i="30"/>
  <c r="M23" i="29"/>
  <c r="M23" i="28"/>
  <c r="Q23" i="30"/>
  <c r="Q23" i="29"/>
  <c r="Q23" i="28"/>
  <c r="I61" i="17"/>
  <c r="P26" i="30"/>
  <c r="P26" i="29"/>
  <c r="P26" i="28"/>
  <c r="I61" i="22"/>
  <c r="N20" i="30"/>
  <c r="N20" i="29"/>
  <c r="N20" i="28"/>
  <c r="R20" i="30"/>
  <c r="R20" i="29"/>
  <c r="R20" i="28"/>
  <c r="N22" i="30"/>
  <c r="N22" i="29"/>
  <c r="N22" i="28"/>
  <c r="R22" i="30"/>
  <c r="R22" i="29"/>
  <c r="R22" i="28"/>
  <c r="N23" i="30"/>
  <c r="N23" i="29"/>
  <c r="N23" i="28"/>
  <c r="R23" i="30"/>
  <c r="R23" i="29"/>
  <c r="R23" i="28"/>
  <c r="N21" i="30"/>
  <c r="N21" i="29"/>
  <c r="N21" i="28"/>
  <c r="R21" i="30"/>
  <c r="R21" i="29"/>
  <c r="R21" i="28"/>
  <c r="M20" i="30"/>
  <c r="M20" i="28"/>
  <c r="M20" i="29"/>
  <c r="Q20" i="30"/>
  <c r="Q20" i="28"/>
  <c r="Q20" i="29"/>
  <c r="K21" i="30"/>
  <c r="K21" i="29"/>
  <c r="K21" i="28"/>
  <c r="O21" i="30"/>
  <c r="O21" i="29"/>
  <c r="O21" i="28"/>
  <c r="S21" i="30"/>
  <c r="S21" i="29"/>
  <c r="S21" i="28"/>
  <c r="M22" i="30"/>
  <c r="M22" i="29"/>
  <c r="M22" i="28"/>
  <c r="Q22" i="30"/>
  <c r="Q22" i="29"/>
  <c r="Q22" i="28"/>
  <c r="K23" i="30"/>
  <c r="K23" i="29"/>
  <c r="K23" i="28"/>
  <c r="O23" i="30"/>
  <c r="O23" i="29"/>
  <c r="O23" i="28"/>
  <c r="S23" i="30"/>
  <c r="S23" i="29"/>
  <c r="S23" i="28"/>
  <c r="G61" i="17"/>
  <c r="N26" i="30"/>
  <c r="N26" i="29"/>
  <c r="N26" i="28"/>
  <c r="G61" i="22"/>
  <c r="R26" i="30"/>
  <c r="R26" i="29"/>
  <c r="R26" i="28"/>
  <c r="K61" i="22"/>
  <c r="G63" i="17"/>
  <c r="N28" i="30"/>
  <c r="N28" i="29"/>
  <c r="N28" i="28"/>
  <c r="G63" i="22"/>
  <c r="R28" i="30"/>
  <c r="R28" i="29"/>
  <c r="R28" i="28"/>
  <c r="K63" i="22"/>
  <c r="G65" i="17"/>
  <c r="N29" i="30"/>
  <c r="N29" i="29"/>
  <c r="N29" i="28"/>
  <c r="G65" i="22"/>
  <c r="R29" i="30"/>
  <c r="R29" i="29"/>
  <c r="R29" i="28"/>
  <c r="K65" i="22"/>
  <c r="G67" i="17"/>
  <c r="N30" i="30"/>
  <c r="N30" i="29"/>
  <c r="N30" i="28"/>
  <c r="G67" i="22"/>
  <c r="R30" i="30"/>
  <c r="R30" i="29"/>
  <c r="R30" i="28"/>
  <c r="K67" i="22"/>
  <c r="F61" i="17"/>
  <c r="M26" i="30"/>
  <c r="M26" i="29"/>
  <c r="M26" i="28"/>
  <c r="F61" i="22"/>
  <c r="J61" i="17"/>
  <c r="Q26" i="30"/>
  <c r="Q26" i="29"/>
  <c r="Q26" i="28"/>
  <c r="J61" i="22"/>
  <c r="D63" i="17"/>
  <c r="K28" i="30"/>
  <c r="K28" i="29"/>
  <c r="K28" i="28"/>
  <c r="D63" i="22"/>
  <c r="H63" i="17"/>
  <c r="O28" i="30"/>
  <c r="O28" i="29"/>
  <c r="O28" i="28"/>
  <c r="H63" i="22"/>
  <c r="L63" i="17"/>
  <c r="S28" i="30"/>
  <c r="S28" i="29"/>
  <c r="S28" i="28"/>
  <c r="L63" i="22"/>
  <c r="F65" i="17"/>
  <c r="M29" i="30"/>
  <c r="M29" i="29"/>
  <c r="M29" i="28"/>
  <c r="F65" i="22"/>
  <c r="J65" i="17"/>
  <c r="Q29" i="30"/>
  <c r="Q29" i="29"/>
  <c r="Q29" i="28"/>
  <c r="J65" i="22"/>
  <c r="D67" i="17"/>
  <c r="K30" i="30"/>
  <c r="K30" i="29"/>
  <c r="K30" i="28"/>
  <c r="D67" i="22"/>
  <c r="H67" i="17"/>
  <c r="O30" i="30"/>
  <c r="O30" i="29"/>
  <c r="O30" i="28"/>
  <c r="H67" i="22"/>
  <c r="L67" i="17"/>
  <c r="S30" i="30"/>
  <c r="S30" i="29"/>
  <c r="S30" i="28"/>
  <c r="L67" i="22"/>
  <c r="J20" i="30"/>
  <c r="J20" i="29"/>
  <c r="J20" i="28"/>
  <c r="P20" i="30"/>
  <c r="P20" i="29"/>
  <c r="P20" i="28"/>
  <c r="P22" i="30"/>
  <c r="P22" i="29"/>
  <c r="P22" i="28"/>
  <c r="J23" i="30"/>
  <c r="J23" i="29"/>
  <c r="J23" i="28"/>
  <c r="P23" i="30"/>
  <c r="P23" i="29"/>
  <c r="P23" i="28"/>
  <c r="P21" i="30"/>
  <c r="P21" i="28"/>
  <c r="P21" i="29"/>
  <c r="K20" i="30"/>
  <c r="K20" i="29"/>
  <c r="K20" i="28"/>
  <c r="S20" i="30"/>
  <c r="S20" i="29"/>
  <c r="S20" i="28"/>
  <c r="Q21" i="30"/>
  <c r="Q21" i="29"/>
  <c r="Q21" i="28"/>
  <c r="S22" i="30"/>
  <c r="S22" i="29"/>
  <c r="S22" i="28"/>
  <c r="B61" i="17"/>
  <c r="J26" i="30"/>
  <c r="J26" i="29"/>
  <c r="J26" i="28"/>
  <c r="B61" i="22"/>
  <c r="B63" i="17"/>
  <c r="J28" i="30"/>
  <c r="J28" i="29"/>
  <c r="J28" i="28"/>
  <c r="B63" i="22"/>
  <c r="I63" i="17"/>
  <c r="P28" i="30"/>
  <c r="P28" i="29"/>
  <c r="P28" i="28"/>
  <c r="I63" i="22"/>
  <c r="B65" i="17"/>
  <c r="J29" i="30"/>
  <c r="J29" i="29"/>
  <c r="J29" i="28"/>
  <c r="B65" i="22"/>
  <c r="I65" i="17"/>
  <c r="P29" i="30"/>
  <c r="P29" i="29"/>
  <c r="P29" i="28"/>
  <c r="I65" i="22"/>
  <c r="B67" i="17"/>
  <c r="J30" i="30"/>
  <c r="J30" i="29"/>
  <c r="J30" i="28"/>
  <c r="B67" i="22"/>
  <c r="I67" i="17"/>
  <c r="P30" i="30"/>
  <c r="P30" i="29"/>
  <c r="P30" i="28"/>
  <c r="I67" i="22"/>
  <c r="D61" i="17"/>
  <c r="K26" i="30"/>
  <c r="K26" i="29"/>
  <c r="K26" i="28"/>
  <c r="D61" i="22"/>
  <c r="H61" i="17"/>
  <c r="O26" i="30"/>
  <c r="O26" i="29"/>
  <c r="O26" i="28"/>
  <c r="H61" i="22"/>
  <c r="L61" i="17"/>
  <c r="S26" i="30"/>
  <c r="S26" i="29"/>
  <c r="S26" i="28"/>
  <c r="L61" i="22"/>
  <c r="F63" i="17"/>
  <c r="M28" i="30"/>
  <c r="M28" i="29"/>
  <c r="M28" i="28"/>
  <c r="F63" i="22"/>
  <c r="J63" i="17"/>
  <c r="Q28" i="30"/>
  <c r="Q28" i="29"/>
  <c r="Q28" i="28"/>
  <c r="J63" i="22"/>
  <c r="D65" i="17"/>
  <c r="K29" i="30"/>
  <c r="K29" i="29"/>
  <c r="K29" i="28"/>
  <c r="D65" i="22"/>
  <c r="H65" i="17"/>
  <c r="O29" i="30"/>
  <c r="O29" i="29"/>
  <c r="O29" i="28"/>
  <c r="H65" i="22"/>
  <c r="L65" i="17"/>
  <c r="S29" i="30"/>
  <c r="S29" i="29"/>
  <c r="S29" i="28"/>
  <c r="L65" i="22"/>
  <c r="F67" i="17"/>
  <c r="M30" i="30"/>
  <c r="M30" i="29"/>
  <c r="M30" i="28"/>
  <c r="F67" i="22"/>
  <c r="J67" i="17"/>
  <c r="Q30" i="30"/>
  <c r="Q30" i="29"/>
  <c r="Q30" i="28"/>
  <c r="J67" i="22"/>
  <c r="K61" i="17"/>
  <c r="K63" i="17"/>
  <c r="K65" i="17"/>
  <c r="K67" i="17"/>
  <c r="L9" i="27"/>
  <c r="L6" i="27"/>
  <c r="C22" i="19"/>
  <c r="O22" i="19"/>
  <c r="J14" i="18"/>
  <c r="C14" i="18"/>
  <c r="L41" i="17"/>
  <c r="L6" i="17"/>
  <c r="I41" i="17"/>
  <c r="H41" i="17"/>
  <c r="G41" i="17"/>
  <c r="F41" i="17"/>
  <c r="E41" i="17"/>
  <c r="D41" i="17"/>
  <c r="J41" i="17"/>
  <c r="K41" i="17"/>
  <c r="G12" i="27" l="1"/>
  <c r="D43" i="29" s="1"/>
  <c r="G15" i="27"/>
  <c r="G15" i="23" s="1"/>
  <c r="L20" i="30"/>
  <c r="L20" i="29"/>
  <c r="L20" i="28"/>
  <c r="L22" i="30"/>
  <c r="L22" i="29"/>
  <c r="L22" i="28"/>
  <c r="E65" i="17"/>
  <c r="L29" i="30"/>
  <c r="L29" i="29"/>
  <c r="L29" i="28"/>
  <c r="E65" i="22"/>
  <c r="E67" i="17"/>
  <c r="L30" i="30"/>
  <c r="L30" i="29"/>
  <c r="L30" i="28"/>
  <c r="E67" i="22"/>
  <c r="G42" i="29"/>
  <c r="G42" i="30"/>
  <c r="G42" i="28"/>
  <c r="L9" i="23"/>
  <c r="L23" i="30"/>
  <c r="L23" i="29"/>
  <c r="L23" i="28"/>
  <c r="G41" i="29"/>
  <c r="G41" i="30"/>
  <c r="G41" i="28"/>
  <c r="L6" i="23"/>
  <c r="P6" i="27"/>
  <c r="E61" i="17"/>
  <c r="L26" i="30"/>
  <c r="L26" i="29"/>
  <c r="L26" i="28"/>
  <c r="E61" i="22"/>
  <c r="E63" i="17"/>
  <c r="L28" i="30"/>
  <c r="L28" i="29"/>
  <c r="L28" i="28"/>
  <c r="E63" i="22"/>
  <c r="L21" i="30"/>
  <c r="L21" i="28"/>
  <c r="L21" i="29"/>
  <c r="L10" i="18"/>
  <c r="L13" i="19"/>
  <c r="L7" i="19"/>
  <c r="G13" i="19"/>
  <c r="G7" i="19"/>
  <c r="G10" i="18"/>
  <c r="G7" i="18"/>
  <c r="L7" i="18"/>
  <c r="P15" i="27" l="1"/>
  <c r="G49" i="30" s="1"/>
  <c r="D43" i="30"/>
  <c r="D44" i="28"/>
  <c r="D43" i="28"/>
  <c r="G12" i="23"/>
  <c r="D44" i="29"/>
  <c r="D44" i="30"/>
  <c r="D48" i="30"/>
  <c r="K20" i="2" l="1"/>
  <c r="K23" i="2"/>
  <c r="K26" i="2"/>
  <c r="K29" i="2"/>
  <c r="K32" i="2"/>
  <c r="K35" i="2"/>
  <c r="E35" i="2"/>
  <c r="E32" i="2"/>
  <c r="E29" i="2"/>
  <c r="E26" i="2"/>
  <c r="E23" i="2"/>
  <c r="E20" i="2"/>
  <c r="L46" i="2"/>
  <c r="J46" i="2"/>
  <c r="L43" i="2"/>
  <c r="J43" i="2"/>
  <c r="J35" i="2"/>
  <c r="F35" i="2"/>
  <c r="J32" i="2"/>
  <c r="F32" i="2"/>
  <c r="J29" i="2"/>
  <c r="S61" i="2" s="1"/>
  <c r="F29" i="2"/>
  <c r="S59" i="2" s="1"/>
  <c r="J26" i="2"/>
  <c r="S60" i="2" s="1"/>
  <c r="F26" i="2"/>
  <c r="S58" i="2" s="1"/>
  <c r="J23" i="2"/>
  <c r="R61" i="2" s="1"/>
  <c r="F23" i="2"/>
  <c r="R60" i="2" s="1"/>
  <c r="J20" i="2"/>
  <c r="R59" i="2" s="1"/>
  <c r="D22" i="36" l="1"/>
  <c r="G14" i="36"/>
  <c r="D33" i="36"/>
  <c r="G12" i="36"/>
  <c r="D14" i="36"/>
  <c r="D35" i="36"/>
  <c r="D23" i="36"/>
  <c r="D12" i="36"/>
  <c r="G33" i="36"/>
  <c r="G23" i="36"/>
  <c r="G35" i="36"/>
  <c r="G22" i="36"/>
  <c r="G21" i="22"/>
  <c r="G31" i="30"/>
  <c r="G31" i="29"/>
  <c r="G31" i="28"/>
  <c r="D9" i="30"/>
  <c r="D9" i="29"/>
  <c r="D9" i="28"/>
  <c r="D20" i="30"/>
  <c r="D20" i="29"/>
  <c r="D20" i="28"/>
  <c r="D18" i="15"/>
  <c r="G19" i="22"/>
  <c r="G30" i="30"/>
  <c r="G30" i="29"/>
  <c r="G30" i="28"/>
  <c r="K16" i="15"/>
  <c r="G19" i="30"/>
  <c r="G19" i="28"/>
  <c r="G19" i="29"/>
  <c r="G8" i="30"/>
  <c r="G8" i="29"/>
  <c r="G8" i="28"/>
  <c r="D30" i="30"/>
  <c r="D30" i="29"/>
  <c r="D30" i="28"/>
  <c r="C19" i="22"/>
  <c r="K18" i="15"/>
  <c r="G20" i="30"/>
  <c r="G20" i="29"/>
  <c r="G20" i="28"/>
  <c r="G9" i="30"/>
  <c r="G9" i="29"/>
  <c r="G9" i="28"/>
  <c r="D8" i="30"/>
  <c r="D8" i="29"/>
  <c r="D8" i="28"/>
  <c r="D19" i="30"/>
  <c r="D19" i="29"/>
  <c r="D19" i="28"/>
  <c r="D31" i="28"/>
  <c r="D31" i="30"/>
  <c r="D31" i="29"/>
  <c r="D16" i="15"/>
  <c r="C21" i="22"/>
  <c r="B21" i="17"/>
  <c r="A21" i="17"/>
  <c r="G4" i="17"/>
  <c r="G3" i="17"/>
  <c r="B19" i="17"/>
  <c r="A19" i="17"/>
  <c r="B41" i="17"/>
  <c r="D6" i="17"/>
  <c r="E6" i="17"/>
  <c r="F6" i="17"/>
  <c r="G6" i="17"/>
  <c r="H6" i="17"/>
  <c r="I6" i="17"/>
  <c r="J6" i="17"/>
  <c r="K6" i="17"/>
  <c r="J26" i="14"/>
  <c r="F26" i="14"/>
  <c r="B26" i="14"/>
  <c r="A26" i="14"/>
  <c r="J24" i="14"/>
  <c r="F24" i="14"/>
  <c r="B24" i="14"/>
  <c r="A24" i="14"/>
  <c r="B18" i="14" l="1"/>
  <c r="A18" i="14"/>
  <c r="B16" i="14"/>
  <c r="A16" i="14"/>
  <c r="B11" i="14"/>
  <c r="B10" i="14"/>
  <c r="G5" i="14"/>
  <c r="G6" i="14"/>
  <c r="G7" i="14"/>
  <c r="G8" i="14"/>
  <c r="G4" i="14"/>
  <c r="B5" i="14"/>
  <c r="B6" i="14"/>
  <c r="B7" i="14"/>
  <c r="B8" i="14"/>
  <c r="B4" i="14"/>
  <c r="J18" i="14"/>
  <c r="F18" i="14"/>
  <c r="J16" i="14"/>
  <c r="F16" i="14"/>
  <c r="L15" i="11" l="1"/>
  <c r="G15" i="11"/>
  <c r="L9" i="11"/>
  <c r="G9" i="11"/>
  <c r="M12" i="10" l="1"/>
  <c r="G12" i="10"/>
  <c r="M9" i="10"/>
  <c r="G9" i="10"/>
  <c r="P59" i="2"/>
  <c r="P60" i="2"/>
  <c r="P61" i="2"/>
  <c r="P58" i="2"/>
  <c r="K26" i="14"/>
  <c r="K24" i="14"/>
  <c r="D26" i="14"/>
  <c r="D24" i="14"/>
  <c r="L46" i="6"/>
  <c r="J46" i="6"/>
  <c r="L43" i="6"/>
  <c r="J43" i="6"/>
  <c r="J35" i="6"/>
  <c r="T60" i="6" s="1"/>
  <c r="F35" i="6"/>
  <c r="T59" i="6" s="1"/>
  <c r="J32" i="6"/>
  <c r="T61" i="6" s="1"/>
  <c r="F32" i="6"/>
  <c r="T58" i="6" s="1"/>
  <c r="S61" i="6"/>
  <c r="S59" i="6"/>
  <c r="S60" i="6"/>
  <c r="S58" i="6"/>
  <c r="Q61" i="6"/>
  <c r="Q60" i="6"/>
  <c r="Q59" i="6"/>
  <c r="T61" i="2"/>
  <c r="T58" i="2"/>
  <c r="T60" i="2"/>
  <c r="T59" i="2"/>
  <c r="G21" i="17"/>
  <c r="K18" i="14"/>
  <c r="G19" i="17"/>
  <c r="D18" i="14"/>
  <c r="C19" i="17"/>
  <c r="K16" i="14"/>
  <c r="C21" i="17"/>
  <c r="D16" i="14"/>
  <c r="AD14" i="2" l="1"/>
  <c r="AE14" i="2"/>
  <c r="AC14" i="2"/>
  <c r="AC16" i="2"/>
  <c r="AD16" i="2"/>
  <c r="AE16" i="2"/>
  <c r="AD14" i="6"/>
  <c r="AC14" i="6"/>
  <c r="AE14" i="6"/>
  <c r="AD10" i="6"/>
  <c r="AE10" i="6"/>
  <c r="AC10" i="6"/>
  <c r="AE12" i="2"/>
  <c r="AD12" i="2"/>
  <c r="AC12" i="2"/>
  <c r="AE10" i="2"/>
  <c r="AC10" i="2"/>
  <c r="AD10" i="2"/>
  <c r="AE12" i="6"/>
  <c r="AD12" i="6"/>
  <c r="AC12" i="6"/>
  <c r="H20" i="30"/>
  <c r="H31" i="30"/>
  <c r="H30" i="30"/>
  <c r="H19" i="30"/>
  <c r="H8" i="30"/>
  <c r="J6" i="30"/>
  <c r="H9" i="30"/>
  <c r="H31" i="29"/>
  <c r="H30" i="29"/>
  <c r="H19" i="29"/>
  <c r="H8" i="29"/>
  <c r="J6" i="29"/>
  <c r="H20" i="28"/>
  <c r="H8" i="28"/>
  <c r="J6" i="28"/>
  <c r="H20" i="29"/>
  <c r="H9" i="29"/>
  <c r="H31" i="28"/>
  <c r="H30" i="28"/>
  <c r="H19" i="28"/>
  <c r="H9" i="28"/>
  <c r="A12" i="15"/>
  <c r="A20" i="14"/>
  <c r="A12" i="14"/>
  <c r="AB10" i="6" l="1"/>
  <c r="AJ10" i="6" s="1"/>
  <c r="AB14" i="2"/>
  <c r="AJ14" i="2" s="1"/>
  <c r="AB10" i="2"/>
  <c r="AJ10" i="2" s="1"/>
  <c r="AB12" i="2"/>
  <c r="AJ12" i="2" s="1"/>
  <c r="AB14" i="6"/>
  <c r="AJ14" i="6" s="1"/>
  <c r="AB16" i="2"/>
  <c r="AJ16" i="2" s="1"/>
  <c r="AB12" i="6"/>
  <c r="AJ12" i="6" s="1"/>
  <c r="J7" i="28"/>
  <c r="J7" i="30"/>
  <c r="J7" i="29"/>
  <c r="P7" i="28"/>
  <c r="P7" i="30"/>
  <c r="P7" i="29"/>
  <c r="J9" i="30"/>
  <c r="J9" i="29"/>
  <c r="J9" i="28"/>
  <c r="P9" i="30"/>
  <c r="P9" i="29"/>
  <c r="P9" i="28"/>
  <c r="J10" i="28"/>
  <c r="J10" i="30"/>
  <c r="J10" i="29"/>
  <c r="P10" i="28"/>
  <c r="P10" i="30"/>
  <c r="P10" i="29"/>
  <c r="K7" i="30"/>
  <c r="K7" i="29"/>
  <c r="K7" i="28"/>
  <c r="O7" i="30"/>
  <c r="O7" i="29"/>
  <c r="O7" i="28"/>
  <c r="S7" i="30"/>
  <c r="S7" i="29"/>
  <c r="S7" i="28"/>
  <c r="M8" i="30"/>
  <c r="M8" i="29"/>
  <c r="M8" i="28"/>
  <c r="Q8" i="30"/>
  <c r="Q8" i="29"/>
  <c r="Q8" i="28"/>
  <c r="K9" i="28"/>
  <c r="K9" i="30"/>
  <c r="K9" i="29"/>
  <c r="O9" i="28"/>
  <c r="O9" i="30"/>
  <c r="O9" i="29"/>
  <c r="S9" i="28"/>
  <c r="S9" i="30"/>
  <c r="S9" i="29"/>
  <c r="M10" i="30"/>
  <c r="M10" i="29"/>
  <c r="M10" i="28"/>
  <c r="Q10" i="30"/>
  <c r="Q10" i="29"/>
  <c r="Q10" i="28"/>
  <c r="J8" i="28"/>
  <c r="J8" i="30"/>
  <c r="J8" i="29"/>
  <c r="P8" i="28"/>
  <c r="P8" i="30"/>
  <c r="P8" i="29"/>
  <c r="N7" i="28"/>
  <c r="N7" i="30"/>
  <c r="N7" i="29"/>
  <c r="R7" i="28"/>
  <c r="R7" i="30"/>
  <c r="R7" i="29"/>
  <c r="N8" i="28"/>
  <c r="N8" i="30"/>
  <c r="N8" i="29"/>
  <c r="R8" i="28"/>
  <c r="R8" i="30"/>
  <c r="R8" i="29"/>
  <c r="N9" i="30"/>
  <c r="N9" i="29"/>
  <c r="N9" i="28"/>
  <c r="R9" i="30"/>
  <c r="R9" i="29"/>
  <c r="R9" i="28"/>
  <c r="N10" i="28"/>
  <c r="N10" i="30"/>
  <c r="N10" i="29"/>
  <c r="R10" i="28"/>
  <c r="R10" i="30"/>
  <c r="R10" i="29"/>
  <c r="M7" i="30"/>
  <c r="M7" i="29"/>
  <c r="M7" i="28"/>
  <c r="Q7" i="30"/>
  <c r="Q7" i="29"/>
  <c r="Q7" i="28"/>
  <c r="K8" i="30"/>
  <c r="K8" i="29"/>
  <c r="K8" i="28"/>
  <c r="O8" i="30"/>
  <c r="O8" i="29"/>
  <c r="O8" i="28"/>
  <c r="S8" i="30"/>
  <c r="S8" i="29"/>
  <c r="S8" i="28"/>
  <c r="M9" i="28"/>
  <c r="M9" i="30"/>
  <c r="M9" i="29"/>
  <c r="Q9" i="28"/>
  <c r="Q9" i="30"/>
  <c r="Q9" i="29"/>
  <c r="K10" i="30"/>
  <c r="K10" i="29"/>
  <c r="K10" i="28"/>
  <c r="O10" i="30"/>
  <c r="O10" i="29"/>
  <c r="O10" i="28"/>
  <c r="S10" i="30"/>
  <c r="S10" i="29"/>
  <c r="S10" i="28"/>
  <c r="I8" i="22"/>
  <c r="B10" i="22"/>
  <c r="I10" i="22"/>
  <c r="B12" i="22"/>
  <c r="I12" i="22"/>
  <c r="B14" i="22"/>
  <c r="I14" i="22"/>
  <c r="D8" i="22"/>
  <c r="H8" i="22"/>
  <c r="F10" i="22"/>
  <c r="J10" i="22"/>
  <c r="D12" i="22"/>
  <c r="H12" i="22"/>
  <c r="L12" i="22"/>
  <c r="F14" i="22"/>
  <c r="J14" i="22"/>
  <c r="B8" i="22"/>
  <c r="G8" i="22"/>
  <c r="G10" i="22"/>
  <c r="G12" i="22"/>
  <c r="G14" i="22"/>
  <c r="F8" i="22"/>
  <c r="J8" i="22"/>
  <c r="D10" i="22"/>
  <c r="H10" i="22"/>
  <c r="F12" i="22"/>
  <c r="J12" i="22"/>
  <c r="D14" i="22"/>
  <c r="H14" i="22"/>
  <c r="L8" i="17"/>
  <c r="L8" i="22"/>
  <c r="K8" i="22"/>
  <c r="K10" i="22"/>
  <c r="K12" i="22"/>
  <c r="K14" i="22"/>
  <c r="L10" i="17"/>
  <c r="L10" i="22"/>
  <c r="L14" i="17"/>
  <c r="L14" i="22"/>
  <c r="L12" i="17"/>
  <c r="B12" i="17"/>
  <c r="I12" i="17"/>
  <c r="D12" i="17"/>
  <c r="J10" i="17"/>
  <c r="H10" i="17"/>
  <c r="F10" i="17"/>
  <c r="H12" i="17"/>
  <c r="G12" i="17"/>
  <c r="K10" i="17"/>
  <c r="I10" i="17"/>
  <c r="G10" i="17"/>
  <c r="D10" i="17"/>
  <c r="J12" i="17"/>
  <c r="F12" i="17"/>
  <c r="D8" i="17"/>
  <c r="I8" i="17"/>
  <c r="B8" i="17"/>
  <c r="H8" i="17"/>
  <c r="K12" i="17"/>
  <c r="B10" i="17"/>
  <c r="G8" i="17"/>
  <c r="K8" i="17"/>
  <c r="F8" i="17"/>
  <c r="J8" i="17"/>
  <c r="Z16" i="2" l="1"/>
  <c r="Z14" i="2"/>
  <c r="Z12" i="2"/>
  <c r="Z10" i="2"/>
  <c r="Z12" i="6"/>
  <c r="Z14" i="6"/>
  <c r="Z10" i="6"/>
  <c r="AJ8" i="6" s="1"/>
  <c r="L9" i="30"/>
  <c r="L9" i="29"/>
  <c r="L9" i="28"/>
  <c r="L10" i="28"/>
  <c r="L10" i="30"/>
  <c r="L10" i="29"/>
  <c r="L7" i="28"/>
  <c r="L7" i="30"/>
  <c r="L7" i="29"/>
  <c r="L8" i="28"/>
  <c r="L8" i="30"/>
  <c r="L8" i="29"/>
  <c r="E8" i="22"/>
  <c r="E10" i="22"/>
  <c r="E12" i="22"/>
  <c r="E14" i="22"/>
  <c r="E8" i="17"/>
  <c r="E12" i="17"/>
  <c r="E10" i="17"/>
  <c r="Q10" i="2" l="1"/>
  <c r="L8" i="37" s="1"/>
  <c r="S10" i="2"/>
  <c r="N8" i="37" s="1"/>
  <c r="Y12" i="2"/>
  <c r="T9" i="37" s="1"/>
  <c r="X14" i="2"/>
  <c r="S10" i="37" s="1"/>
  <c r="V14" i="2"/>
  <c r="Q10" i="37" s="1"/>
  <c r="P12" i="2"/>
  <c r="K9" i="37" s="1"/>
  <c r="V10" i="2"/>
  <c r="Q8" i="37" s="1"/>
  <c r="S12" i="2"/>
  <c r="N9" i="37" s="1"/>
  <c r="U12" i="2"/>
  <c r="P9" i="37" s="1"/>
  <c r="Y16" i="2"/>
  <c r="T11" i="37" s="1"/>
  <c r="T12" i="2"/>
  <c r="O9" i="37" s="1"/>
  <c r="W16" i="2"/>
  <c r="R11" i="37" s="1"/>
  <c r="V12" i="2"/>
  <c r="Q9" i="37" s="1"/>
  <c r="Q12" i="2"/>
  <c r="L9" i="37" s="1"/>
  <c r="T10" i="2"/>
  <c r="O8" i="37" s="1"/>
  <c r="P14" i="2"/>
  <c r="K10" i="37" s="1"/>
  <c r="U14" i="2"/>
  <c r="P10" i="37" s="1"/>
  <c r="P10" i="2"/>
  <c r="K8" i="37" s="1"/>
  <c r="W14" i="2"/>
  <c r="R10" i="37" s="1"/>
  <c r="P16" i="2"/>
  <c r="K11" i="37" s="1"/>
  <c r="X16" i="2"/>
  <c r="S11" i="37" s="1"/>
  <c r="Q14" i="2"/>
  <c r="L10" i="37" s="1"/>
  <c r="S14" i="2"/>
  <c r="N10" i="37" s="1"/>
  <c r="S16" i="2"/>
  <c r="N11" i="37" s="1"/>
  <c r="X10" i="2"/>
  <c r="S8" i="37" s="1"/>
  <c r="Y14" i="2"/>
  <c r="T10" i="37" s="1"/>
  <c r="V16" i="2"/>
  <c r="Q11" i="37" s="1"/>
  <c r="U16" i="2"/>
  <c r="P11" i="37" s="1"/>
  <c r="U10" i="2"/>
  <c r="P8" i="37" s="1"/>
  <c r="T14" i="2"/>
  <c r="O10" i="37" s="1"/>
  <c r="Y10" i="2"/>
  <c r="T8" i="37" s="1"/>
  <c r="W12" i="2"/>
  <c r="R9" i="37" s="1"/>
  <c r="T16" i="2"/>
  <c r="O11" i="37" s="1"/>
  <c r="Q16" i="2"/>
  <c r="L11" i="37" s="1"/>
  <c r="X12" i="2"/>
  <c r="S9" i="37" s="1"/>
  <c r="W10" i="2"/>
  <c r="R8" i="37" s="1"/>
  <c r="U12" i="6"/>
  <c r="V12" i="6"/>
  <c r="T12" i="6"/>
  <c r="U10" i="6"/>
  <c r="S10" i="6"/>
  <c r="Q10" i="6"/>
  <c r="T14" i="6"/>
  <c r="S14" i="6"/>
  <c r="P12" i="6"/>
  <c r="P10" i="6"/>
  <c r="T10" i="6"/>
  <c r="Q12" i="6"/>
  <c r="X14" i="6"/>
  <c r="P14" i="6"/>
  <c r="Y10" i="6"/>
  <c r="Y12" i="6"/>
  <c r="X12" i="6"/>
  <c r="X10" i="6"/>
  <c r="Y14" i="6"/>
  <c r="W14" i="6"/>
  <c r="W12" i="6"/>
  <c r="Q14" i="6"/>
  <c r="V14" i="6"/>
  <c r="W10" i="6"/>
  <c r="V10" i="6"/>
  <c r="S12" i="6"/>
  <c r="U14" i="6"/>
  <c r="T15" i="36" l="1"/>
  <c r="T14" i="36"/>
  <c r="S15" i="36"/>
  <c r="O14" i="36"/>
  <c r="Q15" i="36"/>
  <c r="S13" i="36"/>
  <c r="L14" i="36"/>
  <c r="K14" i="36"/>
  <c r="G43" i="36" s="1"/>
  <c r="L13" i="36"/>
  <c r="Q14" i="36"/>
  <c r="Q13" i="36"/>
  <c r="R15" i="36"/>
  <c r="O13" i="36"/>
  <c r="N13" i="36"/>
  <c r="P15" i="36"/>
  <c r="R14" i="36"/>
  <c r="K13" i="36"/>
  <c r="G45" i="36" s="1"/>
  <c r="O15" i="36"/>
  <c r="N14" i="36"/>
  <c r="T13" i="36"/>
  <c r="R13" i="36"/>
  <c r="L15" i="36"/>
  <c r="S14" i="36"/>
  <c r="K15" i="36"/>
  <c r="G42" i="36" s="1"/>
  <c r="N15" i="36"/>
  <c r="P13" i="36"/>
  <c r="P14" i="36"/>
  <c r="R8" i="36"/>
  <c r="P11" i="36"/>
  <c r="K10" i="36"/>
  <c r="D42" i="36" s="1"/>
  <c r="R11" i="36"/>
  <c r="N9" i="36"/>
  <c r="S10" i="36"/>
  <c r="S9" i="36"/>
  <c r="T8" i="36"/>
  <c r="Q11" i="36"/>
  <c r="N10" i="36"/>
  <c r="R10" i="36"/>
  <c r="O8" i="36"/>
  <c r="O9" i="36"/>
  <c r="Q8" i="36"/>
  <c r="T9" i="36"/>
  <c r="K11" i="36"/>
  <c r="D41" i="36" s="1"/>
  <c r="O10" i="36"/>
  <c r="K8" i="36"/>
  <c r="D45" i="36" s="1"/>
  <c r="L9" i="36"/>
  <c r="T11" i="36"/>
  <c r="K9" i="36"/>
  <c r="D43" i="36" s="1"/>
  <c r="N8" i="36"/>
  <c r="R9" i="36"/>
  <c r="N11" i="36"/>
  <c r="L11" i="36"/>
  <c r="T10" i="36"/>
  <c r="L10" i="36"/>
  <c r="O11" i="36"/>
  <c r="P8" i="36"/>
  <c r="S8" i="36"/>
  <c r="S11" i="36"/>
  <c r="P10" i="36"/>
  <c r="Q9" i="36"/>
  <c r="P9" i="36"/>
  <c r="Q10" i="36"/>
  <c r="L8" i="36"/>
  <c r="W34" i="6"/>
  <c r="F12" i="10" s="1"/>
  <c r="S12" i="10" s="1"/>
  <c r="M15" i="11" s="1"/>
  <c r="G57" i="30" s="1"/>
  <c r="W35" i="6"/>
  <c r="W34" i="2"/>
  <c r="F9" i="10" s="1"/>
  <c r="W35" i="2"/>
  <c r="O12" i="10" s="1"/>
  <c r="R10" i="2"/>
  <c r="M8" i="37" s="1"/>
  <c r="R16" i="2"/>
  <c r="M11" i="37" s="1"/>
  <c r="R12" i="2"/>
  <c r="AK14" i="2"/>
  <c r="AK12" i="2"/>
  <c r="AK10" i="2"/>
  <c r="R14" i="2"/>
  <c r="AK16" i="2"/>
  <c r="O15" i="30"/>
  <c r="H47" i="22"/>
  <c r="H47" i="17"/>
  <c r="O15" i="29"/>
  <c r="H29" i="22"/>
  <c r="O15" i="28"/>
  <c r="H29" i="17"/>
  <c r="L47" i="17"/>
  <c r="L29" i="17"/>
  <c r="S15" i="30"/>
  <c r="L47" i="22"/>
  <c r="S15" i="28"/>
  <c r="S15" i="29"/>
  <c r="L29" i="22"/>
  <c r="J13" i="29"/>
  <c r="B25" i="17"/>
  <c r="J13" i="28"/>
  <c r="B25" i="22"/>
  <c r="B43" i="17"/>
  <c r="B43" i="22"/>
  <c r="J13" i="30"/>
  <c r="N14" i="29"/>
  <c r="G27" i="22"/>
  <c r="N14" i="28"/>
  <c r="G27" i="17"/>
  <c r="G45" i="17"/>
  <c r="N14" i="30"/>
  <c r="G45" i="22"/>
  <c r="R12" i="6"/>
  <c r="M14" i="28"/>
  <c r="F27" i="17"/>
  <c r="M14" i="30"/>
  <c r="F45" i="22"/>
  <c r="F45" i="17"/>
  <c r="M14" i="29"/>
  <c r="F27" i="22"/>
  <c r="P15" i="30"/>
  <c r="I47" i="22"/>
  <c r="P15" i="29"/>
  <c r="I29" i="22"/>
  <c r="P15" i="28"/>
  <c r="I29" i="17"/>
  <c r="I47" i="17"/>
  <c r="D49" i="17"/>
  <c r="K17" i="28"/>
  <c r="D31" i="17"/>
  <c r="K17" i="30"/>
  <c r="D49" i="22"/>
  <c r="K17" i="29"/>
  <c r="D31" i="22"/>
  <c r="AK10" i="6"/>
  <c r="R13" i="29"/>
  <c r="K25" i="22"/>
  <c r="K43" i="22"/>
  <c r="R13" i="28"/>
  <c r="K25" i="17"/>
  <c r="K43" i="17"/>
  <c r="R13" i="30"/>
  <c r="S13" i="30"/>
  <c r="L43" i="22"/>
  <c r="L43" i="17"/>
  <c r="S13" i="29"/>
  <c r="L25" i="22"/>
  <c r="S13" i="28"/>
  <c r="L25" i="17"/>
  <c r="K14" i="28"/>
  <c r="D27" i="17"/>
  <c r="D45" i="17"/>
  <c r="K14" i="29"/>
  <c r="K14" i="30"/>
  <c r="D45" i="22"/>
  <c r="D27" i="22"/>
  <c r="J14" i="30"/>
  <c r="B45" i="22"/>
  <c r="J14" i="29"/>
  <c r="B27" i="22"/>
  <c r="J14" i="28"/>
  <c r="B27" i="17"/>
  <c r="B45" i="17"/>
  <c r="K13" i="30"/>
  <c r="D43" i="22"/>
  <c r="K13" i="29"/>
  <c r="D25" i="22"/>
  <c r="K13" i="28"/>
  <c r="D25" i="17"/>
  <c r="D43" i="17"/>
  <c r="P14" i="29"/>
  <c r="I27" i="22"/>
  <c r="P14" i="30"/>
  <c r="P14" i="28"/>
  <c r="I27" i="17"/>
  <c r="I45" i="22"/>
  <c r="I45" i="17"/>
  <c r="Q14" i="29"/>
  <c r="J27" i="22"/>
  <c r="Q14" i="28"/>
  <c r="J27" i="17"/>
  <c r="J45" i="17"/>
  <c r="J45" i="22"/>
  <c r="Q14" i="30"/>
  <c r="S14" i="30"/>
  <c r="L45" i="22"/>
  <c r="S14" i="29"/>
  <c r="L27" i="22"/>
  <c r="L45" i="17"/>
  <c r="S14" i="28"/>
  <c r="L27" i="17"/>
  <c r="N15" i="29"/>
  <c r="G29" i="22"/>
  <c r="N15" i="28"/>
  <c r="G29" i="17"/>
  <c r="N15" i="30"/>
  <c r="G47" i="17"/>
  <c r="G47" i="22"/>
  <c r="P13" i="29"/>
  <c r="I25" i="22"/>
  <c r="P13" i="28"/>
  <c r="I25" i="17"/>
  <c r="I43" i="17"/>
  <c r="P13" i="30"/>
  <c r="I43" i="22"/>
  <c r="Q17" i="29"/>
  <c r="J31" i="22"/>
  <c r="J49" i="22"/>
  <c r="Q17" i="28"/>
  <c r="J31" i="17"/>
  <c r="J49" i="17"/>
  <c r="Q17" i="30"/>
  <c r="Q15" i="30"/>
  <c r="J47" i="22"/>
  <c r="Q15" i="29"/>
  <c r="J29" i="22"/>
  <c r="Q15" i="28"/>
  <c r="J29" i="17"/>
  <c r="J47" i="17"/>
  <c r="H49" i="17"/>
  <c r="O17" i="30"/>
  <c r="H49" i="22"/>
  <c r="O17" i="28"/>
  <c r="H31" i="22"/>
  <c r="O17" i="29"/>
  <c r="H31" i="17"/>
  <c r="N17" i="29"/>
  <c r="G31" i="22"/>
  <c r="N17" i="30"/>
  <c r="N17" i="28"/>
  <c r="G31" i="17"/>
  <c r="G49" i="22"/>
  <c r="G49" i="17"/>
  <c r="N13" i="29"/>
  <c r="G25" i="22"/>
  <c r="G43" i="22"/>
  <c r="N13" i="28"/>
  <c r="G25" i="17"/>
  <c r="N13" i="30"/>
  <c r="G43" i="17"/>
  <c r="L49" i="17"/>
  <c r="S17" i="30"/>
  <c r="L49" i="22"/>
  <c r="S17" i="28"/>
  <c r="L31" i="22"/>
  <c r="S17" i="29"/>
  <c r="L31" i="17"/>
  <c r="R10" i="6"/>
  <c r="F43" i="17"/>
  <c r="M13" i="30"/>
  <c r="F43" i="22"/>
  <c r="M13" i="29"/>
  <c r="F25" i="22"/>
  <c r="M13" i="28"/>
  <c r="F25" i="17"/>
  <c r="M17" i="28"/>
  <c r="F31" i="17"/>
  <c r="F49" i="17"/>
  <c r="F31" i="22"/>
  <c r="M17" i="30"/>
  <c r="F49" i="22"/>
  <c r="M17" i="29"/>
  <c r="I49" i="17"/>
  <c r="P17" i="30"/>
  <c r="I49" i="22"/>
  <c r="P17" i="29"/>
  <c r="I31" i="22"/>
  <c r="I31" i="17"/>
  <c r="P17" i="28"/>
  <c r="AK14" i="6"/>
  <c r="K47" i="17"/>
  <c r="R15" i="29"/>
  <c r="K29" i="22"/>
  <c r="K47" i="22"/>
  <c r="R15" i="28"/>
  <c r="K29" i="17"/>
  <c r="R15" i="30"/>
  <c r="Q13" i="28"/>
  <c r="J25" i="17"/>
  <c r="J43" i="17"/>
  <c r="Q13" i="30"/>
  <c r="J43" i="22"/>
  <c r="J25" i="22"/>
  <c r="Q13" i="29"/>
  <c r="K15" i="30"/>
  <c r="D47" i="22"/>
  <c r="K15" i="29"/>
  <c r="D29" i="22"/>
  <c r="K15" i="28"/>
  <c r="D29" i="17"/>
  <c r="D47" i="17"/>
  <c r="J17" i="28"/>
  <c r="B31" i="22"/>
  <c r="J17" i="29"/>
  <c r="B49" i="17"/>
  <c r="J17" i="30"/>
  <c r="B31" i="17"/>
  <c r="B49" i="22"/>
  <c r="R14" i="29"/>
  <c r="K27" i="22"/>
  <c r="K45" i="17"/>
  <c r="AK12" i="6"/>
  <c r="R14" i="28"/>
  <c r="K27" i="17"/>
  <c r="R14" i="30"/>
  <c r="K45" i="22"/>
  <c r="J15" i="28"/>
  <c r="B47" i="22"/>
  <c r="B47" i="17"/>
  <c r="J15" i="30"/>
  <c r="B29" i="22"/>
  <c r="J15" i="29"/>
  <c r="B29" i="17"/>
  <c r="R17" i="30"/>
  <c r="K49" i="22"/>
  <c r="R17" i="29"/>
  <c r="K31" i="22"/>
  <c r="R17" i="28"/>
  <c r="K31" i="17"/>
  <c r="K49" i="17"/>
  <c r="R14" i="6"/>
  <c r="M15" i="29"/>
  <c r="F29" i="22"/>
  <c r="M15" i="28"/>
  <c r="F29" i="17"/>
  <c r="F47" i="17"/>
  <c r="M15" i="30"/>
  <c r="F47" i="22"/>
  <c r="O13" i="30"/>
  <c r="H43" i="22"/>
  <c r="O13" i="29"/>
  <c r="H25" i="22"/>
  <c r="H43" i="17"/>
  <c r="O13" i="28"/>
  <c r="H25" i="17"/>
  <c r="O14" i="30"/>
  <c r="H45" i="22"/>
  <c r="O14" i="29"/>
  <c r="H27" i="22"/>
  <c r="O14" i="28"/>
  <c r="H27" i="17"/>
  <c r="H45" i="17"/>
  <c r="L15" i="27"/>
  <c r="Q12" i="19"/>
  <c r="B19" i="19"/>
  <c r="Q14" i="11"/>
  <c r="B65" i="30" s="1"/>
  <c r="Q8" i="11"/>
  <c r="B70" i="30" s="1"/>
  <c r="M10" i="37" l="1"/>
  <c r="M9" i="37"/>
  <c r="G9" i="27"/>
  <c r="D42" i="29" s="1"/>
  <c r="M15" i="36"/>
  <c r="M13" i="36"/>
  <c r="M14" i="36"/>
  <c r="M10" i="36"/>
  <c r="M9" i="36"/>
  <c r="M11" i="36"/>
  <c r="M8" i="36"/>
  <c r="M13" i="19"/>
  <c r="S9" i="10"/>
  <c r="H13" i="19" s="1"/>
  <c r="O9" i="10"/>
  <c r="M7" i="18" s="1"/>
  <c r="M10" i="18"/>
  <c r="L12" i="27"/>
  <c r="G6" i="27"/>
  <c r="L13" i="30"/>
  <c r="E43" i="22"/>
  <c r="E25" i="17"/>
  <c r="E43" i="17"/>
  <c r="L13" i="29"/>
  <c r="E25" i="22"/>
  <c r="L13" i="28"/>
  <c r="L14" i="29"/>
  <c r="E27" i="22"/>
  <c r="E45" i="17"/>
  <c r="L14" i="30"/>
  <c r="L14" i="28"/>
  <c r="E45" i="22"/>
  <c r="E27" i="17"/>
  <c r="L15" i="28"/>
  <c r="E47" i="17"/>
  <c r="E29" i="22"/>
  <c r="E29" i="17"/>
  <c r="L15" i="30"/>
  <c r="E47" i="22"/>
  <c r="L15" i="29"/>
  <c r="L17" i="29"/>
  <c r="E31" i="22"/>
  <c r="E31" i="17"/>
  <c r="E49" i="22"/>
  <c r="L17" i="28"/>
  <c r="L17" i="30"/>
  <c r="E49" i="17"/>
  <c r="P9" i="27"/>
  <c r="D49" i="30" s="1"/>
  <c r="D42" i="28"/>
  <c r="C21" i="11"/>
  <c r="B60" i="30" s="1"/>
  <c r="G44" i="30"/>
  <c r="G44" i="29"/>
  <c r="L15" i="23"/>
  <c r="G44" i="28"/>
  <c r="E14" i="17"/>
  <c r="I14" i="17"/>
  <c r="B14" i="17"/>
  <c r="J14" i="17"/>
  <c r="K14" i="17"/>
  <c r="D14" i="17"/>
  <c r="F14" i="17"/>
  <c r="G14" i="17"/>
  <c r="H14" i="17"/>
  <c r="G9" i="23" l="1"/>
  <c r="D42" i="30"/>
  <c r="H15" i="11"/>
  <c r="D57" i="30" s="1"/>
  <c r="G43" i="29"/>
  <c r="G43" i="30"/>
  <c r="L12" i="23"/>
  <c r="G43" i="28"/>
  <c r="P12" i="27"/>
  <c r="G48" i="30" s="1"/>
  <c r="G6" i="23"/>
  <c r="D41" i="28"/>
  <c r="D41" i="29"/>
  <c r="D41" i="30"/>
  <c r="E7" i="18"/>
  <c r="S7" i="18" s="1"/>
  <c r="U9" i="10"/>
  <c r="U12" i="10"/>
  <c r="E10" i="18"/>
  <c r="S10" i="18" s="1"/>
  <c r="Q10" i="18" l="1"/>
  <c r="Q7" i="18"/>
  <c r="H9" i="11"/>
  <c r="D53" i="30" s="1"/>
  <c r="H7" i="19"/>
  <c r="M9" i="11"/>
  <c r="G53" i="30" s="1"/>
  <c r="M7" i="19"/>
  <c r="Q6" i="19" s="1"/>
</calcChain>
</file>

<file path=xl/sharedStrings.xml><?xml version="1.0" encoding="utf-8"?>
<sst xmlns="http://schemas.openxmlformats.org/spreadsheetml/2006/main" count="835" uniqueCount="185">
  <si>
    <t>GRUPO A</t>
  </si>
  <si>
    <t>GRUPO B</t>
  </si>
  <si>
    <t>LLAVE A</t>
  </si>
  <si>
    <t>LLAVE B</t>
  </si>
  <si>
    <t>PARTIDOS</t>
  </si>
  <si>
    <t xml:space="preserve">Campeonato Nacional de Futbol </t>
  </si>
  <si>
    <t>“COPA FUTURO TALENTO”</t>
  </si>
  <si>
    <t>Pts.</t>
  </si>
  <si>
    <t>Gan.</t>
  </si>
  <si>
    <t>Emp.</t>
  </si>
  <si>
    <t>Per.</t>
  </si>
  <si>
    <t>GF</t>
  </si>
  <si>
    <t>GC</t>
  </si>
  <si>
    <t>Dif.</t>
  </si>
  <si>
    <t>POSICIONES</t>
  </si>
  <si>
    <t>-</t>
  </si>
  <si>
    <t>PJ</t>
  </si>
  <si>
    <t>Observación: Si el partido se define por penales, éstos deben sumarse al resultado.</t>
  </si>
  <si>
    <t>Ganador</t>
  </si>
  <si>
    <t>DEFINICIÓN DEL TORNEO</t>
  </si>
  <si>
    <t>SEMIFINALES</t>
  </si>
  <si>
    <t>Partido por el TERCER PUESTO</t>
  </si>
  <si>
    <t>TERCER PUESTO</t>
  </si>
  <si>
    <t>FINAL DEL CAMPEONATO</t>
  </si>
  <si>
    <t>SEGUNDO PUESTO</t>
  </si>
  <si>
    <t>CAMPEÓN “COPA FUTURO TALENTO”</t>
  </si>
  <si>
    <t>FINAL DEL TORNEO</t>
  </si>
  <si>
    <t/>
  </si>
  <si>
    <t>Sede Administrativa Cra 13 No 6-43  Barrio La Florida</t>
  </si>
  <si>
    <t>Celular  310 241 33 76    Fijo 2 450 593</t>
  </si>
  <si>
    <t>soccermelgar@outlook.com</t>
  </si>
  <si>
    <t>Melgar - Tolima</t>
  </si>
  <si>
    <t>La organización no se hace responsable de las posibles lesiones ocasionadas dentro y fuera del campo de juego, accidentes o perdidas de elementos durante el transcurso del torneo.</t>
  </si>
  <si>
    <r>
      <t xml:space="preserve">PARTIDOS                 </t>
    </r>
    <r>
      <rPr>
        <i/>
        <sz val="18"/>
        <color rgb="FFFFFF00"/>
        <rFont val="Calibri"/>
        <family val="2"/>
        <scheme val="minor"/>
      </rPr>
      <t>fecha 1</t>
    </r>
  </si>
  <si>
    <r>
      <t xml:space="preserve">PARTIDOS                 </t>
    </r>
    <r>
      <rPr>
        <i/>
        <sz val="18"/>
        <color rgb="FFFF0000"/>
        <rFont val="Calibri"/>
        <family val="2"/>
        <scheme val="minor"/>
      </rPr>
      <t>fecha 3 ULTIMA</t>
    </r>
  </si>
  <si>
    <t>Tj</t>
  </si>
  <si>
    <t>.</t>
  </si>
  <si>
    <t>CANCHA 1</t>
  </si>
  <si>
    <t>CANCHA 2</t>
  </si>
  <si>
    <t>GRUPO C</t>
  </si>
  <si>
    <t>GRUPO D</t>
  </si>
  <si>
    <t>NOTA: LA ORGANIZACIÓN DEL TORNEO NO SE HACE RESPONSABLE DE ACCIDENTES O PERDIDA DE ELEMENTOS DURANTE EL TRANSCURSO DEL TORNEO.                                                                                                           Les recordamos traer el seguro de salud de los deportistas.                                                                                                          Tarjeta de identidad Original,  Registro Civil.</t>
  </si>
  <si>
    <r>
      <t xml:space="preserve">PARTIDOS                 </t>
    </r>
    <r>
      <rPr>
        <i/>
        <sz val="18"/>
        <color rgb="FFFFFF00"/>
        <rFont val="Calibri"/>
        <family val="2"/>
        <scheme val="minor"/>
      </rPr>
      <t>fecha 2</t>
    </r>
  </si>
  <si>
    <t>CUARTOS DE FINAL</t>
  </si>
  <si>
    <t>LLAVE 1</t>
  </si>
  <si>
    <t>LLAVE 2</t>
  </si>
  <si>
    <t>FASE GRUPOS</t>
  </si>
  <si>
    <t>PRIMERO DEL GRUPO A</t>
  </si>
  <si>
    <t>vs</t>
  </si>
  <si>
    <t>PRIMERO DEL GRUPO C</t>
  </si>
  <si>
    <t>PRIMERO DEL GRUPO B</t>
  </si>
  <si>
    <t>PRIMERO DEL GRUPO D</t>
  </si>
  <si>
    <t>SEGUNDO DEL GRUPO A</t>
  </si>
  <si>
    <t>SEGUNDO DEL GRUPO C</t>
  </si>
  <si>
    <t>SEGUNDO DEL GRUPO B</t>
  </si>
  <si>
    <t>SEGUNDO DEL GRUPO D</t>
  </si>
  <si>
    <t>GANADOR LLAVE A</t>
  </si>
  <si>
    <t>GANADOR LLAVE B</t>
  </si>
  <si>
    <t>SEMIFINAL</t>
  </si>
  <si>
    <t>LLAVE C</t>
  </si>
  <si>
    <t>LLAVE D</t>
  </si>
  <si>
    <t>GANADOR LLAVE C</t>
  </si>
  <si>
    <t>GANADOR LLAVE D</t>
  </si>
  <si>
    <t>FINAL</t>
  </si>
  <si>
    <t>TERCER Y CUARTO LUGAR</t>
  </si>
  <si>
    <t>PERDEDOR LLAVE 1</t>
  </si>
  <si>
    <t>PERDEDOR LLAVE 2</t>
  </si>
  <si>
    <t>GANADOR LLAVE 1</t>
  </si>
  <si>
    <t>GANADOR LLAVE 2</t>
  </si>
  <si>
    <t>CANCHA</t>
  </si>
  <si>
    <t>HORA</t>
  </si>
  <si>
    <t>EQUIPO</t>
  </si>
  <si>
    <t>MARCADOR</t>
  </si>
  <si>
    <t>GRUPO</t>
  </si>
  <si>
    <t>CALENDARIO OFICIAL</t>
  </si>
  <si>
    <t>PALMARA</t>
  </si>
  <si>
    <t>LLAVE</t>
  </si>
  <si>
    <t>01:10. p.m.</t>
  </si>
  <si>
    <t>03:00. p.m.</t>
  </si>
  <si>
    <t>04:20. p.m.</t>
  </si>
  <si>
    <t>LAS VEGAS</t>
  </si>
  <si>
    <t>INTERGRUPOS</t>
  </si>
  <si>
    <t>PRIMERO GRUPO A</t>
  </si>
  <si>
    <t>PRIMERO GRUPO B</t>
  </si>
  <si>
    <t>El partido intergrupo garantiza jugar como minimo 4 partidos a todos los equipos participantes.</t>
  </si>
  <si>
    <t>PARTIDOS       FECHA 3</t>
  </si>
  <si>
    <t>,</t>
  </si>
  <si>
    <t># 1 GRUPO A</t>
  </si>
  <si>
    <t># 2 GRUPO A</t>
  </si>
  <si>
    <t># 3 GRUPO A</t>
  </si>
  <si>
    <t># 4 GRUPO A</t>
  </si>
  <si>
    <t># 5 GRUPO B</t>
  </si>
  <si>
    <t># 6 GRUPO B</t>
  </si>
  <si>
    <t># 7 GRUPO B</t>
  </si>
  <si>
    <t># 8 GRUPO B</t>
  </si>
  <si>
    <t>SEGUNDO GRUPO B</t>
  </si>
  <si>
    <t>SEGUNDO GRUPO A</t>
  </si>
  <si>
    <t>04:00. p.m.</t>
  </si>
  <si>
    <t>BABY FUTBOL</t>
  </si>
  <si>
    <t>Nacidos Año 2005-2006</t>
  </si>
  <si>
    <t xml:space="preserve">IV Campeonato Nacional de Futbol </t>
  </si>
  <si>
    <t>07:15. a.m.</t>
  </si>
  <si>
    <t>08:20. a.m.</t>
  </si>
  <si>
    <t>12:00. m.d.</t>
  </si>
  <si>
    <t>09:50. a.m.</t>
  </si>
  <si>
    <t>10:50. a.m.</t>
  </si>
  <si>
    <t>02:30. p.m.</t>
  </si>
  <si>
    <t>01:15. p.m.</t>
  </si>
  <si>
    <t>03:25. p.m.</t>
  </si>
  <si>
    <t>04:30. p.m.</t>
  </si>
  <si>
    <t>CATEGORIA</t>
  </si>
  <si>
    <t>07:00. a.m.</t>
  </si>
  <si>
    <t>08:00. a.m.</t>
  </si>
  <si>
    <t>12:30. p.m.</t>
  </si>
  <si>
    <t>01:40. p.m.</t>
  </si>
  <si>
    <t>FASE GRUPOSS</t>
  </si>
  <si>
    <t>Pasan a la ronda semifinal, el PRIMERO DE CADA GRUPO, se jugara el lunes festivo en la mañana</t>
  </si>
  <si>
    <t>2:15 p.m.</t>
  </si>
  <si>
    <t>3:05 p.m.</t>
  </si>
  <si>
    <t>LA CUARTA FECHA SE JUGARAN DOS TIEMPOS DE 18 MINUTOS CADA UNO</t>
  </si>
  <si>
    <t>SEGUNDO PRUPO A</t>
  </si>
  <si>
    <t>TERCERO GRUPO A</t>
  </si>
  <si>
    <t>CUARTO GRUPO A</t>
  </si>
  <si>
    <t>TERCERO GRUPO B</t>
  </si>
  <si>
    <t>CUARTO GRUPO B</t>
  </si>
  <si>
    <t>PRIMERO GRUPO C</t>
  </si>
  <si>
    <t>TERCERO GRUPO C</t>
  </si>
  <si>
    <t>PRIMERO GRUPO D</t>
  </si>
  <si>
    <t>SEGUNDO GRUPO D</t>
  </si>
  <si>
    <t>TERCERO GRUPO D</t>
  </si>
  <si>
    <t>CUARTO GRUPO D</t>
  </si>
  <si>
    <t>INTERGRUPO</t>
  </si>
  <si>
    <t>1.A</t>
  </si>
  <si>
    <t>2:00 p.m.</t>
  </si>
  <si>
    <t>SEGUNDO GRUPO C</t>
  </si>
  <si>
    <t>1.B</t>
  </si>
  <si>
    <t>2.D</t>
  </si>
  <si>
    <t>1.C</t>
  </si>
  <si>
    <t>2:20 p.m.</t>
  </si>
  <si>
    <t>SEGUNDO PRUPO B</t>
  </si>
  <si>
    <t>1.D</t>
  </si>
  <si>
    <t>2:50 p.m.</t>
  </si>
  <si>
    <t>PRIMERO GRUPO E</t>
  </si>
  <si>
    <t>PRIMERO GRUPO G</t>
  </si>
  <si>
    <t>SEGUNDO PRUPO E</t>
  </si>
  <si>
    <t>SEGUNDO GRUPO G</t>
  </si>
  <si>
    <t>TERCERO GRUPO E</t>
  </si>
  <si>
    <t>TERCERO GRUPO G</t>
  </si>
  <si>
    <t>3:10 p.m.</t>
  </si>
  <si>
    <t>CUARTO GRUPO G</t>
  </si>
  <si>
    <t>CUARTO GRUPO H</t>
  </si>
  <si>
    <t>SEGUNDO PRUPO F</t>
  </si>
  <si>
    <t>SEGUNDO GRUPO H</t>
  </si>
  <si>
    <t>3:40 p.m.</t>
  </si>
  <si>
    <t>TERCERO GRUPO F</t>
  </si>
  <si>
    <t>TERCERO GRUPO H</t>
  </si>
  <si>
    <t>PRIMERO GRUPO F</t>
  </si>
  <si>
    <t>PRIMERO GRUPO H</t>
  </si>
  <si>
    <t>PARTIDOS           FECHA 1</t>
  </si>
  <si>
    <t>“COPA SOCCER MELGAR”</t>
  </si>
  <si>
    <t>ESCUELA DEPORTIVA FÚTBOL RAQUIRA</t>
  </si>
  <si>
    <t>TEMPLO DEL FÚTBOL</t>
  </si>
  <si>
    <t>CLUB CAMPESTRE IBAGUE</t>
  </si>
  <si>
    <t>BLUEMARTIN F.C .</t>
  </si>
  <si>
    <t>EIFD TESOROS SPORTS</t>
  </si>
  <si>
    <t>CENTAUROS DEL ARIARI</t>
  </si>
  <si>
    <t>ACADEMIA IGUARAN F. C.</t>
  </si>
  <si>
    <t>COLEGIO NEIL ARMSTRONG</t>
  </si>
  <si>
    <t>AJAX AIMARA</t>
  </si>
  <si>
    <t>GRAMA F. C.</t>
  </si>
  <si>
    <t>ESTADIO MUNICIPAL CANCHA 1 B (SINTETICO)</t>
  </si>
  <si>
    <t>ESTADIO MUNICIPAL CANCHA 1 A (SINTETICO)</t>
  </si>
  <si>
    <t>ESCUELA DE FORMACION DEPORTIVA MARACANA</t>
  </si>
  <si>
    <t>CORDOBA Y CERRANO F. C.</t>
  </si>
  <si>
    <t>CLUB DEPORTIVO OS FUTSAL</t>
  </si>
  <si>
    <t>CLUB LOS PAPETICOS</t>
  </si>
  <si>
    <t>CANCHA 1 A 
CLUB POLICIA</t>
  </si>
  <si>
    <t>CANCHA 1 B 
CLUB POLICIA</t>
  </si>
  <si>
    <t>XVIII Festival Nacional de Fútbol Infantil</t>
  </si>
  <si>
    <t>SEPTIEMBRE 28 Y 29 DEL 2024</t>
  </si>
  <si>
    <t>FINAL 
COPA ORO</t>
  </si>
  <si>
    <t>FINAL 
COPA PLATA</t>
  </si>
  <si>
    <t>FINAL 
COPA BRONCE</t>
  </si>
  <si>
    <t>FINAL 
COPA SOCCER MELGAR</t>
  </si>
  <si>
    <t>NACIDOS 2014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</si>
</sst>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3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20"/>
      <color rgb="FF008000"/>
      <name val="Times New Roman"/>
      <family val="1"/>
    </font>
    <font>
      <b/>
      <sz val="28"/>
      <color rgb="FF008000"/>
      <name val="Times New Roman"/>
      <family val="1"/>
    </font>
    <font>
      <i/>
      <sz val="14"/>
      <color theme="1"/>
      <name val="Calibri"/>
      <family val="2"/>
      <scheme val="minor"/>
    </font>
    <font>
      <b/>
      <sz val="14"/>
      <color rgb="FFD14F52"/>
      <name val="Calibri"/>
      <family val="2"/>
      <scheme val="minor"/>
    </font>
    <font>
      <sz val="14"/>
      <name val="Calibri"/>
      <family val="2"/>
      <scheme val="minor"/>
    </font>
    <font>
      <i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48"/>
      <color rgb="FF00B050"/>
      <name val="Times New Roman"/>
      <family val="1"/>
    </font>
    <font>
      <sz val="48"/>
      <color rgb="FFFF0000"/>
      <name val="Times New Roman"/>
      <family val="1"/>
    </font>
    <font>
      <b/>
      <sz val="20"/>
      <color rgb="FF00B050"/>
      <name val="Times New Roman"/>
      <family val="1"/>
    </font>
    <font>
      <b/>
      <sz val="11"/>
      <name val="Calibri"/>
      <family val="2"/>
      <scheme val="minor"/>
    </font>
    <font>
      <b/>
      <sz val="12"/>
      <color rgb="FFD14F5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26"/>
      <color rgb="FFD14F52"/>
      <name val="Times New Roman"/>
      <family val="1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8"/>
      <color rgb="FF002060"/>
      <name val="Times New Roman"/>
      <family val="1"/>
    </font>
    <font>
      <sz val="48"/>
      <color theme="1"/>
      <name val="Imprint MT Shadow"/>
      <family val="5"/>
    </font>
    <font>
      <b/>
      <sz val="24"/>
      <color rgb="FF008000"/>
      <name val="Times New Roman"/>
      <family val="1"/>
    </font>
    <font>
      <b/>
      <sz val="36"/>
      <color rgb="FF006600"/>
      <name val="Times New Roman"/>
      <family val="1"/>
    </font>
    <font>
      <b/>
      <sz val="24"/>
      <color rgb="FF006600"/>
      <name val="Times New Roman"/>
      <family val="1"/>
    </font>
    <font>
      <sz val="26"/>
      <color theme="1"/>
      <name val="Imprint MT Shadow"/>
      <family val="5"/>
    </font>
    <font>
      <b/>
      <sz val="40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8"/>
      <color rgb="FFFF0000"/>
      <name val="Calibri"/>
      <family val="2"/>
      <scheme val="minor"/>
    </font>
    <font>
      <i/>
      <sz val="18"/>
      <color rgb="FFFFFF00"/>
      <name val="Calibri"/>
      <family val="2"/>
      <scheme val="minor"/>
    </font>
    <font>
      <sz val="24"/>
      <color rgb="FF00B050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rgb="FF002060"/>
      <name val="Times New Roman"/>
      <family val="1"/>
    </font>
    <font>
      <b/>
      <sz val="36"/>
      <name val="Calibri"/>
      <family val="2"/>
      <scheme val="minor"/>
    </font>
    <font>
      <i/>
      <sz val="14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2"/>
      <color rgb="FFFF0000"/>
      <name val="Times New Roman"/>
      <family val="1"/>
    </font>
    <font>
      <b/>
      <sz val="16"/>
      <color rgb="FFFF0000"/>
      <name val="Calibri"/>
      <family val="2"/>
      <scheme val="minor"/>
    </font>
    <font>
      <sz val="40"/>
      <color theme="1"/>
      <name val="Imprint MT Shadow"/>
      <family val="5"/>
    </font>
    <font>
      <b/>
      <sz val="11"/>
      <color theme="0" tint="-0.14999847407452621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3"/>
      <color theme="0" tint="-0.14999847407452621"/>
      <name val="Calibri"/>
      <family val="2"/>
      <scheme val="minor"/>
    </font>
    <font>
      <b/>
      <sz val="20"/>
      <color rgb="FF0066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206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6600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35"/>
      <color rgb="FFFF0000"/>
      <name val="Times New Roman"/>
      <family val="1"/>
    </font>
    <font>
      <b/>
      <sz val="35"/>
      <color rgb="FF002060"/>
      <name val="Times New Roman"/>
      <family val="1"/>
    </font>
    <font>
      <b/>
      <sz val="35"/>
      <color theme="9" tint="-0.249977111117893"/>
      <name val="Times New Roman"/>
      <family val="1"/>
    </font>
    <font>
      <b/>
      <sz val="35"/>
      <color rgb="FF00B050"/>
      <name val="Times New Roman"/>
      <family val="1"/>
    </font>
    <font>
      <b/>
      <sz val="24"/>
      <color theme="9" tint="-0.249977111117893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i/>
      <sz val="36"/>
      <color rgb="FFD14F52"/>
      <name val="Times New Roman"/>
      <family val="1"/>
    </font>
    <font>
      <b/>
      <sz val="11"/>
      <color rgb="FFD14F5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008000"/>
      <name val="Times New Roman"/>
      <family val="1"/>
    </font>
    <font>
      <b/>
      <sz val="14"/>
      <color rgb="FF008000"/>
      <name val="Times New Roman"/>
      <family val="1"/>
    </font>
    <font>
      <b/>
      <sz val="12"/>
      <name val="Times New Roman"/>
      <family val="1"/>
    </font>
    <font>
      <b/>
      <sz val="12"/>
      <color rgb="FF008000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7030A0"/>
      <name val="Times New Roman"/>
      <family val="1"/>
    </font>
    <font>
      <b/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rgb="FF006600"/>
      <name val="Times New Roman"/>
      <family val="1"/>
    </font>
    <font>
      <b/>
      <sz val="22"/>
      <color rgb="FF0066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35"/>
      <color theme="0"/>
      <name val="Calibri"/>
      <family val="2"/>
      <scheme val="minor"/>
    </font>
    <font>
      <b/>
      <sz val="3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Times New Roman"/>
      <family val="1"/>
    </font>
    <font>
      <b/>
      <sz val="16"/>
      <color theme="1"/>
      <name val="Times New Roman"/>
      <family val="1"/>
    </font>
    <font>
      <b/>
      <sz val="11"/>
      <color rgb="FF0000FF"/>
      <name val="Calibri"/>
      <family val="2"/>
      <scheme val="minor"/>
    </font>
    <font>
      <b/>
      <i/>
      <sz val="22"/>
      <color rgb="FFFF0000"/>
      <name val="Times New Roman"/>
      <family val="1"/>
    </font>
    <font>
      <b/>
      <sz val="28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6600"/>
      <name val="Calibri"/>
      <family val="2"/>
      <scheme val="minor"/>
    </font>
    <font>
      <b/>
      <sz val="20"/>
      <color rgb="FF0000FF"/>
      <name val="Times New Roman"/>
      <family val="1"/>
    </font>
    <font>
      <b/>
      <i/>
      <sz val="36"/>
      <color rgb="FFFF0000"/>
      <name val="Times New Roman"/>
      <family val="1"/>
    </font>
    <font>
      <b/>
      <sz val="22"/>
      <color rgb="FF0000FF"/>
      <name val="Times New Roman"/>
      <family val="1"/>
    </font>
    <font>
      <b/>
      <sz val="32"/>
      <color rgb="FF008000"/>
      <name val="Times New Roman"/>
      <family val="1"/>
    </font>
    <font>
      <sz val="40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48"/>
      <color rgb="FF002060"/>
      <name val="Times New Roman"/>
      <family val="1"/>
    </font>
    <font>
      <b/>
      <sz val="20"/>
      <color rgb="FF002060"/>
      <name val="Times New Roman"/>
      <family val="1"/>
    </font>
    <font>
      <b/>
      <sz val="20"/>
      <color theme="9" tint="-0.249977111117893"/>
      <name val="Times New Roman"/>
      <family val="1"/>
    </font>
    <font>
      <b/>
      <sz val="20"/>
      <color rgb="FF0000FF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0000FF"/>
      <name val="Calibri"/>
      <family val="2"/>
      <scheme val="minor"/>
    </font>
    <font>
      <b/>
      <sz val="18"/>
      <color rgb="FF006600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2EAC8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62A6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14F5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8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theme="0" tint="-0.34998626667073579"/>
      </right>
      <top style="medium">
        <color rgb="FFFF000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theme="0" tint="-0.34998626667073579"/>
      </right>
      <top/>
      <bottom style="medium">
        <color rgb="FFFF000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579">
    <xf numFmtId="0" fontId="0" fillId="0" borderId="0" xfId="0"/>
    <xf numFmtId="0" fontId="0" fillId="2" borderId="0" xfId="0" applyFill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0" fillId="2" borderId="0" xfId="0" applyFill="1" applyAlignment="1">
      <alignment horizontal="center"/>
    </xf>
    <xf numFmtId="0" fontId="0" fillId="6" borderId="12" xfId="0" applyFill="1" applyBorder="1"/>
    <xf numFmtId="0" fontId="0" fillId="6" borderId="5" xfId="0" applyFill="1" applyBorder="1"/>
    <xf numFmtId="0" fontId="0" fillId="6" borderId="0" xfId="0" applyFill="1"/>
    <xf numFmtId="0" fontId="0" fillId="6" borderId="7" xfId="0" applyFill="1" applyBorder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vertical="center"/>
    </xf>
    <xf numFmtId="0" fontId="0" fillId="6" borderId="0" xfId="0" applyFill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0" fontId="18" fillId="7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9" fillId="2" borderId="0" xfId="0" applyFont="1" applyFill="1"/>
    <xf numFmtId="0" fontId="12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3" fillId="2" borderId="0" xfId="0" applyFont="1" applyFill="1" applyProtection="1">
      <protection locked="0"/>
    </xf>
    <xf numFmtId="0" fontId="21" fillId="2" borderId="0" xfId="0" applyFont="1" applyFill="1" applyAlignment="1">
      <alignment horizontal="right"/>
    </xf>
    <xf numFmtId="0" fontId="22" fillId="2" borderId="0" xfId="0" applyFont="1" applyFill="1" applyAlignment="1">
      <alignment horizontal="right"/>
    </xf>
    <xf numFmtId="0" fontId="13" fillId="2" borderId="0" xfId="0" applyFont="1" applyFill="1"/>
    <xf numFmtId="0" fontId="1" fillId="2" borderId="0" xfId="0" applyFont="1" applyFill="1"/>
    <xf numFmtId="0" fontId="0" fillId="6" borderId="14" xfId="0" applyFill="1" applyBorder="1"/>
    <xf numFmtId="0" fontId="0" fillId="6" borderId="8" xfId="0" applyFill="1" applyBorder="1"/>
    <xf numFmtId="0" fontId="2" fillId="0" borderId="0" xfId="0" applyFont="1" applyAlignment="1">
      <alignment horizontal="left"/>
    </xf>
    <xf numFmtId="0" fontId="2" fillId="6" borderId="0" xfId="0" applyFont="1" applyFill="1" applyAlignment="1">
      <alignment horizontal="right" vertical="center"/>
    </xf>
    <xf numFmtId="0" fontId="12" fillId="7" borderId="0" xfId="0" applyFont="1" applyFill="1" applyAlignment="1">
      <alignment horizontal="center" vertical="center"/>
    </xf>
    <xf numFmtId="0" fontId="33" fillId="9" borderId="0" xfId="0" applyFont="1" applyFill="1" applyAlignment="1">
      <alignment horizontal="center" vertical="center"/>
    </xf>
    <xf numFmtId="0" fontId="31" fillId="2" borderId="0" xfId="0" applyFont="1" applyFill="1"/>
    <xf numFmtId="49" fontId="26" fillId="6" borderId="0" xfId="0" applyNumberFormat="1" applyFont="1" applyFill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2" fillId="6" borderId="14" xfId="0" applyFont="1" applyFill="1" applyBorder="1"/>
    <xf numFmtId="0" fontId="0" fillId="6" borderId="8" xfId="0" applyFill="1" applyBorder="1" applyAlignment="1">
      <alignment vertical="center"/>
    </xf>
    <xf numFmtId="0" fontId="0" fillId="10" borderId="0" xfId="0" applyFill="1"/>
    <xf numFmtId="0" fontId="2" fillId="10" borderId="8" xfId="0" applyFont="1" applyFill="1" applyBorder="1"/>
    <xf numFmtId="0" fontId="0" fillId="10" borderId="8" xfId="0" applyFill="1" applyBorder="1"/>
    <xf numFmtId="0" fontId="2" fillId="10" borderId="0" xfId="0" applyFont="1" applyFill="1"/>
    <xf numFmtId="0" fontId="0" fillId="6" borderId="4" xfId="0" applyFill="1" applyBorder="1"/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vertical="center"/>
    </xf>
    <xf numFmtId="0" fontId="36" fillId="2" borderId="0" xfId="0" applyFont="1" applyFill="1"/>
    <xf numFmtId="0" fontId="16" fillId="6" borderId="13" xfId="0" applyFont="1" applyFill="1" applyBorder="1" applyAlignment="1">
      <alignment horizontal="center"/>
    </xf>
    <xf numFmtId="164" fontId="2" fillId="3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16" fontId="2" fillId="3" borderId="0" xfId="0" applyNumberFormat="1" applyFont="1" applyFill="1" applyAlignment="1">
      <alignment vertical="center"/>
    </xf>
    <xf numFmtId="16" fontId="2" fillId="4" borderId="0" xfId="0" applyNumberFormat="1" applyFont="1" applyFill="1" applyAlignment="1">
      <alignment vertical="center"/>
    </xf>
    <xf numFmtId="0" fontId="40" fillId="2" borderId="0" xfId="0" applyFont="1" applyFill="1"/>
    <xf numFmtId="0" fontId="3" fillId="6" borderId="0" xfId="0" applyFont="1" applyFill="1" applyAlignment="1">
      <alignment horizontal="center"/>
    </xf>
    <xf numFmtId="0" fontId="41" fillId="2" borderId="0" xfId="0" applyFont="1" applyFill="1"/>
    <xf numFmtId="0" fontId="0" fillId="2" borderId="39" xfId="0" applyFill="1" applyBorder="1" applyAlignment="1">
      <alignment horizontal="center"/>
    </xf>
    <xf numFmtId="0" fontId="48" fillId="2" borderId="0" xfId="0" applyFont="1" applyFill="1" applyAlignment="1">
      <alignment horizontal="center"/>
    </xf>
    <xf numFmtId="0" fontId="48" fillId="2" borderId="0" xfId="0" applyFont="1" applyFill="1"/>
    <xf numFmtId="0" fontId="0" fillId="2" borderId="39" xfId="0" applyFill="1" applyBorder="1"/>
    <xf numFmtId="0" fontId="8" fillId="2" borderId="0" xfId="0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/>
    <xf numFmtId="1" fontId="2" fillId="2" borderId="0" xfId="0" applyNumberFormat="1" applyFont="1" applyFill="1" applyAlignment="1">
      <alignment vertical="center"/>
    </xf>
    <xf numFmtId="0" fontId="31" fillId="2" borderId="0" xfId="0" applyFont="1" applyFill="1" applyAlignment="1">
      <alignment horizontal="center" vertical="center"/>
    </xf>
    <xf numFmtId="1" fontId="3" fillId="2" borderId="0" xfId="0" applyNumberFormat="1" applyFont="1" applyFill="1"/>
    <xf numFmtId="1" fontId="0" fillId="2" borderId="0" xfId="0" applyNumberFormat="1" applyFill="1" applyAlignment="1">
      <alignment horizontal="center"/>
    </xf>
    <xf numFmtId="0" fontId="37" fillId="2" borderId="0" xfId="0" applyFont="1" applyFill="1"/>
    <xf numFmtId="0" fontId="38" fillId="2" borderId="0" xfId="0" applyFont="1" applyFill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53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Protection="1">
      <protection locked="0"/>
    </xf>
    <xf numFmtId="0" fontId="54" fillId="2" borderId="0" xfId="0" applyFont="1" applyFill="1"/>
    <xf numFmtId="0" fontId="55" fillId="2" borderId="0" xfId="0" applyFont="1" applyFill="1"/>
    <xf numFmtId="0" fontId="49" fillId="6" borderId="7" xfId="0" applyFont="1" applyFill="1" applyBorder="1" applyAlignment="1">
      <alignment horizontal="center"/>
    </xf>
    <xf numFmtId="0" fontId="57" fillId="6" borderId="0" xfId="0" applyFont="1" applyFill="1"/>
    <xf numFmtId="0" fontId="49" fillId="2" borderId="0" xfId="0" applyFont="1" applyFill="1"/>
    <xf numFmtId="0" fontId="49" fillId="6" borderId="0" xfId="0" applyFont="1" applyFill="1" applyAlignment="1">
      <alignment horizontal="center" vertical="center"/>
    </xf>
    <xf numFmtId="0" fontId="57" fillId="6" borderId="0" xfId="0" applyFont="1" applyFill="1" applyAlignment="1">
      <alignment horizontal="center"/>
    </xf>
    <xf numFmtId="0" fontId="58" fillId="6" borderId="13" xfId="0" applyFont="1" applyFill="1" applyBorder="1" applyAlignment="1">
      <alignment horizontal="center"/>
    </xf>
    <xf numFmtId="0" fontId="57" fillId="0" borderId="0" xfId="0" applyFont="1" applyAlignment="1">
      <alignment horizontal="left"/>
    </xf>
    <xf numFmtId="0" fontId="57" fillId="6" borderId="0" xfId="0" applyFont="1" applyFill="1" applyAlignment="1">
      <alignment vertical="center"/>
    </xf>
    <xf numFmtId="16" fontId="57" fillId="3" borderId="0" xfId="0" applyNumberFormat="1" applyFont="1" applyFill="1" applyAlignment="1">
      <alignment horizontal="center" vertical="center"/>
    </xf>
    <xf numFmtId="164" fontId="57" fillId="3" borderId="0" xfId="0" applyNumberFormat="1" applyFont="1" applyFill="1" applyAlignment="1">
      <alignment horizontal="center" vertical="center"/>
    </xf>
    <xf numFmtId="0" fontId="57" fillId="3" borderId="0" xfId="0" applyFont="1" applyFill="1" applyAlignment="1">
      <alignment horizontal="center" vertical="center"/>
    </xf>
    <xf numFmtId="16" fontId="57" fillId="4" borderId="0" xfId="0" applyNumberFormat="1" applyFont="1" applyFill="1" applyAlignment="1">
      <alignment horizontal="center" vertical="center"/>
    </xf>
    <xf numFmtId="164" fontId="57" fillId="4" borderId="0" xfId="0" applyNumberFormat="1" applyFont="1" applyFill="1" applyAlignment="1">
      <alignment horizontal="center" vertical="center"/>
    </xf>
    <xf numFmtId="0" fontId="57" fillId="8" borderId="6" xfId="0" applyFont="1" applyFill="1" applyBorder="1" applyAlignment="1" applyProtection="1">
      <alignment horizontal="center" vertical="center"/>
      <protection locked="0"/>
    </xf>
    <xf numFmtId="0" fontId="57" fillId="4" borderId="0" xfId="0" applyFont="1" applyFill="1" applyAlignment="1">
      <alignment horizontal="center" vertical="center"/>
    </xf>
    <xf numFmtId="0" fontId="52" fillId="2" borderId="0" xfId="0" applyFont="1" applyFill="1"/>
    <xf numFmtId="0" fontId="59" fillId="2" borderId="0" xfId="0" applyFont="1" applyFill="1"/>
    <xf numFmtId="0" fontId="60" fillId="2" borderId="0" xfId="0" applyFont="1" applyFill="1"/>
    <xf numFmtId="0" fontId="61" fillId="2" borderId="0" xfId="0" applyFont="1" applyFill="1"/>
    <xf numFmtId="0" fontId="42" fillId="2" borderId="0" xfId="0" applyFont="1" applyFill="1" applyAlignment="1">
      <alignment vertical="center"/>
    </xf>
    <xf numFmtId="0" fontId="63" fillId="8" borderId="6" xfId="0" applyFont="1" applyFill="1" applyBorder="1" applyAlignment="1" applyProtection="1">
      <alignment horizontal="center" vertical="center"/>
      <protection locked="0"/>
    </xf>
    <xf numFmtId="0" fontId="49" fillId="2" borderId="0" xfId="0" applyFont="1" applyFill="1" applyAlignment="1">
      <alignment horizontal="left"/>
    </xf>
    <xf numFmtId="0" fontId="57" fillId="4" borderId="0" xfId="0" applyFont="1" applyFill="1" applyAlignment="1">
      <alignment horizontal="left" vertical="center"/>
    </xf>
    <xf numFmtId="0" fontId="57" fillId="3" borderId="0" xfId="0" applyFont="1" applyFill="1" applyAlignment="1">
      <alignment horizontal="left" vertical="center"/>
    </xf>
    <xf numFmtId="0" fontId="57" fillId="10" borderId="0" xfId="0" applyFont="1" applyFill="1"/>
    <xf numFmtId="0" fontId="57" fillId="6" borderId="0" xfId="0" applyFont="1" applyFill="1" applyAlignment="1">
      <alignment horizontal="right" vertical="center"/>
    </xf>
    <xf numFmtId="16" fontId="57" fillId="4" borderId="0" xfId="0" applyNumberFormat="1" applyFont="1" applyFill="1" applyAlignment="1">
      <alignment horizontal="left" vertical="center"/>
    </xf>
    <xf numFmtId="0" fontId="64" fillId="6" borderId="0" xfId="0" applyFont="1" applyFill="1" applyAlignment="1">
      <alignment horizontal="center"/>
    </xf>
    <xf numFmtId="0" fontId="65" fillId="8" borderId="6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1" fontId="2" fillId="3" borderId="6" xfId="0" applyNumberFormat="1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vertical="center"/>
    </xf>
    <xf numFmtId="1" fontId="2" fillId="4" borderId="6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67" fillId="2" borderId="0" xfId="0" applyFont="1" applyFill="1"/>
    <xf numFmtId="0" fontId="57" fillId="3" borderId="0" xfId="0" applyFont="1" applyFill="1" applyAlignment="1">
      <alignment horizontal="center" vertical="center" wrapText="1"/>
    </xf>
    <xf numFmtId="0" fontId="57" fillId="4" borderId="0" xfId="0" applyFont="1" applyFill="1" applyAlignment="1">
      <alignment horizontal="center" vertical="center" wrapText="1"/>
    </xf>
    <xf numFmtId="0" fontId="0" fillId="6" borderId="46" xfId="0" applyFill="1" applyBorder="1"/>
    <xf numFmtId="0" fontId="0" fillId="6" borderId="28" xfId="0" applyFill="1" applyBorder="1"/>
    <xf numFmtId="0" fontId="56" fillId="6" borderId="13" xfId="0" applyFont="1" applyFill="1" applyBorder="1"/>
    <xf numFmtId="0" fontId="49" fillId="6" borderId="28" xfId="0" applyFont="1" applyFill="1" applyBorder="1" applyAlignment="1">
      <alignment horizontal="center" vertical="center"/>
    </xf>
    <xf numFmtId="0" fontId="0" fillId="11" borderId="5" xfId="0" applyFill="1" applyBorder="1"/>
    <xf numFmtId="0" fontId="2" fillId="11" borderId="0" xfId="0" applyFont="1" applyFill="1"/>
    <xf numFmtId="0" fontId="2" fillId="11" borderId="14" xfId="0" applyFont="1" applyFill="1" applyBorder="1"/>
    <xf numFmtId="0" fontId="2" fillId="11" borderId="8" xfId="0" applyFont="1" applyFill="1" applyBorder="1"/>
    <xf numFmtId="0" fontId="0" fillId="11" borderId="12" xfId="0" applyFill="1" applyBorder="1"/>
    <xf numFmtId="0" fontId="26" fillId="11" borderId="13" xfId="0" applyFont="1" applyFill="1" applyBorder="1"/>
    <xf numFmtId="0" fontId="0" fillId="11" borderId="4" xfId="0" applyFill="1" applyBorder="1"/>
    <xf numFmtId="49" fontId="26" fillId="11" borderId="5" xfId="0" applyNumberFormat="1" applyFont="1" applyFill="1" applyBorder="1" applyAlignment="1">
      <alignment horizontal="center"/>
    </xf>
    <xf numFmtId="0" fontId="71" fillId="2" borderId="0" xfId="0" applyFont="1" applyFill="1"/>
    <xf numFmtId="0" fontId="71" fillId="2" borderId="0" xfId="0" applyFont="1" applyFill="1" applyAlignment="1">
      <alignment horizontal="center" vertical="center"/>
    </xf>
    <xf numFmtId="0" fontId="66" fillId="2" borderId="3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 wrapText="1"/>
    </xf>
    <xf numFmtId="0" fontId="68" fillId="2" borderId="3" xfId="0" applyFont="1" applyFill="1" applyBorder="1" applyAlignment="1">
      <alignment horizontal="center" vertical="center"/>
    </xf>
    <xf numFmtId="0" fontId="57" fillId="8" borderId="12" xfId="0" applyFont="1" applyFill="1" applyBorder="1" applyAlignment="1" applyProtection="1">
      <alignment horizontal="center" vertical="center"/>
      <protection locked="0"/>
    </xf>
    <xf numFmtId="0" fontId="66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 wrapText="1"/>
    </xf>
    <xf numFmtId="0" fontId="73" fillId="2" borderId="3" xfId="0" applyFont="1" applyFill="1" applyBorder="1" applyAlignment="1">
      <alignment horizontal="center" vertical="center"/>
    </xf>
    <xf numFmtId="0" fontId="75" fillId="2" borderId="3" xfId="0" applyFont="1" applyFill="1" applyBorder="1" applyAlignment="1">
      <alignment horizontal="center"/>
    </xf>
    <xf numFmtId="0" fontId="76" fillId="2" borderId="3" xfId="0" applyFont="1" applyFill="1" applyBorder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0" fontId="85" fillId="2" borderId="0" xfId="0" applyFont="1" applyFill="1" applyAlignment="1">
      <alignment horizontal="left" vertical="center"/>
    </xf>
    <xf numFmtId="0" fontId="30" fillId="0" borderId="0" xfId="0" applyFont="1" applyAlignment="1">
      <alignment vertical="center"/>
    </xf>
    <xf numFmtId="0" fontId="7" fillId="2" borderId="0" xfId="0" applyFont="1" applyFill="1" applyAlignment="1">
      <alignment horizontal="left" vertical="center"/>
    </xf>
    <xf numFmtId="0" fontId="0" fillId="12" borderId="5" xfId="0" applyFill="1" applyBorder="1"/>
    <xf numFmtId="0" fontId="2" fillId="6" borderId="0" xfId="0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2" fillId="12" borderId="0" xfId="0" applyFont="1" applyFill="1" applyAlignment="1">
      <alignment horizontal="center" vertical="center"/>
    </xf>
    <xf numFmtId="0" fontId="86" fillId="12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2" borderId="0" xfId="0" applyFont="1" applyFill="1"/>
    <xf numFmtId="0" fontId="91" fillId="2" borderId="0" xfId="0" applyFont="1" applyFill="1" applyAlignment="1">
      <alignment horizontal="center" vertical="center"/>
    </xf>
    <xf numFmtId="0" fontId="92" fillId="2" borderId="1" xfId="1" applyFont="1" applyFill="1" applyBorder="1" applyAlignment="1">
      <alignment horizontal="center" vertical="center"/>
    </xf>
    <xf numFmtId="0" fontId="93" fillId="2" borderId="0" xfId="1" applyFont="1" applyFill="1" applyBorder="1" applyAlignment="1">
      <alignment horizontal="center" vertical="center"/>
    </xf>
    <xf numFmtId="0" fontId="94" fillId="2" borderId="1" xfId="1" applyFont="1" applyFill="1" applyBorder="1" applyAlignment="1">
      <alignment horizontal="center" vertical="center"/>
    </xf>
    <xf numFmtId="0" fontId="29" fillId="2" borderId="0" xfId="0" applyFont="1" applyFill="1"/>
    <xf numFmtId="0" fontId="93" fillId="2" borderId="1" xfId="1" applyFont="1" applyFill="1" applyBorder="1" applyAlignment="1">
      <alignment horizontal="center" vertical="center"/>
    </xf>
    <xf numFmtId="0" fontId="45" fillId="2" borderId="0" xfId="0" applyFont="1" applyFill="1"/>
    <xf numFmtId="0" fontId="95" fillId="2" borderId="1" xfId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2" fillId="2" borderId="67" xfId="0" applyFont="1" applyFill="1" applyBorder="1"/>
    <xf numFmtId="0" fontId="87" fillId="2" borderId="70" xfId="0" applyFont="1" applyFill="1" applyBorder="1" applyAlignment="1">
      <alignment horizontal="center" vertical="center"/>
    </xf>
    <xf numFmtId="0" fontId="87" fillId="2" borderId="0" xfId="0" applyFont="1" applyFill="1"/>
    <xf numFmtId="0" fontId="0" fillId="0" borderId="3" xfId="0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" fontId="0" fillId="3" borderId="3" xfId="0" applyNumberForma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16" fontId="97" fillId="17" borderId="3" xfId="0" applyNumberFormat="1" applyFont="1" applyFill="1" applyBorder="1" applyAlignment="1">
      <alignment horizontal="center" vertical="center"/>
    </xf>
    <xf numFmtId="0" fontId="97" fillId="17" borderId="3" xfId="0" applyFont="1" applyFill="1" applyBorder="1" applyAlignment="1">
      <alignment horizontal="center" vertical="center"/>
    </xf>
    <xf numFmtId="16" fontId="26" fillId="18" borderId="3" xfId="0" applyNumberFormat="1" applyFont="1" applyFill="1" applyBorder="1" applyAlignment="1">
      <alignment horizontal="center" vertical="center"/>
    </xf>
    <xf numFmtId="0" fontId="26" fillId="18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left" wrapText="1"/>
    </xf>
    <xf numFmtId="16" fontId="0" fillId="2" borderId="0" xfId="0" applyNumberFormat="1" applyFill="1" applyAlignment="1">
      <alignment horizontal="center" vertical="center"/>
    </xf>
    <xf numFmtId="16" fontId="2" fillId="2" borderId="74" xfId="0" applyNumberFormat="1" applyFont="1" applyFill="1" applyBorder="1" applyAlignment="1">
      <alignment vertical="center"/>
    </xf>
    <xf numFmtId="16" fontId="2" fillId="2" borderId="75" xfId="0" applyNumberFormat="1" applyFont="1" applyFill="1" applyBorder="1" applyAlignment="1">
      <alignment vertical="center"/>
    </xf>
    <xf numFmtId="16" fontId="2" fillId="2" borderId="76" xfId="0" applyNumberFormat="1" applyFont="1" applyFill="1" applyBorder="1" applyAlignment="1">
      <alignment vertical="center"/>
    </xf>
    <xf numFmtId="16" fontId="2" fillId="2" borderId="77" xfId="0" applyNumberFormat="1" applyFont="1" applyFill="1" applyBorder="1" applyAlignment="1">
      <alignment vertical="center"/>
    </xf>
    <xf numFmtId="16" fontId="0" fillId="2" borderId="52" xfId="0" applyNumberFormat="1" applyFill="1" applyBorder="1" applyAlignment="1">
      <alignment horizontal="center" vertical="center"/>
    </xf>
    <xf numFmtId="0" fontId="0" fillId="2" borderId="72" xfId="0" applyFill="1" applyBorder="1" applyAlignment="1">
      <alignment horizontal="center" vertical="center"/>
    </xf>
    <xf numFmtId="16" fontId="0" fillId="2" borderId="73" xfId="0" applyNumberFormat="1" applyFill="1" applyBorder="1" applyAlignment="1">
      <alignment horizontal="center" vertical="center"/>
    </xf>
    <xf numFmtId="16" fontId="2" fillId="2" borderId="3" xfId="0" applyNumberFormat="1" applyFont="1" applyFill="1" applyBorder="1" applyAlignment="1">
      <alignment vertical="center"/>
    </xf>
    <xf numFmtId="0" fontId="98" fillId="2" borderId="0" xfId="0" applyFont="1" applyFill="1"/>
    <xf numFmtId="0" fontId="99" fillId="2" borderId="0" xfId="0" applyFont="1" applyFill="1"/>
    <xf numFmtId="0" fontId="100" fillId="2" borderId="0" xfId="0" applyFont="1" applyFill="1"/>
    <xf numFmtId="0" fontId="106" fillId="2" borderId="0" xfId="0" applyFont="1" applyFill="1"/>
    <xf numFmtId="0" fontId="0" fillId="2" borderId="0" xfId="0" applyFill="1" applyAlignment="1">
      <alignment wrapText="1"/>
    </xf>
    <xf numFmtId="16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87" fillId="2" borderId="0" xfId="0" applyFont="1" applyFill="1" applyAlignment="1">
      <alignment horizontal="center" vertical="center"/>
    </xf>
    <xf numFmtId="0" fontId="2" fillId="2" borderId="38" xfId="0" applyFont="1" applyFill="1" applyBorder="1"/>
    <xf numFmtId="0" fontId="110" fillId="2" borderId="0" xfId="0" applyFont="1" applyFill="1" applyAlignment="1">
      <alignment vertical="center"/>
    </xf>
    <xf numFmtId="0" fontId="115" fillId="2" borderId="0" xfId="0" applyFont="1" applyFill="1" applyAlignment="1">
      <alignment vertical="center"/>
    </xf>
    <xf numFmtId="0" fontId="38" fillId="2" borderId="0" xfId="0" applyFont="1" applyFill="1" applyAlignment="1">
      <alignment horizontal="center"/>
    </xf>
    <xf numFmtId="0" fontId="87" fillId="10" borderId="70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117" fillId="2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0" fontId="102" fillId="2" borderId="0" xfId="0" applyFont="1" applyFill="1"/>
    <xf numFmtId="0" fontId="2" fillId="10" borderId="67" xfId="0" applyFont="1" applyFill="1" applyBorder="1" applyAlignment="1">
      <alignment horizontal="center" vertical="center" wrapText="1"/>
    </xf>
    <xf numFmtId="0" fontId="2" fillId="10" borderId="80" xfId="0" applyFont="1" applyFill="1" applyBorder="1" applyAlignment="1">
      <alignment horizontal="center" vertical="center" wrapText="1"/>
    </xf>
    <xf numFmtId="0" fontId="25" fillId="2" borderId="84" xfId="1" applyFont="1" applyFill="1" applyBorder="1" applyAlignment="1">
      <alignment horizontal="center" vertical="center"/>
    </xf>
    <xf numFmtId="0" fontId="6" fillId="2" borderId="84" xfId="1" applyFont="1" applyFill="1" applyBorder="1" applyAlignment="1">
      <alignment horizontal="center" vertical="center"/>
    </xf>
    <xf numFmtId="0" fontId="121" fillId="2" borderId="84" xfId="1" applyFont="1" applyFill="1" applyBorder="1" applyAlignment="1">
      <alignment horizontal="center" vertical="center"/>
    </xf>
    <xf numFmtId="0" fontId="122" fillId="2" borderId="84" xfId="1" applyFont="1" applyFill="1" applyBorder="1" applyAlignment="1">
      <alignment horizontal="center" vertical="center"/>
    </xf>
    <xf numFmtId="0" fontId="100" fillId="2" borderId="67" xfId="0" applyFont="1" applyFill="1" applyBorder="1" applyAlignment="1">
      <alignment horizontal="center" vertical="center" wrapText="1"/>
    </xf>
    <xf numFmtId="0" fontId="57" fillId="21" borderId="80" xfId="0" applyFont="1" applyFill="1" applyBorder="1" applyAlignment="1">
      <alignment horizontal="center" vertical="center" wrapText="1"/>
    </xf>
    <xf numFmtId="18" fontId="4" fillId="22" borderId="67" xfId="0" applyNumberFormat="1" applyFont="1" applyFill="1" applyBorder="1" applyAlignment="1">
      <alignment vertical="center" wrapText="1"/>
    </xf>
    <xf numFmtId="0" fontId="57" fillId="21" borderId="67" xfId="0" applyFont="1" applyFill="1" applyBorder="1" applyAlignment="1">
      <alignment horizontal="center" vertical="center" wrapText="1"/>
    </xf>
    <xf numFmtId="0" fontId="4" fillId="22" borderId="67" xfId="0" applyFont="1" applyFill="1" applyBorder="1" applyAlignment="1">
      <alignment vertical="center" wrapText="1"/>
    </xf>
    <xf numFmtId="0" fontId="4" fillId="23" borderId="67" xfId="0" applyFont="1" applyFill="1" applyBorder="1" applyAlignment="1">
      <alignment vertical="center" wrapText="1"/>
    </xf>
    <xf numFmtId="0" fontId="57" fillId="10" borderId="80" xfId="0" applyFont="1" applyFill="1" applyBorder="1" applyAlignment="1">
      <alignment horizontal="center" vertical="center" wrapText="1"/>
    </xf>
    <xf numFmtId="0" fontId="4" fillId="13" borderId="67" xfId="0" applyFont="1" applyFill="1" applyBorder="1" applyAlignment="1">
      <alignment vertical="center" wrapText="1"/>
    </xf>
    <xf numFmtId="0" fontId="57" fillId="10" borderId="67" xfId="0" applyFont="1" applyFill="1" applyBorder="1" applyAlignment="1">
      <alignment horizontal="center" vertical="center" wrapText="1"/>
    </xf>
    <xf numFmtId="0" fontId="124" fillId="2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25" fillId="15" borderId="3" xfId="0" applyFont="1" applyFill="1" applyBorder="1" applyAlignment="1">
      <alignment horizontal="center" vertical="center"/>
    </xf>
    <xf numFmtId="0" fontId="125" fillId="3" borderId="76" xfId="0" applyFont="1" applyFill="1" applyBorder="1" applyAlignment="1">
      <alignment horizontal="center" vertical="center"/>
    </xf>
    <xf numFmtId="0" fontId="125" fillId="10" borderId="3" xfId="0" applyFont="1" applyFill="1" applyBorder="1" applyAlignment="1">
      <alignment horizontal="left" vertical="center" wrapText="1"/>
    </xf>
    <xf numFmtId="0" fontId="125" fillId="10" borderId="3" xfId="0" applyFont="1" applyFill="1" applyBorder="1" applyAlignment="1">
      <alignment horizontal="center" vertical="center"/>
    </xf>
    <xf numFmtId="16" fontId="125" fillId="10" borderId="3" xfId="0" applyNumberFormat="1" applyFont="1" applyFill="1" applyBorder="1" applyAlignment="1">
      <alignment horizontal="center" vertical="center" wrapText="1"/>
    </xf>
    <xf numFmtId="0" fontId="125" fillId="10" borderId="3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wrapText="1"/>
    </xf>
    <xf numFmtId="0" fontId="125" fillId="16" borderId="3" xfId="0" applyFont="1" applyFill="1" applyBorder="1" applyAlignment="1">
      <alignment horizontal="center" vertical="center" wrapText="1"/>
    </xf>
    <xf numFmtId="0" fontId="125" fillId="16" borderId="3" xfId="0" applyFont="1" applyFill="1" applyBorder="1" applyAlignment="1">
      <alignment horizontal="center" vertical="center"/>
    </xf>
    <xf numFmtId="0" fontId="127" fillId="17" borderId="3" xfId="0" applyFont="1" applyFill="1" applyBorder="1" applyAlignment="1">
      <alignment horizontal="center" vertical="center" wrapText="1"/>
    </xf>
    <xf numFmtId="0" fontId="127" fillId="17" borderId="3" xfId="0" applyFont="1" applyFill="1" applyBorder="1" applyAlignment="1">
      <alignment horizontal="center" vertical="center"/>
    </xf>
    <xf numFmtId="0" fontId="125" fillId="3" borderId="76" xfId="0" applyFont="1" applyFill="1" applyBorder="1" applyAlignment="1">
      <alignment horizontal="center" vertical="center" wrapText="1"/>
    </xf>
    <xf numFmtId="0" fontId="126" fillId="18" borderId="3" xfId="0" applyFont="1" applyFill="1" applyBorder="1" applyAlignment="1">
      <alignment horizontal="center" vertical="center" wrapText="1"/>
    </xf>
    <xf numFmtId="0" fontId="126" fillId="18" borderId="3" xfId="0" applyFont="1" applyFill="1" applyBorder="1" applyAlignment="1">
      <alignment horizontal="center" vertical="center"/>
    </xf>
    <xf numFmtId="18" fontId="125" fillId="10" borderId="3" xfId="0" applyNumberFormat="1" applyFont="1" applyFill="1" applyBorder="1" applyAlignment="1">
      <alignment horizontal="center" vertical="center" wrapText="1"/>
    </xf>
    <xf numFmtId="0" fontId="124" fillId="10" borderId="2" xfId="0" applyFont="1" applyFill="1" applyBorder="1" applyAlignment="1">
      <alignment horizontal="center" vertical="center" wrapText="1"/>
    </xf>
    <xf numFmtId="0" fontId="100" fillId="2" borderId="2" xfId="0" applyFont="1" applyFill="1" applyBorder="1" applyAlignment="1">
      <alignment horizontal="center" vertical="center" wrapText="1"/>
    </xf>
    <xf numFmtId="0" fontId="129" fillId="10" borderId="3" xfId="0" applyFont="1" applyFill="1" applyBorder="1" applyAlignment="1">
      <alignment horizontal="center" vertical="center" wrapText="1"/>
    </xf>
    <xf numFmtId="0" fontId="59" fillId="10" borderId="3" xfId="0" applyFont="1" applyFill="1" applyBorder="1" applyAlignment="1">
      <alignment horizontal="center" vertical="center" wrapText="1"/>
    </xf>
    <xf numFmtId="0" fontId="128" fillId="10" borderId="3" xfId="0" applyFont="1" applyFill="1" applyBorder="1" applyAlignment="1">
      <alignment horizontal="center" vertical="center" wrapText="1"/>
    </xf>
    <xf numFmtId="18" fontId="125" fillId="10" borderId="52" xfId="0" applyNumberFormat="1" applyFont="1" applyFill="1" applyBorder="1" applyAlignment="1">
      <alignment horizontal="center" vertical="center" wrapText="1"/>
    </xf>
    <xf numFmtId="0" fontId="125" fillId="3" borderId="75" xfId="0" applyFont="1" applyFill="1" applyBorder="1" applyAlignment="1">
      <alignment horizontal="center" vertical="center" wrapText="1"/>
    </xf>
    <xf numFmtId="0" fontId="125" fillId="21" borderId="3" xfId="0" applyFont="1" applyFill="1" applyBorder="1" applyAlignment="1">
      <alignment horizontal="center" vertical="center" wrapText="1"/>
    </xf>
    <xf numFmtId="0" fontId="129" fillId="13" borderId="3" xfId="0" applyFont="1" applyFill="1" applyBorder="1" applyAlignment="1">
      <alignment horizontal="center" vertical="center" wrapText="1"/>
    </xf>
    <xf numFmtId="18" fontId="125" fillId="13" borderId="3" xfId="0" applyNumberFormat="1" applyFont="1" applyFill="1" applyBorder="1" applyAlignment="1">
      <alignment horizontal="center" vertical="center" wrapText="1"/>
    </xf>
    <xf numFmtId="0" fontId="125" fillId="13" borderId="3" xfId="0" applyFont="1" applyFill="1" applyBorder="1" applyAlignment="1">
      <alignment horizontal="center" vertical="center" wrapText="1"/>
    </xf>
    <xf numFmtId="0" fontId="38" fillId="2" borderId="0" xfId="0" applyFont="1" applyFill="1" applyAlignment="1">
      <alignment horizontal="center"/>
    </xf>
    <xf numFmtId="0" fontId="118" fillId="2" borderId="0" xfId="0" applyFont="1" applyFill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102" fillId="2" borderId="0" xfId="0" applyFont="1" applyFill="1" applyAlignment="1">
      <alignment horizontal="center"/>
    </xf>
    <xf numFmtId="0" fontId="37" fillId="2" borderId="0" xfId="0" applyFont="1" applyFill="1" applyAlignment="1">
      <alignment horizontal="center"/>
    </xf>
    <xf numFmtId="0" fontId="13" fillId="2" borderId="18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1" fontId="13" fillId="2" borderId="18" xfId="0" applyNumberFormat="1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/>
    </xf>
    <xf numFmtId="0" fontId="2" fillId="8" borderId="12" xfId="0" applyFont="1" applyFill="1" applyBorder="1" applyAlignment="1" applyProtection="1">
      <alignment horizontal="center" vertical="center"/>
      <protection locked="0"/>
    </xf>
    <xf numFmtId="0" fontId="2" fillId="8" borderId="14" xfId="0" applyFont="1" applyFill="1" applyBorder="1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9" fillId="5" borderId="12" xfId="0" applyFont="1" applyFill="1" applyBorder="1" applyAlignment="1">
      <alignment vertical="center" wrapText="1"/>
    </xf>
    <xf numFmtId="0" fontId="9" fillId="5" borderId="14" xfId="0" applyFont="1" applyFill="1" applyBorder="1" applyAlignment="1">
      <alignment vertical="center" wrapText="1"/>
    </xf>
    <xf numFmtId="0" fontId="10" fillId="6" borderId="12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/>
    </xf>
    <xf numFmtId="0" fontId="13" fillId="2" borderId="42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41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27" fillId="2" borderId="12" xfId="0" applyFont="1" applyFill="1" applyBorder="1" applyAlignment="1">
      <alignment horizontal="center" vertical="center"/>
    </xf>
    <xf numFmtId="0" fontId="27" fillId="2" borderId="14" xfId="0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center" vertical="center"/>
    </xf>
    <xf numFmtId="0" fontId="28" fillId="2" borderId="14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13" fillId="2" borderId="0" xfId="0" applyFont="1" applyFill="1" applyAlignment="1" applyProtection="1">
      <alignment horizontal="center"/>
      <protection locked="0"/>
    </xf>
    <xf numFmtId="0" fontId="28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0" fillId="2" borderId="0" xfId="0" applyFont="1" applyFill="1" applyAlignment="1">
      <alignment horizontal="right"/>
    </xf>
    <xf numFmtId="0" fontId="18" fillId="7" borderId="28" xfId="0" applyFont="1" applyFill="1" applyBorder="1" applyAlignment="1">
      <alignment horizontal="center"/>
    </xf>
    <xf numFmtId="0" fontId="18" fillId="7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8" fillId="7" borderId="9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/>
    </xf>
    <xf numFmtId="0" fontId="0" fillId="6" borderId="13" xfId="0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/>
    </xf>
    <xf numFmtId="1" fontId="13" fillId="2" borderId="15" xfId="0" applyNumberFormat="1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left" vertical="center" wrapText="1"/>
    </xf>
    <xf numFmtId="0" fontId="9" fillId="5" borderId="14" xfId="0" applyFont="1" applyFill="1" applyBorder="1" applyAlignment="1">
      <alignment horizontal="left" vertical="center" wrapText="1"/>
    </xf>
    <xf numFmtId="0" fontId="3" fillId="2" borderId="0" xfId="0" applyFont="1" applyFill="1" applyAlignment="1" applyProtection="1">
      <alignment horizontal="center"/>
      <protection locked="0"/>
    </xf>
    <xf numFmtId="0" fontId="69" fillId="2" borderId="0" xfId="0" applyFont="1" applyFill="1" applyAlignment="1">
      <alignment horizontal="right"/>
    </xf>
    <xf numFmtId="0" fontId="24" fillId="2" borderId="0" xfId="0" applyFont="1" applyFill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16" fontId="2" fillId="12" borderId="55" xfId="0" applyNumberFormat="1" applyFont="1" applyFill="1" applyBorder="1" applyAlignment="1">
      <alignment horizontal="center" vertical="center"/>
    </xf>
    <xf numFmtId="16" fontId="2" fillId="12" borderId="58" xfId="0" applyNumberFormat="1" applyFont="1" applyFill="1" applyBorder="1" applyAlignment="1">
      <alignment horizontal="center" vertical="center"/>
    </xf>
    <xf numFmtId="0" fontId="2" fillId="12" borderId="56" xfId="0" applyFont="1" applyFill="1" applyBorder="1" applyAlignment="1">
      <alignment horizontal="center" vertical="center"/>
    </xf>
    <xf numFmtId="0" fontId="2" fillId="12" borderId="59" xfId="0" applyFont="1" applyFill="1" applyBorder="1" applyAlignment="1">
      <alignment horizontal="center" vertical="center"/>
    </xf>
    <xf numFmtId="164" fontId="2" fillId="12" borderId="57" xfId="0" applyNumberFormat="1" applyFont="1" applyFill="1" applyBorder="1" applyAlignment="1">
      <alignment horizontal="center" vertical="center"/>
    </xf>
    <xf numFmtId="164" fontId="2" fillId="12" borderId="60" xfId="0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16" fontId="2" fillId="12" borderId="61" xfId="0" applyNumberFormat="1" applyFont="1" applyFill="1" applyBorder="1" applyAlignment="1">
      <alignment horizontal="center" vertical="center"/>
    </xf>
    <xf numFmtId="16" fontId="2" fillId="12" borderId="64" xfId="0" applyNumberFormat="1" applyFont="1" applyFill="1" applyBorder="1" applyAlignment="1">
      <alignment horizontal="center" vertical="center"/>
    </xf>
    <xf numFmtId="0" fontId="2" fillId="12" borderId="62" xfId="0" applyFont="1" applyFill="1" applyBorder="1" applyAlignment="1">
      <alignment horizontal="center" vertical="center"/>
    </xf>
    <xf numFmtId="0" fontId="2" fillId="12" borderId="65" xfId="0" applyFont="1" applyFill="1" applyBorder="1" applyAlignment="1">
      <alignment horizontal="center" vertical="center"/>
    </xf>
    <xf numFmtId="164" fontId="2" fillId="12" borderId="63" xfId="0" applyNumberFormat="1" applyFont="1" applyFill="1" applyBorder="1" applyAlignment="1">
      <alignment horizontal="center" vertical="center"/>
    </xf>
    <xf numFmtId="164" fontId="2" fillId="12" borderId="66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16" fillId="6" borderId="0" xfId="0" applyFont="1" applyFill="1" applyAlignment="1" applyProtection="1">
      <alignment horizontal="center" vertical="center"/>
      <protection locked="0"/>
    </xf>
    <xf numFmtId="0" fontId="52" fillId="2" borderId="0" xfId="0" applyFont="1" applyFill="1" applyAlignment="1">
      <alignment horizontal="center"/>
    </xf>
    <xf numFmtId="0" fontId="51" fillId="2" borderId="0" xfId="0" applyFont="1" applyFill="1" applyAlignment="1">
      <alignment horizontal="center"/>
    </xf>
    <xf numFmtId="0" fontId="120" fillId="2" borderId="0" xfId="0" applyFont="1" applyFill="1" applyAlignment="1">
      <alignment horizontal="center" vertical="center"/>
    </xf>
    <xf numFmtId="0" fontId="120" fillId="2" borderId="8" xfId="0" applyFont="1" applyFill="1" applyBorder="1" applyAlignment="1">
      <alignment horizontal="center" vertical="center"/>
    </xf>
    <xf numFmtId="0" fontId="125" fillId="14" borderId="68" xfId="0" applyFont="1" applyFill="1" applyBorder="1" applyAlignment="1">
      <alignment horizontal="center" vertical="center"/>
    </xf>
    <xf numFmtId="0" fontId="125" fillId="14" borderId="69" xfId="0" applyFont="1" applyFill="1" applyBorder="1" applyAlignment="1">
      <alignment horizontal="center" vertical="center"/>
    </xf>
    <xf numFmtId="0" fontId="125" fillId="14" borderId="71" xfId="0" applyFont="1" applyFill="1" applyBorder="1" applyAlignment="1">
      <alignment horizontal="center" vertical="center"/>
    </xf>
    <xf numFmtId="0" fontId="125" fillId="3" borderId="76" xfId="0" applyFont="1" applyFill="1" applyBorder="1" applyAlignment="1">
      <alignment horizontal="center" vertical="center"/>
    </xf>
    <xf numFmtId="0" fontId="125" fillId="13" borderId="68" xfId="0" applyFont="1" applyFill="1" applyBorder="1" applyAlignment="1">
      <alignment horizontal="center" vertical="center" wrapText="1"/>
    </xf>
    <xf numFmtId="0" fontId="125" fillId="13" borderId="69" xfId="0" applyFont="1" applyFill="1" applyBorder="1" applyAlignment="1">
      <alignment horizontal="center" vertical="center" wrapText="1"/>
    </xf>
    <xf numFmtId="0" fontId="125" fillId="13" borderId="71" xfId="0" applyFont="1" applyFill="1" applyBorder="1" applyAlignment="1">
      <alignment horizontal="center" vertical="center" wrapText="1"/>
    </xf>
    <xf numFmtId="0" fontId="100" fillId="2" borderId="0" xfId="0" applyFont="1" applyFill="1" applyAlignment="1">
      <alignment horizontal="center"/>
    </xf>
    <xf numFmtId="0" fontId="41" fillId="2" borderId="0" xfId="0" applyFont="1" applyFill="1" applyAlignment="1">
      <alignment horizontal="center"/>
    </xf>
    <xf numFmtId="0" fontId="113" fillId="2" borderId="0" xfId="0" applyFont="1" applyFill="1" applyAlignment="1">
      <alignment horizontal="center"/>
    </xf>
    <xf numFmtId="0" fontId="130" fillId="19" borderId="0" xfId="0" applyFont="1" applyFill="1" applyAlignment="1">
      <alignment horizontal="center"/>
    </xf>
    <xf numFmtId="0" fontId="61" fillId="2" borderId="0" xfId="0" applyFont="1" applyFill="1" applyAlignment="1">
      <alignment horizontal="center"/>
    </xf>
    <xf numFmtId="0" fontId="119" fillId="2" borderId="0" xfId="0" applyFont="1" applyFill="1" applyAlignment="1">
      <alignment horizontal="center"/>
    </xf>
    <xf numFmtId="0" fontId="2" fillId="10" borderId="68" xfId="0" applyFont="1" applyFill="1" applyBorder="1" applyAlignment="1">
      <alignment horizontal="center" vertical="center" wrapText="1"/>
    </xf>
    <xf numFmtId="0" fontId="2" fillId="10" borderId="69" xfId="0" applyFont="1" applyFill="1" applyBorder="1" applyAlignment="1">
      <alignment horizontal="center" vertical="center" wrapText="1"/>
    </xf>
    <xf numFmtId="0" fontId="2" fillId="10" borderId="71" xfId="0" applyFont="1" applyFill="1" applyBorder="1" applyAlignment="1">
      <alignment horizontal="center" vertical="center" wrapText="1"/>
    </xf>
    <xf numFmtId="0" fontId="2" fillId="10" borderId="68" xfId="0" applyFont="1" applyFill="1" applyBorder="1" applyAlignment="1">
      <alignment horizontal="center" vertical="center"/>
    </xf>
    <xf numFmtId="0" fontId="2" fillId="10" borderId="71" xfId="0" applyFont="1" applyFill="1" applyBorder="1" applyAlignment="1">
      <alignment horizontal="center" vertical="center"/>
    </xf>
    <xf numFmtId="0" fontId="57" fillId="10" borderId="68" xfId="0" applyFont="1" applyFill="1" applyBorder="1" applyAlignment="1">
      <alignment horizontal="center" vertical="center" wrapText="1"/>
    </xf>
    <xf numFmtId="0" fontId="57" fillId="10" borderId="69" xfId="0" applyFont="1" applyFill="1" applyBorder="1" applyAlignment="1">
      <alignment horizontal="center" vertical="center" wrapText="1"/>
    </xf>
    <xf numFmtId="0" fontId="125" fillId="15" borderId="68" xfId="0" applyFont="1" applyFill="1" applyBorder="1" applyAlignment="1">
      <alignment horizontal="center" vertical="center" wrapText="1"/>
    </xf>
    <xf numFmtId="0" fontId="125" fillId="15" borderId="69" xfId="0" applyFont="1" applyFill="1" applyBorder="1" applyAlignment="1">
      <alignment horizontal="center" vertical="center" wrapText="1"/>
    </xf>
    <xf numFmtId="0" fontId="125" fillId="15" borderId="71" xfId="0" applyFont="1" applyFill="1" applyBorder="1" applyAlignment="1">
      <alignment horizontal="center" vertical="center" wrapText="1"/>
    </xf>
    <xf numFmtId="0" fontId="2" fillId="10" borderId="79" xfId="0" applyFont="1" applyFill="1" applyBorder="1" applyAlignment="1">
      <alignment horizontal="center" vertical="center"/>
    </xf>
    <xf numFmtId="0" fontId="2" fillId="10" borderId="37" xfId="0" applyFont="1" applyFill="1" applyBorder="1" applyAlignment="1">
      <alignment horizontal="center" vertical="center"/>
    </xf>
    <xf numFmtId="0" fontId="57" fillId="21" borderId="68" xfId="0" applyFont="1" applyFill="1" applyBorder="1" applyAlignment="1">
      <alignment horizontal="center" vertical="center" wrapText="1"/>
    </xf>
    <xf numFmtId="0" fontId="57" fillId="21" borderId="69" xfId="0" applyFont="1" applyFill="1" applyBorder="1" applyAlignment="1">
      <alignment horizontal="center" vertical="center" wrapText="1"/>
    </xf>
    <xf numFmtId="0" fontId="57" fillId="21" borderId="71" xfId="0" applyFont="1" applyFill="1" applyBorder="1" applyAlignment="1">
      <alignment horizontal="center" vertical="center" wrapText="1"/>
    </xf>
    <xf numFmtId="0" fontId="57" fillId="22" borderId="68" xfId="0" applyFont="1" applyFill="1" applyBorder="1" applyAlignment="1">
      <alignment horizontal="center" vertical="center"/>
    </xf>
    <xf numFmtId="0" fontId="57" fillId="22" borderId="71" xfId="0" applyFont="1" applyFill="1" applyBorder="1" applyAlignment="1">
      <alignment horizontal="center" vertical="center"/>
    </xf>
    <xf numFmtId="0" fontId="57" fillId="23" borderId="79" xfId="0" applyFont="1" applyFill="1" applyBorder="1" applyAlignment="1">
      <alignment horizontal="center" vertical="center"/>
    </xf>
    <xf numFmtId="0" fontId="57" fillId="23" borderId="37" xfId="0" applyFont="1" applyFill="1" applyBorder="1" applyAlignment="1">
      <alignment horizontal="center" vertical="center"/>
    </xf>
    <xf numFmtId="0" fontId="123" fillId="2" borderId="81" xfId="0" applyFont="1" applyFill="1" applyBorder="1" applyAlignment="1">
      <alignment horizontal="center" vertical="center" wrapText="1"/>
    </xf>
    <xf numFmtId="0" fontId="123" fillId="2" borderId="82" xfId="0" applyFont="1" applyFill="1" applyBorder="1" applyAlignment="1">
      <alignment horizontal="center" vertical="center" wrapText="1"/>
    </xf>
    <xf numFmtId="0" fontId="123" fillId="2" borderId="83" xfId="0" applyFont="1" applyFill="1" applyBorder="1" applyAlignment="1">
      <alignment horizontal="center" vertical="center" wrapText="1"/>
    </xf>
    <xf numFmtId="0" fontId="123" fillId="2" borderId="79" xfId="0" applyFont="1" applyFill="1" applyBorder="1" applyAlignment="1">
      <alignment horizontal="center" vertical="center" wrapText="1"/>
    </xf>
    <xf numFmtId="0" fontId="123" fillId="2" borderId="39" xfId="0" applyFont="1" applyFill="1" applyBorder="1" applyAlignment="1">
      <alignment horizontal="center" vertical="center" wrapText="1"/>
    </xf>
    <xf numFmtId="0" fontId="123" fillId="2" borderId="37" xfId="0" applyFont="1" applyFill="1" applyBorder="1" applyAlignment="1">
      <alignment horizontal="center" vertical="center" wrapText="1"/>
    </xf>
    <xf numFmtId="0" fontId="57" fillId="10" borderId="71" xfId="0" applyFont="1" applyFill="1" applyBorder="1" applyAlignment="1">
      <alignment horizontal="center" vertical="center" wrapText="1"/>
    </xf>
    <xf numFmtId="0" fontId="57" fillId="22" borderId="79" xfId="0" applyFont="1" applyFill="1" applyBorder="1" applyAlignment="1">
      <alignment horizontal="center" vertical="center"/>
    </xf>
    <xf numFmtId="0" fontId="57" fillId="22" borderId="37" xfId="0" applyFont="1" applyFill="1" applyBorder="1" applyAlignment="1">
      <alignment horizontal="center" vertical="center"/>
    </xf>
    <xf numFmtId="0" fontId="57" fillId="13" borderId="68" xfId="0" applyFont="1" applyFill="1" applyBorder="1" applyAlignment="1">
      <alignment horizontal="center" vertical="center"/>
    </xf>
    <xf numFmtId="0" fontId="57" fillId="13" borderId="71" xfId="0" applyFont="1" applyFill="1" applyBorder="1" applyAlignment="1">
      <alignment horizontal="center" vertical="center"/>
    </xf>
    <xf numFmtId="0" fontId="125" fillId="3" borderId="75" xfId="0" applyFont="1" applyFill="1" applyBorder="1" applyAlignment="1">
      <alignment horizontal="center" vertical="center"/>
    </xf>
    <xf numFmtId="0" fontId="57" fillId="23" borderId="68" xfId="0" applyFont="1" applyFill="1" applyBorder="1" applyAlignment="1">
      <alignment horizontal="center" vertical="center"/>
    </xf>
    <xf numFmtId="0" fontId="57" fillId="23" borderId="71" xfId="0" applyFont="1" applyFill="1" applyBorder="1" applyAlignment="1">
      <alignment horizontal="center" vertical="center"/>
    </xf>
    <xf numFmtId="0" fontId="128" fillId="2" borderId="81" xfId="0" applyFont="1" applyFill="1" applyBorder="1" applyAlignment="1">
      <alignment horizontal="center" vertical="center" wrapText="1"/>
    </xf>
    <xf numFmtId="0" fontId="128" fillId="2" borderId="82" xfId="0" applyFont="1" applyFill="1" applyBorder="1" applyAlignment="1">
      <alignment horizontal="center" vertical="center" wrapText="1"/>
    </xf>
    <xf numFmtId="0" fontId="128" fillId="2" borderId="83" xfId="0" applyFont="1" applyFill="1" applyBorder="1" applyAlignment="1">
      <alignment horizontal="center" vertical="center" wrapText="1"/>
    </xf>
    <xf numFmtId="0" fontId="128" fillId="2" borderId="79" xfId="0" applyFont="1" applyFill="1" applyBorder="1" applyAlignment="1">
      <alignment horizontal="center" vertical="center" wrapText="1"/>
    </xf>
    <xf numFmtId="0" fontId="128" fillId="2" borderId="39" xfId="0" applyFont="1" applyFill="1" applyBorder="1" applyAlignment="1">
      <alignment horizontal="center" vertical="center" wrapText="1"/>
    </xf>
    <xf numFmtId="0" fontId="128" fillId="2" borderId="37" xfId="0" applyFont="1" applyFill="1" applyBorder="1" applyAlignment="1">
      <alignment horizontal="center" vertical="center" wrapText="1"/>
    </xf>
    <xf numFmtId="16" fontId="26" fillId="11" borderId="13" xfId="0" applyNumberFormat="1" applyFont="1" applyFill="1" applyBorder="1" applyAlignment="1" applyProtection="1">
      <alignment horizontal="center" vertical="center"/>
      <protection locked="0"/>
    </xf>
    <xf numFmtId="164" fontId="26" fillId="11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16" fillId="6" borderId="13" xfId="0" applyFont="1" applyFill="1" applyBorder="1" applyAlignment="1" applyProtection="1">
      <alignment horizontal="center" vertical="center"/>
      <protection locked="0"/>
    </xf>
    <xf numFmtId="0" fontId="2" fillId="6" borderId="0" xfId="0" applyFont="1" applyFill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8" fillId="7" borderId="4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8" fillId="7" borderId="11" xfId="0" applyFont="1" applyFill="1" applyBorder="1" applyAlignment="1">
      <alignment horizontal="center" vertical="center"/>
    </xf>
    <xf numFmtId="0" fontId="111" fillId="2" borderId="0" xfId="0" applyFont="1" applyFill="1" applyAlignment="1">
      <alignment horizontal="center"/>
    </xf>
    <xf numFmtId="0" fontId="116" fillId="2" borderId="0" xfId="0" applyFont="1" applyFill="1" applyAlignment="1">
      <alignment horizontal="center"/>
    </xf>
    <xf numFmtId="164" fontId="2" fillId="12" borderId="0" xfId="0" applyNumberFormat="1" applyFont="1" applyFill="1" applyAlignment="1">
      <alignment horizontal="center" vertical="center"/>
    </xf>
    <xf numFmtId="0" fontId="43" fillId="8" borderId="22" xfId="0" applyFont="1" applyFill="1" applyBorder="1" applyAlignment="1">
      <alignment horizontal="center" vertical="center" wrapText="1"/>
    </xf>
    <xf numFmtId="0" fontId="43" fillId="8" borderId="23" xfId="0" applyFont="1" applyFill="1" applyBorder="1" applyAlignment="1">
      <alignment horizontal="center" vertical="center" wrapText="1"/>
    </xf>
    <xf numFmtId="0" fontId="43" fillId="8" borderId="24" xfId="0" applyFont="1" applyFill="1" applyBorder="1" applyAlignment="1">
      <alignment horizontal="center" vertical="center" wrapText="1"/>
    </xf>
    <xf numFmtId="0" fontId="43" fillId="8" borderId="25" xfId="0" applyFont="1" applyFill="1" applyBorder="1" applyAlignment="1">
      <alignment horizontal="center" vertical="center" wrapText="1"/>
    </xf>
    <xf numFmtId="0" fontId="43" fillId="8" borderId="26" xfId="0" applyFont="1" applyFill="1" applyBorder="1" applyAlignment="1">
      <alignment horizontal="center" vertical="center" wrapText="1"/>
    </xf>
    <xf numFmtId="0" fontId="43" fillId="8" borderId="27" xfId="0" applyFont="1" applyFill="1" applyBorder="1" applyAlignment="1">
      <alignment horizontal="center" vertical="center" wrapText="1"/>
    </xf>
    <xf numFmtId="0" fontId="32" fillId="9" borderId="9" xfId="0" applyFont="1" applyFill="1" applyBorder="1" applyAlignment="1">
      <alignment horizontal="center" vertical="center"/>
    </xf>
    <xf numFmtId="0" fontId="32" fillId="9" borderId="10" xfId="0" applyFont="1" applyFill="1" applyBorder="1" applyAlignment="1">
      <alignment horizontal="center" vertical="center"/>
    </xf>
    <xf numFmtId="0" fontId="32" fillId="9" borderId="11" xfId="0" applyFont="1" applyFill="1" applyBorder="1" applyAlignment="1">
      <alignment horizontal="center" vertical="center"/>
    </xf>
    <xf numFmtId="16" fontId="26" fillId="6" borderId="28" xfId="0" applyNumberFormat="1" applyFont="1" applyFill="1" applyBorder="1" applyAlignment="1" applyProtection="1">
      <alignment horizontal="center" vertical="center"/>
      <protection locked="0"/>
    </xf>
    <xf numFmtId="0" fontId="2" fillId="6" borderId="0" xfId="0" applyFont="1" applyFill="1" applyAlignment="1">
      <alignment horizontal="left"/>
    </xf>
    <xf numFmtId="0" fontId="32" fillId="9" borderId="0" xfId="0" applyFont="1" applyFill="1" applyAlignment="1">
      <alignment horizontal="center" vertical="center"/>
    </xf>
    <xf numFmtId="0" fontId="112" fillId="2" borderId="0" xfId="0" applyFont="1" applyFill="1" applyAlignment="1">
      <alignment horizontal="center" vertical="center"/>
    </xf>
    <xf numFmtId="0" fontId="114" fillId="2" borderId="0" xfId="0" applyFont="1" applyFill="1" applyAlignment="1">
      <alignment horizontal="center" vertical="center"/>
    </xf>
    <xf numFmtId="0" fontId="4" fillId="8" borderId="19" xfId="0" applyFont="1" applyFill="1" applyBorder="1" applyAlignment="1">
      <alignment horizontal="center" vertical="center" wrapText="1"/>
    </xf>
    <xf numFmtId="0" fontId="4" fillId="8" borderId="21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0" fontId="17" fillId="2" borderId="0" xfId="1" applyFill="1" applyAlignment="1">
      <alignment horizontal="center" vertical="center"/>
    </xf>
    <xf numFmtId="0" fontId="72" fillId="2" borderId="0" xfId="0" applyFont="1" applyFill="1" applyAlignment="1">
      <alignment horizontal="center" vertical="center" wrapText="1"/>
    </xf>
    <xf numFmtId="16" fontId="79" fillId="2" borderId="0" xfId="0" applyNumberFormat="1" applyFont="1" applyFill="1" applyAlignment="1">
      <alignment horizontal="center" vertical="center"/>
    </xf>
    <xf numFmtId="0" fontId="79" fillId="2" borderId="0" xfId="0" applyFont="1" applyFill="1" applyAlignment="1">
      <alignment horizontal="center" vertical="center"/>
    </xf>
    <xf numFmtId="0" fontId="79" fillId="2" borderId="8" xfId="0" applyFont="1" applyFill="1" applyBorder="1" applyAlignment="1">
      <alignment horizontal="center" vertical="center"/>
    </xf>
    <xf numFmtId="0" fontId="57" fillId="3" borderId="0" xfId="0" applyFont="1" applyFill="1" applyAlignment="1">
      <alignment horizontal="center" vertical="center" wrapText="1"/>
    </xf>
    <xf numFmtId="0" fontId="57" fillId="4" borderId="0" xfId="0" applyFont="1" applyFill="1" applyAlignment="1">
      <alignment horizontal="center" vertical="center" wrapText="1"/>
    </xf>
    <xf numFmtId="0" fontId="40" fillId="2" borderId="0" xfId="0" applyFont="1" applyFill="1" applyAlignment="1">
      <alignment horizontal="center"/>
    </xf>
    <xf numFmtId="0" fontId="80" fillId="2" borderId="0" xfId="0" applyFont="1" applyFill="1" applyAlignment="1">
      <alignment horizontal="center" vertical="center"/>
    </xf>
    <xf numFmtId="0" fontId="80" fillId="2" borderId="8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 wrapText="1"/>
    </xf>
    <xf numFmtId="0" fontId="74" fillId="2" borderId="3" xfId="0" applyFont="1" applyFill="1" applyBorder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78" fillId="2" borderId="8" xfId="0" applyFont="1" applyFill="1" applyBorder="1" applyAlignment="1">
      <alignment horizontal="center" vertical="center"/>
    </xf>
    <xf numFmtId="0" fontId="62" fillId="2" borderId="0" xfId="0" applyFont="1" applyFill="1" applyAlignment="1">
      <alignment horizontal="right" vertical="center"/>
    </xf>
    <xf numFmtId="0" fontId="77" fillId="2" borderId="0" xfId="0" applyFont="1" applyFill="1" applyAlignment="1">
      <alignment horizontal="center" vertical="center"/>
    </xf>
    <xf numFmtId="0" fontId="49" fillId="2" borderId="3" xfId="0" applyFont="1" applyFill="1" applyBorder="1" applyAlignment="1">
      <alignment horizontal="center" vertical="center"/>
    </xf>
    <xf numFmtId="0" fontId="49" fillId="2" borderId="32" xfId="0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57" fillId="3" borderId="28" xfId="0" applyFont="1" applyFill="1" applyBorder="1" applyAlignment="1">
      <alignment horizontal="center" vertical="center" wrapText="1"/>
    </xf>
    <xf numFmtId="0" fontId="57" fillId="4" borderId="28" xfId="0" applyFont="1" applyFill="1" applyBorder="1" applyAlignment="1">
      <alignment horizontal="center" vertical="center" wrapText="1"/>
    </xf>
    <xf numFmtId="0" fontId="18" fillId="7" borderId="28" xfId="0" applyFont="1" applyFill="1" applyBorder="1" applyAlignment="1">
      <alignment horizontal="center" vertical="center"/>
    </xf>
    <xf numFmtId="0" fontId="49" fillId="2" borderId="33" xfId="0" applyFont="1" applyFill="1" applyBorder="1" applyAlignment="1">
      <alignment horizontal="center" vertical="center"/>
    </xf>
    <xf numFmtId="0" fontId="50" fillId="2" borderId="40" xfId="0" applyFont="1" applyFill="1" applyBorder="1" applyAlignment="1">
      <alignment horizontal="left" vertical="center" wrapText="1"/>
    </xf>
    <xf numFmtId="0" fontId="50" fillId="2" borderId="51" xfId="0" applyFont="1" applyFill="1" applyBorder="1" applyAlignment="1">
      <alignment horizontal="left" vertical="center" wrapText="1"/>
    </xf>
    <xf numFmtId="0" fontId="50" fillId="2" borderId="32" xfId="0" applyFont="1" applyFill="1" applyBorder="1" applyAlignment="1">
      <alignment horizontal="left" vertical="center" wrapText="1"/>
    </xf>
    <xf numFmtId="0" fontId="50" fillId="2" borderId="52" xfId="0" applyFont="1" applyFill="1" applyBorder="1" applyAlignment="1">
      <alignment horizontal="left" vertical="center" wrapText="1"/>
    </xf>
    <xf numFmtId="0" fontId="84" fillId="2" borderId="0" xfId="0" applyFont="1" applyFill="1" applyAlignment="1">
      <alignment horizontal="center"/>
    </xf>
    <xf numFmtId="0" fontId="84" fillId="2" borderId="38" xfId="0" applyFont="1" applyFill="1" applyBorder="1" applyAlignment="1">
      <alignment horizontal="center"/>
    </xf>
    <xf numFmtId="0" fontId="84" fillId="2" borderId="39" xfId="0" applyFont="1" applyFill="1" applyBorder="1" applyAlignment="1">
      <alignment horizontal="center"/>
    </xf>
    <xf numFmtId="0" fontId="84" fillId="2" borderId="37" xfId="0" applyFont="1" applyFill="1" applyBorder="1" applyAlignment="1">
      <alignment horizontal="center"/>
    </xf>
    <xf numFmtId="0" fontId="49" fillId="2" borderId="35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left" vertical="center" wrapText="1"/>
    </xf>
    <xf numFmtId="0" fontId="50" fillId="2" borderId="53" xfId="0" applyFont="1" applyFill="1" applyBorder="1" applyAlignment="1">
      <alignment horizontal="left" vertical="center" wrapText="1"/>
    </xf>
    <xf numFmtId="0" fontId="50" fillId="2" borderId="34" xfId="0" applyFont="1" applyFill="1" applyBorder="1" applyAlignment="1">
      <alignment horizontal="left" vertical="center" wrapText="1"/>
    </xf>
    <xf numFmtId="0" fontId="50" fillId="2" borderId="54" xfId="0" applyFont="1" applyFill="1" applyBorder="1" applyAlignment="1">
      <alignment horizontal="left" vertical="center" wrapText="1"/>
    </xf>
    <xf numFmtId="0" fontId="49" fillId="2" borderId="34" xfId="0" applyFont="1" applyFill="1" applyBorder="1" applyAlignment="1">
      <alignment horizontal="center" vertical="center"/>
    </xf>
    <xf numFmtId="0" fontId="49" fillId="2" borderId="30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0" fontId="82" fillId="2" borderId="0" xfId="0" applyFont="1" applyFill="1" applyAlignment="1">
      <alignment horizontal="center"/>
    </xf>
    <xf numFmtId="0" fontId="82" fillId="2" borderId="38" xfId="0" applyFont="1" applyFill="1" applyBorder="1" applyAlignment="1">
      <alignment horizontal="center"/>
    </xf>
    <xf numFmtId="0" fontId="82" fillId="2" borderId="39" xfId="0" applyFont="1" applyFill="1" applyBorder="1" applyAlignment="1">
      <alignment horizontal="center"/>
    </xf>
    <xf numFmtId="0" fontId="82" fillId="2" borderId="37" xfId="0" applyFont="1" applyFill="1" applyBorder="1" applyAlignment="1">
      <alignment horizontal="center"/>
    </xf>
    <xf numFmtId="0" fontId="50" fillId="2" borderId="3" xfId="0" applyFont="1" applyFill="1" applyBorder="1" applyAlignment="1">
      <alignment horizontal="left" vertical="center" wrapText="1"/>
    </xf>
    <xf numFmtId="0" fontId="49" fillId="2" borderId="31" xfId="0" applyFont="1" applyFill="1" applyBorder="1" applyAlignment="1">
      <alignment horizontal="center" vertical="center"/>
    </xf>
    <xf numFmtId="0" fontId="49" fillId="2" borderId="36" xfId="0" applyFont="1" applyFill="1" applyBorder="1" applyAlignment="1">
      <alignment horizontal="center" vertical="center"/>
    </xf>
    <xf numFmtId="0" fontId="49" fillId="2" borderId="43" xfId="0" applyFont="1" applyFill="1" applyBorder="1" applyAlignment="1">
      <alignment horizontal="center" vertical="center"/>
    </xf>
    <xf numFmtId="0" fontId="49" fillId="2" borderId="44" xfId="0" applyFont="1" applyFill="1" applyBorder="1" applyAlignment="1">
      <alignment horizontal="center" vertical="center"/>
    </xf>
    <xf numFmtId="0" fontId="49" fillId="2" borderId="45" xfId="0" applyFont="1" applyFill="1" applyBorder="1" applyAlignment="1">
      <alignment horizontal="center" vertical="center"/>
    </xf>
    <xf numFmtId="0" fontId="50" fillId="2" borderId="30" xfId="0" applyFont="1" applyFill="1" applyBorder="1" applyAlignment="1">
      <alignment horizontal="left" vertical="center" wrapText="1"/>
    </xf>
    <xf numFmtId="0" fontId="83" fillId="2" borderId="0" xfId="0" applyFont="1" applyFill="1" applyAlignment="1">
      <alignment horizontal="center"/>
    </xf>
    <xf numFmtId="0" fontId="83" fillId="2" borderId="38" xfId="0" applyFont="1" applyFill="1" applyBorder="1" applyAlignment="1">
      <alignment horizontal="center"/>
    </xf>
    <xf numFmtId="0" fontId="83" fillId="2" borderId="39" xfId="0" applyFont="1" applyFill="1" applyBorder="1" applyAlignment="1">
      <alignment horizontal="center"/>
    </xf>
    <xf numFmtId="0" fontId="83" fillId="2" borderId="37" xfId="0" applyFont="1" applyFill="1" applyBorder="1" applyAlignment="1">
      <alignment horizontal="center"/>
    </xf>
    <xf numFmtId="0" fontId="49" fillId="2" borderId="49" xfId="0" applyFont="1" applyFill="1" applyBorder="1" applyAlignment="1">
      <alignment horizontal="center" vertical="center"/>
    </xf>
    <xf numFmtId="0" fontId="49" fillId="2" borderId="50" xfId="0" applyFont="1" applyFill="1" applyBorder="1" applyAlignment="1">
      <alignment horizontal="center" vertical="center"/>
    </xf>
    <xf numFmtId="0" fontId="49" fillId="2" borderId="47" xfId="0" applyFont="1" applyFill="1" applyBorder="1" applyAlignment="1">
      <alignment horizontal="center" vertical="center"/>
    </xf>
    <xf numFmtId="0" fontId="49" fillId="2" borderId="48" xfId="0" applyFont="1" applyFill="1" applyBorder="1" applyAlignment="1">
      <alignment horizontal="center" vertical="center"/>
    </xf>
    <xf numFmtId="0" fontId="81" fillId="2" borderId="0" xfId="0" applyFont="1" applyFill="1" applyAlignment="1">
      <alignment horizontal="center"/>
    </xf>
    <xf numFmtId="0" fontId="81" fillId="2" borderId="39" xfId="0" applyFont="1" applyFill="1" applyBorder="1" applyAlignment="1">
      <alignment horizontal="center"/>
    </xf>
    <xf numFmtId="0" fontId="50" fillId="2" borderId="35" xfId="0" applyFont="1" applyFill="1" applyBorder="1" applyAlignment="1">
      <alignment horizontal="left" vertical="center" wrapText="1"/>
    </xf>
    <xf numFmtId="0" fontId="57" fillId="8" borderId="12" xfId="0" applyFont="1" applyFill="1" applyBorder="1" applyAlignment="1" applyProtection="1">
      <alignment horizontal="center" vertical="center"/>
      <protection locked="0"/>
    </xf>
    <xf numFmtId="0" fontId="57" fillId="8" borderId="14" xfId="0" applyFont="1" applyFill="1" applyBorder="1" applyAlignment="1" applyProtection="1">
      <alignment horizontal="center" vertical="center"/>
      <protection locked="0"/>
    </xf>
    <xf numFmtId="0" fontId="49" fillId="6" borderId="0" xfId="0" applyFont="1" applyFill="1" applyAlignment="1">
      <alignment horizontal="center"/>
    </xf>
    <xf numFmtId="0" fontId="57" fillId="10" borderId="0" xfId="0" applyFont="1" applyFill="1" applyAlignment="1">
      <alignment horizontal="center" vertical="center" wrapText="1"/>
    </xf>
    <xf numFmtId="0" fontId="58" fillId="6" borderId="13" xfId="0" applyFont="1" applyFill="1" applyBorder="1" applyAlignment="1" applyProtection="1">
      <alignment horizontal="center" vertical="center"/>
      <protection locked="0"/>
    </xf>
    <xf numFmtId="0" fontId="57" fillId="5" borderId="0" xfId="0" applyFont="1" applyFill="1" applyAlignment="1">
      <alignment horizontal="center" vertical="center" wrapText="1"/>
    </xf>
    <xf numFmtId="16" fontId="56" fillId="6" borderId="13" xfId="0" applyNumberFormat="1" applyFont="1" applyFill="1" applyBorder="1" applyAlignment="1" applyProtection="1">
      <alignment horizontal="center" vertical="center"/>
      <protection locked="0"/>
    </xf>
    <xf numFmtId="16" fontId="56" fillId="6" borderId="0" xfId="0" applyNumberFormat="1" applyFont="1" applyFill="1" applyAlignment="1" applyProtection="1">
      <alignment horizontal="center" vertical="center"/>
      <protection locked="0"/>
    </xf>
    <xf numFmtId="0" fontId="49" fillId="10" borderId="0" xfId="0" applyFont="1" applyFill="1" applyAlignment="1">
      <alignment horizontal="center"/>
    </xf>
    <xf numFmtId="0" fontId="49" fillId="6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/>
    </xf>
    <xf numFmtId="16" fontId="56" fillId="6" borderId="28" xfId="0" applyNumberFormat="1" applyFont="1" applyFill="1" applyBorder="1" applyAlignment="1" applyProtection="1">
      <alignment horizontal="center" vertical="center"/>
      <protection locked="0"/>
    </xf>
    <xf numFmtId="164" fontId="56" fillId="6" borderId="0" xfId="0" applyNumberFormat="1" applyFont="1" applyFill="1" applyAlignment="1" applyProtection="1">
      <alignment horizontal="center" vertical="center"/>
      <protection locked="0"/>
    </xf>
    <xf numFmtId="0" fontId="57" fillId="6" borderId="0" xfId="0" applyFont="1" applyFill="1" applyAlignment="1">
      <alignment horizontal="center" vertical="center" wrapText="1"/>
    </xf>
    <xf numFmtId="0" fontId="49" fillId="6" borderId="13" xfId="0" applyFont="1" applyFill="1" applyBorder="1" applyAlignment="1">
      <alignment horizontal="center" vertical="center"/>
    </xf>
    <xf numFmtId="0" fontId="43" fillId="8" borderId="0" xfId="0" applyFont="1" applyFill="1" applyAlignment="1">
      <alignment horizontal="center" vertical="center"/>
    </xf>
    <xf numFmtId="0" fontId="57" fillId="6" borderId="0" xfId="0" applyFont="1" applyFill="1" applyAlignment="1">
      <alignment horizontal="left"/>
    </xf>
    <xf numFmtId="0" fontId="2" fillId="2" borderId="68" xfId="0" applyFont="1" applyFill="1" applyBorder="1" applyAlignment="1">
      <alignment horizontal="center"/>
    </xf>
    <xf numFmtId="0" fontId="2" fillId="2" borderId="69" xfId="0" applyFont="1" applyFill="1" applyBorder="1" applyAlignment="1">
      <alignment horizontal="center"/>
    </xf>
    <xf numFmtId="0" fontId="2" fillId="2" borderId="71" xfId="0" applyFont="1" applyFill="1" applyBorder="1" applyAlignment="1">
      <alignment horizontal="center"/>
    </xf>
    <xf numFmtId="0" fontId="88" fillId="2" borderId="0" xfId="0" applyFont="1" applyFill="1" applyAlignment="1">
      <alignment horizontal="center" vertical="center"/>
    </xf>
    <xf numFmtId="0" fontId="89" fillId="2" borderId="0" xfId="0" applyFont="1" applyFill="1" applyAlignment="1">
      <alignment horizontal="center" vertical="center"/>
    </xf>
    <xf numFmtId="0" fontId="90" fillId="2" borderId="0" xfId="0" applyFont="1" applyFill="1" applyAlignment="1">
      <alignment horizontal="center" vertical="center"/>
    </xf>
    <xf numFmtId="0" fontId="96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7" fillId="14" borderId="52" xfId="0" applyFont="1" applyFill="1" applyBorder="1" applyAlignment="1">
      <alignment horizontal="center" vertical="center"/>
    </xf>
    <xf numFmtId="0" fontId="57" fillId="14" borderId="72" xfId="0" applyFont="1" applyFill="1" applyBorder="1" applyAlignment="1">
      <alignment horizontal="center" vertical="center"/>
    </xf>
    <xf numFmtId="0" fontId="57" fillId="14" borderId="73" xfId="0" applyFont="1" applyFill="1" applyBorder="1" applyAlignment="1">
      <alignment horizontal="center" vertical="center"/>
    </xf>
    <xf numFmtId="0" fontId="98" fillId="2" borderId="0" xfId="0" applyFont="1" applyFill="1" applyAlignment="1">
      <alignment horizontal="center"/>
    </xf>
    <xf numFmtId="0" fontId="99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6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7" fillId="13" borderId="52" xfId="0" applyFont="1" applyFill="1" applyBorder="1" applyAlignment="1">
      <alignment horizontal="center" vertical="center"/>
    </xf>
    <xf numFmtId="0" fontId="57" fillId="13" borderId="72" xfId="0" applyFont="1" applyFill="1" applyBorder="1" applyAlignment="1">
      <alignment horizontal="center" vertical="center"/>
    </xf>
    <xf numFmtId="0" fontId="57" fillId="13" borderId="73" xfId="0" applyFont="1" applyFill="1" applyBorder="1" applyAlignment="1">
      <alignment horizontal="center" vertical="center"/>
    </xf>
    <xf numFmtId="0" fontId="55" fillId="16" borderId="52" xfId="0" applyFont="1" applyFill="1" applyBorder="1" applyAlignment="1">
      <alignment horizontal="center" vertical="center"/>
    </xf>
    <xf numFmtId="0" fontId="55" fillId="16" borderId="72" xfId="0" applyFont="1" applyFill="1" applyBorder="1" applyAlignment="1">
      <alignment horizontal="center" vertical="center"/>
    </xf>
    <xf numFmtId="0" fontId="55" fillId="16" borderId="73" xfId="0" applyFont="1" applyFill="1" applyBorder="1" applyAlignment="1">
      <alignment horizontal="center" vertical="center"/>
    </xf>
    <xf numFmtId="0" fontId="55" fillId="3" borderId="52" xfId="0" applyFont="1" applyFill="1" applyBorder="1" applyAlignment="1">
      <alignment horizontal="center" vertical="center"/>
    </xf>
    <xf numFmtId="0" fontId="55" fillId="3" borderId="72" xfId="0" applyFont="1" applyFill="1" applyBorder="1" applyAlignment="1">
      <alignment horizontal="center" vertical="center"/>
    </xf>
    <xf numFmtId="0" fontId="55" fillId="3" borderId="73" xfId="0" applyFont="1" applyFill="1" applyBorder="1" applyAlignment="1">
      <alignment horizontal="center" vertical="center"/>
    </xf>
    <xf numFmtId="0" fontId="105" fillId="17" borderId="52" xfId="0" applyFont="1" applyFill="1" applyBorder="1" applyAlignment="1">
      <alignment horizontal="center" vertical="center"/>
    </xf>
    <xf numFmtId="0" fontId="105" fillId="17" borderId="72" xfId="0" applyFont="1" applyFill="1" applyBorder="1" applyAlignment="1">
      <alignment horizontal="center" vertical="center"/>
    </xf>
    <xf numFmtId="0" fontId="105" fillId="17" borderId="73" xfId="0" applyFont="1" applyFill="1" applyBorder="1" applyAlignment="1">
      <alignment horizontal="center" vertical="center"/>
    </xf>
    <xf numFmtId="0" fontId="55" fillId="13" borderId="52" xfId="0" applyFont="1" applyFill="1" applyBorder="1" applyAlignment="1">
      <alignment horizontal="center" vertical="center"/>
    </xf>
    <xf numFmtId="0" fontId="55" fillId="13" borderId="72" xfId="0" applyFont="1" applyFill="1" applyBorder="1" applyAlignment="1">
      <alignment horizontal="center" vertical="center"/>
    </xf>
    <xf numFmtId="0" fontId="55" fillId="13" borderId="73" xfId="0" applyFont="1" applyFill="1" applyBorder="1" applyAlignment="1">
      <alignment horizontal="center" vertical="center"/>
    </xf>
    <xf numFmtId="0" fontId="101" fillId="2" borderId="78" xfId="0" applyFont="1" applyFill="1" applyBorder="1" applyAlignment="1">
      <alignment horizontal="center" vertical="center"/>
    </xf>
    <xf numFmtId="0" fontId="101" fillId="2" borderId="0" xfId="0" applyFont="1" applyFill="1" applyAlignment="1">
      <alignment horizontal="center" vertical="center"/>
    </xf>
    <xf numFmtId="0" fontId="103" fillId="20" borderId="52" xfId="0" applyFont="1" applyFill="1" applyBorder="1" applyAlignment="1">
      <alignment horizontal="center" vertical="center"/>
    </xf>
    <xf numFmtId="0" fontId="103" fillId="20" borderId="72" xfId="0" applyFont="1" applyFill="1" applyBorder="1" applyAlignment="1">
      <alignment horizontal="center" vertical="center"/>
    </xf>
    <xf numFmtId="0" fontId="103" fillId="20" borderId="73" xfId="0" applyFont="1" applyFill="1" applyBorder="1" applyAlignment="1">
      <alignment horizontal="center" vertical="center"/>
    </xf>
    <xf numFmtId="0" fontId="104" fillId="19" borderId="52" xfId="0" applyFont="1" applyFill="1" applyBorder="1" applyAlignment="1">
      <alignment horizontal="center" vertical="center"/>
    </xf>
    <xf numFmtId="0" fontId="104" fillId="19" borderId="72" xfId="0" applyFont="1" applyFill="1" applyBorder="1" applyAlignment="1">
      <alignment horizontal="center" vertical="center"/>
    </xf>
    <xf numFmtId="0" fontId="104" fillId="19" borderId="73" xfId="0" applyFont="1" applyFill="1" applyBorder="1" applyAlignment="1">
      <alignment horizontal="center" vertical="center"/>
    </xf>
    <xf numFmtId="0" fontId="102" fillId="18" borderId="52" xfId="0" applyFont="1" applyFill="1" applyBorder="1" applyAlignment="1">
      <alignment horizontal="center" vertical="center"/>
    </xf>
    <xf numFmtId="0" fontId="102" fillId="18" borderId="72" xfId="0" applyFont="1" applyFill="1" applyBorder="1" applyAlignment="1">
      <alignment horizontal="center" vertical="center"/>
    </xf>
    <xf numFmtId="0" fontId="102" fillId="18" borderId="73" xfId="0" applyFont="1" applyFill="1" applyBorder="1" applyAlignment="1">
      <alignment horizontal="center" vertical="center"/>
    </xf>
    <xf numFmtId="0" fontId="108" fillId="2" borderId="0" xfId="0" applyFont="1" applyFill="1" applyAlignment="1">
      <alignment horizontal="center" vertical="center"/>
    </xf>
    <xf numFmtId="0" fontId="109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107" fillId="2" borderId="0" xfId="0" applyFont="1" applyFill="1" applyAlignment="1">
      <alignment horizontal="center" vertical="center"/>
    </xf>
    <xf numFmtId="0" fontId="128" fillId="22" borderId="3" xfId="0" applyFont="1" applyFill="1" applyBorder="1" applyAlignment="1">
      <alignment horizontal="center" vertical="center" wrapText="1"/>
    </xf>
    <xf numFmtId="18" fontId="125" fillId="22" borderId="52" xfId="0" applyNumberFormat="1" applyFont="1" applyFill="1" applyBorder="1" applyAlignment="1">
      <alignment horizontal="center" vertical="center" wrapText="1"/>
    </xf>
    <xf numFmtId="0" fontId="125" fillId="22" borderId="3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462"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</dxfs>
  <tableStyles count="0" defaultTableStyle="TableStyleMedium2" defaultPivotStyle="PivotStyleLight16"/>
  <colors>
    <mruColors>
      <color rgb="FF006600"/>
      <color rgb="FF0000FF"/>
      <color rgb="FF003300"/>
      <color rgb="FFF3F3F3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png"/><Relationship Id="rId1" Type="http://schemas.openxmlformats.org/officeDocument/2006/relationships/image" Target="../media/image5.jp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png"/><Relationship Id="rId1" Type="http://schemas.openxmlformats.org/officeDocument/2006/relationships/image" Target="../media/image5.jp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5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333921</xdr:colOff>
      <xdr:row>0</xdr:row>
      <xdr:rowOff>455086</xdr:rowOff>
    </xdr:from>
    <xdr:to>
      <xdr:col>1</xdr:col>
      <xdr:colOff>1297297</xdr:colOff>
      <xdr:row>4</xdr:row>
      <xdr:rowOff>97371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01877" y="455086"/>
          <a:ext cx="963376" cy="1074175"/>
        </a:xfrm>
        <a:prstGeom prst="rect">
          <a:avLst/>
        </a:prstGeom>
      </xdr:spPr>
    </xdr:pic>
    <xdr:clientData/>
  </xdr:twoCellAnchor>
  <xdr:twoCellAnchor editAs="oneCell">
    <xdr:from>
      <xdr:col>7</xdr:col>
      <xdr:colOff>1650530</xdr:colOff>
      <xdr:row>0</xdr:row>
      <xdr:rowOff>114071</xdr:rowOff>
    </xdr:from>
    <xdr:to>
      <xdr:col>9</xdr:col>
      <xdr:colOff>420016</xdr:colOff>
      <xdr:row>2</xdr:row>
      <xdr:rowOff>384378</xdr:rowOff>
    </xdr:to>
    <xdr:pic>
      <xdr:nvPicPr>
        <xdr:cNvPr id="4" name="4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8366178" y="114071"/>
          <a:ext cx="963376" cy="1074175"/>
        </a:xfrm>
        <a:prstGeom prst="rect">
          <a:avLst/>
        </a:prstGeom>
      </xdr:spPr>
    </xdr:pic>
    <xdr:clientData/>
  </xdr:twoCellAnchor>
  <xdr:twoCellAnchor editAs="oneCell">
    <xdr:from>
      <xdr:col>8</xdr:col>
      <xdr:colOff>33492</xdr:colOff>
      <xdr:row>6</xdr:row>
      <xdr:rowOff>368440</xdr:rowOff>
    </xdr:from>
    <xdr:to>
      <xdr:col>10</xdr:col>
      <xdr:colOff>594526</xdr:colOff>
      <xdr:row>9</xdr:row>
      <xdr:rowOff>52441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04" r="17613"/>
        <a:stretch/>
      </xdr:blipFill>
      <xdr:spPr>
        <a:xfrm>
          <a:off x="8901162" y="2277627"/>
          <a:ext cx="1649605" cy="1970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232850</xdr:colOff>
      <xdr:row>25</xdr:row>
      <xdr:rowOff>56</xdr:rowOff>
    </xdr:from>
    <xdr:to>
      <xdr:col>23</xdr:col>
      <xdr:colOff>232847</xdr:colOff>
      <xdr:row>29</xdr:row>
      <xdr:rowOff>84723</xdr:rowOff>
    </xdr:to>
    <xdr:pic>
      <xdr:nvPicPr>
        <xdr:cNvPr id="14" name="13 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67" y="6180723"/>
          <a:ext cx="4571997" cy="93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1710267</xdr:colOff>
      <xdr:row>0</xdr:row>
      <xdr:rowOff>194733</xdr:rowOff>
    </xdr:from>
    <xdr:to>
      <xdr:col>13</xdr:col>
      <xdr:colOff>32210</xdr:colOff>
      <xdr:row>4</xdr:row>
      <xdr:rowOff>40011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67" y="194733"/>
          <a:ext cx="1386876" cy="1428545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283635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3376" cy="10710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74066</xdr:colOff>
      <xdr:row>24</xdr:row>
      <xdr:rowOff>211687</xdr:rowOff>
    </xdr:from>
    <xdr:to>
      <xdr:col>23</xdr:col>
      <xdr:colOff>74088</xdr:colOff>
      <xdr:row>29</xdr:row>
      <xdr:rowOff>20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483" y="6096020"/>
          <a:ext cx="4572022" cy="93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1710263</xdr:colOff>
      <xdr:row>0</xdr:row>
      <xdr:rowOff>194734</xdr:rowOff>
    </xdr:from>
    <xdr:to>
      <xdr:col>13</xdr:col>
      <xdr:colOff>32206</xdr:colOff>
      <xdr:row>4</xdr:row>
      <xdr:rowOff>48479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63" y="194734"/>
          <a:ext cx="1386876" cy="1428545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292102</xdr:rowOff>
    </xdr:to>
    <xdr:pic>
      <xdr:nvPicPr>
        <xdr:cNvPr id="6" name="4 Image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3376" cy="10710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154843</xdr:colOff>
      <xdr:row>16</xdr:row>
      <xdr:rowOff>28655</xdr:rowOff>
    </xdr:from>
    <xdr:to>
      <xdr:col>14</xdr:col>
      <xdr:colOff>182</xdr:colOff>
      <xdr:row>20</xdr:row>
      <xdr:rowOff>77763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8243" y="3476705"/>
          <a:ext cx="3531514" cy="715858"/>
        </a:xfrm>
        <a:prstGeom prst="rect">
          <a:avLst/>
        </a:prstGeom>
      </xdr:spPr>
    </xdr:pic>
    <xdr:clientData/>
  </xdr:twoCellAnchor>
  <xdr:twoCellAnchor editAs="oneCell">
    <xdr:from>
      <xdr:col>6</xdr:col>
      <xdr:colOff>1114425</xdr:colOff>
      <xdr:row>0</xdr:row>
      <xdr:rowOff>19050</xdr:rowOff>
    </xdr:from>
    <xdr:to>
      <xdr:col>7</xdr:col>
      <xdr:colOff>219076</xdr:colOff>
      <xdr:row>1</xdr:row>
      <xdr:rowOff>470575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771900" y="19050"/>
          <a:ext cx="790576" cy="889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1680650</xdr:colOff>
      <xdr:row>16</xdr:row>
      <xdr:rowOff>55</xdr:rowOff>
    </xdr:from>
    <xdr:to>
      <xdr:col>26</xdr:col>
      <xdr:colOff>114314</xdr:colOff>
      <xdr:row>20</xdr:row>
      <xdr:rowOff>160923</xdr:rowOff>
    </xdr:to>
    <xdr:pic>
      <xdr:nvPicPr>
        <xdr:cNvPr id="2" name="13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2183" y="4241855"/>
          <a:ext cx="4682064" cy="939801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1710267</xdr:colOff>
      <xdr:row>0</xdr:row>
      <xdr:rowOff>194733</xdr:rowOff>
    </xdr:from>
    <xdr:to>
      <xdr:col>13</xdr:col>
      <xdr:colOff>32210</xdr:colOff>
      <xdr:row>4</xdr:row>
      <xdr:rowOff>40011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2347" y="194733"/>
          <a:ext cx="1385183" cy="1430238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283635</xdr:rowOff>
    </xdr:to>
    <xdr:pic>
      <xdr:nvPicPr>
        <xdr:cNvPr id="4" name="4 Imagen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6763" cy="10735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232850</xdr:colOff>
      <xdr:row>25</xdr:row>
      <xdr:rowOff>56</xdr:rowOff>
    </xdr:from>
    <xdr:to>
      <xdr:col>23</xdr:col>
      <xdr:colOff>232847</xdr:colOff>
      <xdr:row>29</xdr:row>
      <xdr:rowOff>84723</xdr:rowOff>
    </xdr:to>
    <xdr:pic>
      <xdr:nvPicPr>
        <xdr:cNvPr id="2" name="13 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7770" y="6149396"/>
          <a:ext cx="4678677" cy="930487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1710267</xdr:colOff>
      <xdr:row>0</xdr:row>
      <xdr:rowOff>194733</xdr:rowOff>
    </xdr:from>
    <xdr:to>
      <xdr:col>13</xdr:col>
      <xdr:colOff>32210</xdr:colOff>
      <xdr:row>4</xdr:row>
      <xdr:rowOff>40011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2347" y="194733"/>
          <a:ext cx="1385183" cy="1430238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283635</xdr:rowOff>
    </xdr:to>
    <xdr:pic>
      <xdr:nvPicPr>
        <xdr:cNvPr id="4" name="4 Imagen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6763" cy="10735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631031</xdr:colOff>
      <xdr:row>1</xdr:row>
      <xdr:rowOff>142875</xdr:rowOff>
    </xdr:from>
    <xdr:to>
      <xdr:col>1</xdr:col>
      <xdr:colOff>914401</xdr:colOff>
      <xdr:row>5</xdr:row>
      <xdr:rowOff>11710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31031" y="523875"/>
          <a:ext cx="1216820" cy="1364260"/>
        </a:xfrm>
        <a:prstGeom prst="rect">
          <a:avLst/>
        </a:prstGeom>
      </xdr:spPr>
    </xdr:pic>
    <xdr:clientData/>
  </xdr:twoCellAnchor>
  <xdr:twoCellAnchor editAs="oneCell">
    <xdr:from>
      <xdr:col>7</xdr:col>
      <xdr:colOff>333375</xdr:colOff>
      <xdr:row>0</xdr:row>
      <xdr:rowOff>257175</xdr:rowOff>
    </xdr:from>
    <xdr:to>
      <xdr:col>7</xdr:col>
      <xdr:colOff>1866899</xdr:colOff>
      <xdr:row>5</xdr:row>
      <xdr:rowOff>171450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25" r="17706" b="5632"/>
        <a:stretch/>
      </xdr:blipFill>
      <xdr:spPr>
        <a:xfrm>
          <a:off x="7696200" y="257175"/>
          <a:ext cx="1533524" cy="179330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0</xdr:row>
      <xdr:rowOff>0</xdr:rowOff>
    </xdr:from>
    <xdr:to>
      <xdr:col>20</xdr:col>
      <xdr:colOff>19050</xdr:colOff>
      <xdr:row>6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535E87-8D8C-424E-89AB-A6FF5250E6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27" b="66533"/>
        <a:stretch/>
      </xdr:blipFill>
      <xdr:spPr>
        <a:xfrm>
          <a:off x="14392275" y="0"/>
          <a:ext cx="7010400" cy="21621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631031</xdr:colOff>
      <xdr:row>1</xdr:row>
      <xdr:rowOff>142875</xdr:rowOff>
    </xdr:from>
    <xdr:to>
      <xdr:col>1</xdr:col>
      <xdr:colOff>914401</xdr:colOff>
      <xdr:row>5</xdr:row>
      <xdr:rowOff>11710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B689F368-12E6-443D-A393-CD6CC1684A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31031" y="523875"/>
          <a:ext cx="1213010" cy="1362355"/>
        </a:xfrm>
        <a:prstGeom prst="rect">
          <a:avLst/>
        </a:prstGeom>
      </xdr:spPr>
    </xdr:pic>
    <xdr:clientData/>
  </xdr:twoCellAnchor>
  <xdr:twoCellAnchor editAs="oneCell">
    <xdr:from>
      <xdr:col>7</xdr:col>
      <xdr:colOff>333375</xdr:colOff>
      <xdr:row>0</xdr:row>
      <xdr:rowOff>257175</xdr:rowOff>
    </xdr:from>
    <xdr:to>
      <xdr:col>7</xdr:col>
      <xdr:colOff>1866899</xdr:colOff>
      <xdr:row>5</xdr:row>
      <xdr:rowOff>171450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4A4710-A705-47D8-9BB1-5AC1CDFF51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25" r="17706" b="5632"/>
        <a:stretch/>
      </xdr:blipFill>
      <xdr:spPr>
        <a:xfrm>
          <a:off x="11085195" y="257175"/>
          <a:ext cx="1533524" cy="178879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0</xdr:row>
      <xdr:rowOff>0</xdr:rowOff>
    </xdr:from>
    <xdr:to>
      <xdr:col>20</xdr:col>
      <xdr:colOff>19050</xdr:colOff>
      <xdr:row>6</xdr:row>
      <xdr:rowOff>9524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D54A6A8-A716-4EE6-954E-EEE8C62055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27" b="66533"/>
        <a:stretch/>
      </xdr:blipFill>
      <xdr:spPr>
        <a:xfrm>
          <a:off x="14394180" y="0"/>
          <a:ext cx="7006590" cy="215836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50</xdr:row>
      <xdr:rowOff>133350</xdr:rowOff>
    </xdr:from>
    <xdr:to>
      <xdr:col>14</xdr:col>
      <xdr:colOff>660304</xdr:colOff>
      <xdr:row>57</xdr:row>
      <xdr:rowOff>171450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9867900"/>
          <a:ext cx="6756304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315712</xdr:colOff>
      <xdr:row>0</xdr:row>
      <xdr:rowOff>228599</xdr:rowOff>
    </xdr:from>
    <xdr:to>
      <xdr:col>3</xdr:col>
      <xdr:colOff>354399</xdr:colOff>
      <xdr:row>3</xdr:row>
      <xdr:rowOff>342719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66232" y="228599"/>
          <a:ext cx="1311227" cy="144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350520</xdr:colOff>
      <xdr:row>0</xdr:row>
      <xdr:rowOff>106679</xdr:rowOff>
    </xdr:from>
    <xdr:to>
      <xdr:col>18</xdr:col>
      <xdr:colOff>1456915</xdr:colOff>
      <xdr:row>5</xdr:row>
      <xdr:rowOff>18779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1980" y="106679"/>
          <a:ext cx="2096995" cy="2160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346711</xdr:colOff>
      <xdr:row>0</xdr:row>
      <xdr:rowOff>60960</xdr:rowOff>
    </xdr:from>
    <xdr:to>
      <xdr:col>3</xdr:col>
      <xdr:colOff>243752</xdr:colOff>
      <xdr:row>4</xdr:row>
      <xdr:rowOff>53160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97231" y="60960"/>
          <a:ext cx="1367701" cy="144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746760</xdr:colOff>
      <xdr:row>0</xdr:row>
      <xdr:rowOff>91440</xdr:rowOff>
    </xdr:from>
    <xdr:to>
      <xdr:col>16</xdr:col>
      <xdr:colOff>1686026</xdr:colOff>
      <xdr:row>5</xdr:row>
      <xdr:rowOff>151200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1980" y="91440"/>
          <a:ext cx="1922246" cy="1980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666750</xdr:colOff>
      <xdr:row>8</xdr:row>
      <xdr:rowOff>28575</xdr:rowOff>
    </xdr:from>
    <xdr:to>
      <xdr:col>13</xdr:col>
      <xdr:colOff>1022289</xdr:colOff>
      <xdr:row>11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3571875"/>
          <a:ext cx="3574989" cy="676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0</xdr:row>
      <xdr:rowOff>152400</xdr:rowOff>
    </xdr:from>
    <xdr:to>
      <xdr:col>14</xdr:col>
      <xdr:colOff>835200</xdr:colOff>
      <xdr:row>2</xdr:row>
      <xdr:rowOff>62775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353300" y="152400"/>
          <a:ext cx="654225" cy="720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666750</xdr:colOff>
      <xdr:row>8</xdr:row>
      <xdr:rowOff>28575</xdr:rowOff>
    </xdr:from>
    <xdr:to>
      <xdr:col>13</xdr:col>
      <xdr:colOff>1022289</xdr:colOff>
      <xdr:row>11</xdr:row>
      <xdr:rowOff>38100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3571875"/>
          <a:ext cx="3574989" cy="676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0</xdr:row>
      <xdr:rowOff>152400</xdr:rowOff>
    </xdr:from>
    <xdr:to>
      <xdr:col>14</xdr:col>
      <xdr:colOff>835200</xdr:colOff>
      <xdr:row>2</xdr:row>
      <xdr:rowOff>62775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353300" y="152400"/>
          <a:ext cx="654225" cy="720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2</xdr:row>
      <xdr:rowOff>266700</xdr:rowOff>
    </xdr:from>
    <xdr:to>
      <xdr:col>4</xdr:col>
      <xdr:colOff>419100</xdr:colOff>
      <xdr:row>4</xdr:row>
      <xdr:rowOff>115350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028700"/>
          <a:ext cx="3657600" cy="7440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2</xdr:row>
      <xdr:rowOff>171450</xdr:rowOff>
    </xdr:from>
    <xdr:to>
      <xdr:col>4</xdr:col>
      <xdr:colOff>419100</xdr:colOff>
      <xdr:row>38</xdr:row>
      <xdr:rowOff>20100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333500"/>
          <a:ext cx="3657600" cy="744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154843</xdr:colOff>
      <xdr:row>16</xdr:row>
      <xdr:rowOff>28655</xdr:rowOff>
    </xdr:from>
    <xdr:to>
      <xdr:col>14</xdr:col>
      <xdr:colOff>182</xdr:colOff>
      <xdr:row>20</xdr:row>
      <xdr:rowOff>77763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3213" y="3474220"/>
          <a:ext cx="3539382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1114425</xdr:colOff>
      <xdr:row>0</xdr:row>
      <xdr:rowOff>19050</xdr:rowOff>
    </xdr:from>
    <xdr:to>
      <xdr:col>7</xdr:col>
      <xdr:colOff>219076</xdr:colOff>
      <xdr:row>1</xdr:row>
      <xdr:rowOff>470575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771900" y="19050"/>
          <a:ext cx="790576" cy="8896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48</xdr:row>
      <xdr:rowOff>133350</xdr:rowOff>
    </xdr:from>
    <xdr:to>
      <xdr:col>12</xdr:col>
      <xdr:colOff>1469929</xdr:colOff>
      <xdr:row>55</xdr:row>
      <xdr:rowOff>171450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9877425"/>
          <a:ext cx="6756304" cy="1371600"/>
        </a:xfrm>
        <a:prstGeom prst="rect">
          <a:avLst/>
        </a:prstGeom>
      </xdr:spPr>
    </xdr:pic>
    <xdr:clientData/>
  </xdr:twoCellAnchor>
  <xdr:twoCellAnchor editAs="oneCell">
    <xdr:from>
      <xdr:col>14</xdr:col>
      <xdr:colOff>356137</xdr:colOff>
      <xdr:row>0</xdr:row>
      <xdr:rowOff>47625</xdr:rowOff>
    </xdr:from>
    <xdr:to>
      <xdr:col>16</xdr:col>
      <xdr:colOff>485775</xdr:colOff>
      <xdr:row>3</xdr:row>
      <xdr:rowOff>86137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118887" y="47625"/>
          <a:ext cx="1272638" cy="1400587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14</xdr:row>
      <xdr:rowOff>85726</xdr:rowOff>
    </xdr:from>
    <xdr:to>
      <xdr:col>14</xdr:col>
      <xdr:colOff>209550</xdr:colOff>
      <xdr:row>20</xdr:row>
      <xdr:rowOff>79680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3895726"/>
          <a:ext cx="6010275" cy="113695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1270000</xdr:colOff>
      <xdr:row>0</xdr:row>
      <xdr:rowOff>22226</xdr:rowOff>
    </xdr:from>
    <xdr:to>
      <xdr:col>16</xdr:col>
      <xdr:colOff>2470719</xdr:colOff>
      <xdr:row>2</xdr:row>
      <xdr:rowOff>460376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8413750" y="22226"/>
          <a:ext cx="1200719" cy="1327150"/>
        </a:xfrm>
        <a:prstGeom prst="rect">
          <a:avLst/>
        </a:prstGeom>
      </xdr:spPr>
    </xdr:pic>
    <xdr:clientData/>
  </xdr:twoCellAnchor>
  <xdr:twoCellAnchor editAs="oneCell">
    <xdr:from>
      <xdr:col>2</xdr:col>
      <xdr:colOff>628650</xdr:colOff>
      <xdr:row>23</xdr:row>
      <xdr:rowOff>28575</xdr:rowOff>
    </xdr:from>
    <xdr:to>
      <xdr:col>16</xdr:col>
      <xdr:colOff>114918</xdr:colOff>
      <xdr:row>30</xdr:row>
      <xdr:rowOff>9525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5610225"/>
          <a:ext cx="6948576" cy="13144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1716881</xdr:colOff>
      <xdr:row>0</xdr:row>
      <xdr:rowOff>83347</xdr:rowOff>
    </xdr:from>
    <xdr:to>
      <xdr:col>13</xdr:col>
      <xdr:colOff>12852</xdr:colOff>
      <xdr:row>4</xdr:row>
      <xdr:rowOff>201753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9527381" y="83347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392906</xdr:colOff>
      <xdr:row>0</xdr:row>
      <xdr:rowOff>47625</xdr:rowOff>
    </xdr:from>
    <xdr:to>
      <xdr:col>3</xdr:col>
      <xdr:colOff>867721</xdr:colOff>
      <xdr:row>4</xdr:row>
      <xdr:rowOff>166031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12156" y="47625"/>
          <a:ext cx="1284440" cy="14400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380998</xdr:colOff>
      <xdr:row>0</xdr:row>
      <xdr:rowOff>130967</xdr:rowOff>
    </xdr:from>
    <xdr:to>
      <xdr:col>2</xdr:col>
      <xdr:colOff>46188</xdr:colOff>
      <xdr:row>4</xdr:row>
      <xdr:rowOff>249373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80998" y="130967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1343020</xdr:colOff>
      <xdr:row>0</xdr:row>
      <xdr:rowOff>104774</xdr:rowOff>
    </xdr:from>
    <xdr:to>
      <xdr:col>7</xdr:col>
      <xdr:colOff>722460</xdr:colOff>
      <xdr:row>4</xdr:row>
      <xdr:rowOff>223180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438895" y="104774"/>
          <a:ext cx="1284440" cy="14400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133348</xdr:rowOff>
    </xdr:from>
    <xdr:to>
      <xdr:col>2</xdr:col>
      <xdr:colOff>46190</xdr:colOff>
      <xdr:row>4</xdr:row>
      <xdr:rowOff>251754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81000" y="133348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1343022</xdr:colOff>
      <xdr:row>0</xdr:row>
      <xdr:rowOff>107155</xdr:rowOff>
    </xdr:from>
    <xdr:to>
      <xdr:col>7</xdr:col>
      <xdr:colOff>722462</xdr:colOff>
      <xdr:row>4</xdr:row>
      <xdr:rowOff>225561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438897" y="107155"/>
          <a:ext cx="1284440" cy="14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soccermelgar@outlook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soccermelgar@outlook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soccermelgar@outlook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soccermelgar@outlook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  <pageSetUpPr fitToPage="1"/>
  </sheetPr>
  <dimension ref="B1:M14"/>
  <sheetViews>
    <sheetView zoomScale="91" zoomScaleNormal="91" workbookViewId="0">
      <selection activeCell="B10" sqref="B10"/>
    </sheetView>
  </sheetViews>
  <sheetFormatPr baseColWidth="10" defaultColWidth="11.44140625" defaultRowHeight="14.4" x14ac:dyDescent="0.3"/>
  <cols>
    <col min="1" max="1" width="1.109375" style="3" customWidth="1"/>
    <col min="2" max="2" width="29.5546875" style="3" customWidth="1"/>
    <col min="3" max="3" width="3.33203125" style="3" customWidth="1"/>
    <col min="4" max="4" width="29.5546875" style="3" customWidth="1"/>
    <col min="5" max="5" width="2.88671875" style="3" customWidth="1"/>
    <col min="6" max="6" width="28.5546875" style="3" customWidth="1"/>
    <col min="7" max="7" width="2.88671875" style="3" customWidth="1"/>
    <col min="8" max="8" width="28.5546875" style="3" customWidth="1"/>
    <col min="9" max="9" width="3.44140625" style="3" customWidth="1"/>
    <col min="10" max="10" width="12.44140625" style="3" bestFit="1" customWidth="1"/>
    <col min="11" max="11" width="9" style="3" customWidth="1"/>
    <col min="12" max="12" width="7.109375" style="3" customWidth="1"/>
    <col min="13" max="13" width="3.33203125" style="3" bestFit="1" customWidth="1"/>
    <col min="14" max="14" width="7.109375" style="3" customWidth="1"/>
    <col min="15" max="15" width="15.6640625" style="3" customWidth="1"/>
    <col min="16" max="16" width="13.6640625" style="3" customWidth="1"/>
    <col min="17" max="17" width="7.88671875" style="3" customWidth="1"/>
    <col min="18" max="18" width="8.6640625" style="3" customWidth="1"/>
    <col min="19" max="20" width="12.88671875" style="3" customWidth="1"/>
    <col min="21" max="21" width="17.88671875" style="3" bestFit="1" customWidth="1"/>
    <col min="22" max="22" width="3.33203125" style="3" bestFit="1" customWidth="1"/>
    <col min="23" max="23" width="17.88671875" style="3" customWidth="1"/>
    <col min="24" max="16384" width="11.44140625" style="3"/>
  </cols>
  <sheetData>
    <row r="1" spans="2:13" ht="37.200000000000003" customHeight="1" x14ac:dyDescent="0.3">
      <c r="B1" s="261" t="s">
        <v>178</v>
      </c>
      <c r="C1" s="261"/>
      <c r="D1" s="261"/>
      <c r="E1" s="261"/>
      <c r="F1" s="261"/>
      <c r="G1" s="261"/>
      <c r="H1" s="261"/>
      <c r="I1" s="213"/>
      <c r="J1" s="72"/>
      <c r="K1" s="72"/>
    </row>
    <row r="2" spans="2:13" ht="26.4" customHeight="1" x14ac:dyDescent="0.3">
      <c r="B2" s="261" t="s">
        <v>159</v>
      </c>
      <c r="C2" s="261"/>
      <c r="D2" s="261"/>
      <c r="E2" s="261"/>
      <c r="F2" s="261"/>
      <c r="G2" s="261"/>
      <c r="H2" s="261"/>
      <c r="I2" s="214"/>
      <c r="J2" s="72"/>
      <c r="K2" s="72"/>
    </row>
    <row r="3" spans="2:13" ht="30" customHeight="1" x14ac:dyDescent="0.7">
      <c r="B3" s="262" t="s">
        <v>184</v>
      </c>
      <c r="C3" s="262"/>
      <c r="D3" s="262"/>
      <c r="E3" s="262"/>
      <c r="F3" s="262"/>
      <c r="G3" s="262"/>
      <c r="H3" s="262"/>
      <c r="I3" s="215"/>
      <c r="J3" s="72"/>
      <c r="K3" s="72"/>
    </row>
    <row r="4" spans="2:13" ht="19.2" customHeight="1" x14ac:dyDescent="0.4">
      <c r="B4" s="263" t="s">
        <v>179</v>
      </c>
      <c r="C4" s="263"/>
      <c r="D4" s="263"/>
      <c r="E4" s="263"/>
      <c r="F4" s="263"/>
      <c r="G4" s="263"/>
      <c r="H4" s="263"/>
      <c r="I4" s="71"/>
      <c r="J4" s="72"/>
      <c r="K4" s="72"/>
    </row>
    <row r="5" spans="2:13" ht="12.75" customHeight="1" thickBot="1" x14ac:dyDescent="0.4">
      <c r="B5" s="2"/>
      <c r="C5" s="2"/>
      <c r="D5" s="2"/>
      <c r="E5" s="2"/>
      <c r="F5" s="2"/>
      <c r="G5" s="2"/>
      <c r="H5" s="2"/>
      <c r="I5" s="2"/>
      <c r="J5" s="2"/>
    </row>
    <row r="6" spans="2:13" ht="25.2" x14ac:dyDescent="0.45">
      <c r="B6" s="218" t="s">
        <v>0</v>
      </c>
      <c r="D6" s="219" t="s">
        <v>1</v>
      </c>
      <c r="E6" s="4"/>
      <c r="F6" s="220" t="s">
        <v>39</v>
      </c>
      <c r="H6" s="221" t="s">
        <v>40</v>
      </c>
    </row>
    <row r="7" spans="2:13" ht="60" customHeight="1" x14ac:dyDescent="0.4">
      <c r="B7" s="231" t="s">
        <v>168</v>
      </c>
      <c r="C7" s="196"/>
      <c r="D7" s="248" t="s">
        <v>160</v>
      </c>
      <c r="E7" s="195"/>
      <c r="F7" s="248" t="s">
        <v>163</v>
      </c>
      <c r="H7" s="231" t="s">
        <v>166</v>
      </c>
    </row>
    <row r="8" spans="2:13" ht="60" customHeight="1" x14ac:dyDescent="0.4">
      <c r="B8" s="249" t="s">
        <v>174</v>
      </c>
      <c r="C8" s="196"/>
      <c r="D8" s="248" t="s">
        <v>161</v>
      </c>
      <c r="E8" s="195"/>
      <c r="F8" s="248" t="s">
        <v>164</v>
      </c>
      <c r="H8" s="231" t="s">
        <v>167</v>
      </c>
      <c r="J8" s="35"/>
    </row>
    <row r="9" spans="2:13" ht="60" customHeight="1" thickBot="1" x14ac:dyDescent="0.45">
      <c r="B9" s="231" t="s">
        <v>172</v>
      </c>
      <c r="C9" s="196"/>
      <c r="D9" s="248" t="s">
        <v>162</v>
      </c>
      <c r="E9" s="195"/>
      <c r="F9" s="248" t="s">
        <v>165</v>
      </c>
      <c r="H9" s="231" t="s">
        <v>173</v>
      </c>
      <c r="J9" s="35"/>
    </row>
    <row r="10" spans="2:13" ht="60" customHeight="1" thickBot="1" x14ac:dyDescent="1.1000000000000001">
      <c r="B10" s="231" t="s">
        <v>175</v>
      </c>
      <c r="C10" s="196"/>
      <c r="E10" s="195"/>
      <c r="H10" s="222" t="s">
        <v>169</v>
      </c>
      <c r="J10" s="259">
        <v>2023</v>
      </c>
      <c r="K10" s="259"/>
      <c r="L10" s="210"/>
    </row>
    <row r="11" spans="2:13" ht="9.75" customHeight="1" x14ac:dyDescent="0.35">
      <c r="B11" s="2"/>
      <c r="C11" s="1"/>
      <c r="D11" s="1"/>
      <c r="F11" s="1"/>
      <c r="G11" s="2"/>
      <c r="H11" s="2"/>
      <c r="I11" s="2"/>
      <c r="J11" s="2"/>
      <c r="K11" s="1"/>
      <c r="L11" s="1"/>
    </row>
    <row r="12" spans="2:13" ht="47.25" customHeight="1" x14ac:dyDescent="0.35">
      <c r="C12" s="1"/>
      <c r="D12" s="260"/>
      <c r="E12" s="260"/>
      <c r="F12" s="260"/>
      <c r="G12" s="260"/>
      <c r="H12" s="260"/>
      <c r="I12" s="2"/>
      <c r="J12" s="2"/>
      <c r="K12" s="1"/>
      <c r="L12" s="1"/>
    </row>
    <row r="13" spans="2:13" ht="33.75" customHeight="1" x14ac:dyDescent="0.85">
      <c r="C13" s="49"/>
      <c r="J13" s="2"/>
    </row>
    <row r="14" spans="2:13" x14ac:dyDescent="0.3">
      <c r="K14" s="1"/>
      <c r="L14" s="1"/>
      <c r="M14" s="1"/>
    </row>
  </sheetData>
  <mergeCells count="6">
    <mergeCell ref="J10:K10"/>
    <mergeCell ref="D12:H12"/>
    <mergeCell ref="B1:H1"/>
    <mergeCell ref="B2:H2"/>
    <mergeCell ref="B3:H3"/>
    <mergeCell ref="B4:H4"/>
  </mergeCells>
  <hyperlinks>
    <hyperlink ref="B6" location="'GRUPO A'!A1" display="GRUPO A" xr:uid="{00000000-0004-0000-0000-000000000000}"/>
    <hyperlink ref="D6" location="'GRUPO B'!A1" display="GRUPO B" xr:uid="{00000000-0004-0000-0000-000001000000}"/>
    <hyperlink ref="F6" location="'GRUPO C'!Área_de_impresión" display="GRUPO C" xr:uid="{00000000-0004-0000-0000-000002000000}"/>
    <hyperlink ref="H6" location="'GRUPO C'!Área_de_impresión" display="GRUPO C" xr:uid="{00000000-0004-0000-0000-000003000000}"/>
  </hyperlinks>
  <pageMargins left="0.70866141732283472" right="0.70866141732283472" top="0.74803149606299213" bottom="0.74803149606299213" header="0.31496062992125984" footer="0.31496062992125984"/>
  <pageSetup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L61"/>
  <sheetViews>
    <sheetView topLeftCell="H14" zoomScale="90" zoomScaleNormal="90" workbookViewId="0">
      <selection activeCell="AF18" sqref="AF18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4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customWidth="1"/>
    <col min="16" max="16" width="28.5546875" customWidth="1"/>
    <col min="17" max="25" width="5.6640625" customWidth="1"/>
    <col min="26" max="37" width="11.44140625" customWidth="1"/>
    <col min="38" max="38" width="3.33203125" customWidth="1"/>
  </cols>
  <sheetData>
    <row r="1" spans="1:38" s="3" customFormat="1" ht="34.799999999999997" x14ac:dyDescent="0.3">
      <c r="A1" s="313" t="str">
        <f>+'GRUPOS INFANTIL'!B1</f>
        <v>XVIII Festival Nacional de Fútbol Infantil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</row>
    <row r="2" spans="1:38" s="3" customFormat="1" ht="24.6" x14ac:dyDescent="0.3">
      <c r="A2" s="314" t="s">
        <v>6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</row>
    <row r="3" spans="1:38" s="3" customFormat="1" ht="34.799999999999997" x14ac:dyDescent="0.65">
      <c r="B3" s="315" t="str">
        <f>+'GRUPOS INFANTIL'!B3</f>
        <v>NACIDOS 2014 2015</v>
      </c>
      <c r="C3" s="315"/>
      <c r="D3" s="315"/>
      <c r="E3" s="315"/>
      <c r="F3" s="263" t="str">
        <f>+'GRUPOS INFANTIL'!B4</f>
        <v>SEPTIEMBRE 28 Y 29 DEL 2024</v>
      </c>
      <c r="G3" s="263"/>
      <c r="H3" s="263"/>
      <c r="I3" s="263"/>
      <c r="J3" s="263"/>
      <c r="K3" s="263"/>
      <c r="Y3" s="45"/>
    </row>
    <row r="4" spans="1:38" s="3" customFormat="1" ht="30.75" customHeight="1" x14ac:dyDescent="0.3">
      <c r="B4" s="301" t="str">
        <f>+'GRUPOS INFANTIL'!B6</f>
        <v>GRUPO A</v>
      </c>
      <c r="C4" s="301"/>
      <c r="D4" s="301"/>
      <c r="E4" s="301"/>
      <c r="F4" s="301"/>
      <c r="G4" s="301"/>
      <c r="H4" s="301"/>
      <c r="I4" s="301"/>
      <c r="J4" s="301"/>
      <c r="K4" s="301"/>
      <c r="L4" s="301"/>
      <c r="M4" s="301"/>
      <c r="Y4" s="46"/>
    </row>
    <row r="5" spans="1:38" s="3" customFormat="1" ht="15" customHeight="1" x14ac:dyDescent="0.3">
      <c r="B5" s="302"/>
      <c r="C5" s="302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15"/>
      <c r="O5" s="15"/>
      <c r="S5" s="1"/>
    </row>
    <row r="6" spans="1:38" ht="21.75" customHeight="1" x14ac:dyDescent="0.45">
      <c r="A6" s="1"/>
      <c r="B6" s="319" t="s">
        <v>4</v>
      </c>
      <c r="C6" s="320"/>
      <c r="D6" s="320"/>
      <c r="E6" s="320"/>
      <c r="F6" s="320"/>
      <c r="G6" s="320"/>
      <c r="H6" s="320"/>
      <c r="I6" s="320"/>
      <c r="J6" s="320"/>
      <c r="K6" s="320"/>
      <c r="L6" s="320"/>
      <c r="M6" s="320"/>
      <c r="N6" s="18"/>
      <c r="O6" s="18"/>
      <c r="P6" s="316" t="s">
        <v>14</v>
      </c>
      <c r="Q6" s="317"/>
      <c r="R6" s="317"/>
      <c r="S6" s="317"/>
      <c r="T6" s="317"/>
      <c r="U6" s="317"/>
      <c r="V6" s="317"/>
      <c r="W6" s="317"/>
      <c r="X6" s="317"/>
      <c r="Y6" s="317"/>
      <c r="Z6" s="3"/>
      <c r="AA6" s="3"/>
      <c r="AB6" s="3"/>
      <c r="AC6" s="3"/>
      <c r="AD6" s="3"/>
      <c r="AE6" s="3"/>
      <c r="AF6" s="3"/>
      <c r="AG6" s="3"/>
      <c r="AH6" s="3"/>
      <c r="AI6" s="3"/>
      <c r="AJ6" s="5">
        <f>COUNT(G8,I8,G11,I11,G14,I14,G17,I17,G20,I20,G23,I23,G26,I26,G29,I29,G32,I32,G35,I35)</f>
        <v>12</v>
      </c>
      <c r="AK6" s="3"/>
      <c r="AL6" s="3"/>
    </row>
    <row r="7" spans="1:38" ht="15" customHeight="1" x14ac:dyDescent="0.3">
      <c r="A7" s="68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8" t="s">
        <v>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13"/>
      <c r="B8" s="55"/>
      <c r="C8" s="51"/>
      <c r="D8" s="286"/>
      <c r="E8" s="287"/>
      <c r="F8" s="271" t="str">
        <f>IF(AND(G8&lt;&gt;"",I8&lt;&gt;""),IF(G8=I8,"E",IF(G8&gt;I8,"G","P")),"")</f>
        <v/>
      </c>
      <c r="G8" s="272"/>
      <c r="H8" s="274" t="s">
        <v>15</v>
      </c>
      <c r="I8" s="272"/>
      <c r="J8" s="271" t="str">
        <f>IF(AND(I8&lt;&gt;"",G8&lt;&gt;""),IF(I8=G8,"E",IF(I8&gt;G8,"G","P")),"")</f>
        <v/>
      </c>
      <c r="K8" s="287"/>
      <c r="L8" s="288"/>
      <c r="M8" s="111"/>
      <c r="N8" s="115"/>
      <c r="O8" s="67"/>
      <c r="P8" s="295"/>
      <c r="Q8" s="297" t="s">
        <v>7</v>
      </c>
      <c r="R8" s="299" t="s">
        <v>16</v>
      </c>
      <c r="S8" s="289" t="s">
        <v>8</v>
      </c>
      <c r="T8" s="289" t="s">
        <v>9</v>
      </c>
      <c r="U8" s="289" t="s">
        <v>10</v>
      </c>
      <c r="V8" s="289" t="s">
        <v>11</v>
      </c>
      <c r="W8" s="289" t="s">
        <v>12</v>
      </c>
      <c r="X8" s="289" t="s">
        <v>13</v>
      </c>
      <c r="Y8" s="289" t="s">
        <v>35</v>
      </c>
      <c r="Z8" s="291"/>
      <c r="AA8" s="27"/>
      <c r="AB8" s="293"/>
      <c r="AC8" s="293"/>
      <c r="AD8" s="293"/>
      <c r="AE8" s="293"/>
      <c r="AF8" s="293"/>
      <c r="AG8" s="293"/>
      <c r="AH8" s="293"/>
      <c r="AI8" s="27"/>
      <c r="AJ8" s="293" t="e">
        <f>IF(AJ6=12,IF(INDEX(Z22:AK29,MATCH(2,Z22:Z29,0),11)=INDEX(Z22:AK29,MATCH(1,Z22:Z29,0),11),1,0),0)</f>
        <v>#N/A</v>
      </c>
      <c r="AK8" s="3"/>
      <c r="AL8" s="3"/>
    </row>
    <row r="9" spans="1:38" ht="15" customHeight="1" x14ac:dyDescent="0.3">
      <c r="A9" s="65"/>
      <c r="B9" s="55"/>
      <c r="C9" s="51"/>
      <c r="D9" s="286"/>
      <c r="E9" s="287"/>
      <c r="F9" s="271"/>
      <c r="G9" s="273"/>
      <c r="H9" s="274"/>
      <c r="I9" s="273"/>
      <c r="J9" s="271"/>
      <c r="K9" s="287"/>
      <c r="L9" s="288"/>
      <c r="M9" s="53"/>
      <c r="N9" s="66"/>
      <c r="O9" s="66"/>
      <c r="P9" s="296"/>
      <c r="Q9" s="298"/>
      <c r="R9" s="300"/>
      <c r="S9" s="290"/>
      <c r="T9" s="290"/>
      <c r="U9" s="290"/>
      <c r="V9" s="290"/>
      <c r="W9" s="290"/>
      <c r="X9" s="290"/>
      <c r="Y9" s="290"/>
      <c r="Z9" s="292"/>
      <c r="AA9" s="27"/>
      <c r="AB9" s="294"/>
      <c r="AC9" s="294"/>
      <c r="AD9" s="294"/>
      <c r="AE9" s="294"/>
      <c r="AF9" s="294"/>
      <c r="AG9" s="294"/>
      <c r="AH9" s="294"/>
      <c r="AI9" s="27"/>
      <c r="AJ9" s="293"/>
      <c r="AK9" s="3"/>
      <c r="AL9" s="3"/>
    </row>
    <row r="10" spans="1:38" ht="22.5" customHeight="1" x14ac:dyDescent="0.3">
      <c r="A10" s="6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6"/>
      <c r="P10" s="276" t="str">
        <f>"  1)  " &amp; VLOOKUP(1,$Z$10:$AI$17,2,0)</f>
        <v xml:space="preserve">  1)  CLUB LOS PAPETICOS</v>
      </c>
      <c r="Q10" s="278">
        <f>VLOOKUP(1,$Z$10:$AI$17,3,0)</f>
        <v>7</v>
      </c>
      <c r="R10" s="280">
        <f>+SUM(S10:U11)</f>
        <v>3</v>
      </c>
      <c r="S10" s="282">
        <f>VLOOKUP(1,$Z$10:$AI$17,4,0)</f>
        <v>2</v>
      </c>
      <c r="T10" s="282">
        <f>VLOOKUP(1,$Z$10:$AI$17,5,0)</f>
        <v>1</v>
      </c>
      <c r="U10" s="282">
        <f>VLOOKUP(1,$Z$10:$AI$17,6,0)</f>
        <v>0</v>
      </c>
      <c r="V10" s="282">
        <f>VLOOKUP(1,$Z$10:$AI$17,7,0)</f>
        <v>20</v>
      </c>
      <c r="W10" s="282">
        <f>VLOOKUP(1,$Z$10:$AI$17,8,0)</f>
        <v>7</v>
      </c>
      <c r="X10" s="282">
        <f>VLOOKUP(1,$Z$10:$AH$17,9,0)</f>
        <v>13</v>
      </c>
      <c r="Y10" s="282">
        <f>VLOOKUP(1,$Z$10:$AI$17,10,0)</f>
        <v>0</v>
      </c>
      <c r="Z10" s="284">
        <f>RANK(AJ10,$AJ$10:$AJ$17,0)</f>
        <v>3</v>
      </c>
      <c r="AA10" s="264" t="str">
        <f>+'GRUPOS INFANTIL'!B7</f>
        <v>AJAX AIMARA</v>
      </c>
      <c r="AB10" s="264">
        <f>(AC10*3)+AD10</f>
        <v>3</v>
      </c>
      <c r="AC10" s="264">
        <f>COUNTIF(Q58:T58,"G")</f>
        <v>1</v>
      </c>
      <c r="AD10" s="264">
        <f>COUNTIF(Q58:T58,"E")</f>
        <v>0</v>
      </c>
      <c r="AE10" s="264">
        <f>COUNTIF(Q58:T58,"P")</f>
        <v>2</v>
      </c>
      <c r="AF10" s="264">
        <f>+G8+G20+G26+G35</f>
        <v>13</v>
      </c>
      <c r="AG10" s="264">
        <f>+I8+I20+I26+I35</f>
        <v>9</v>
      </c>
      <c r="AH10" s="264">
        <f>AF10-AG10</f>
        <v>4</v>
      </c>
      <c r="AI10" s="266">
        <f>+A8+A20+A26+A35</f>
        <v>0</v>
      </c>
      <c r="AJ10" s="264">
        <f>(AB10*1000)+(AH10*10)+(AF10*10)-AI10+0.1</f>
        <v>3170.1</v>
      </c>
      <c r="AK10" s="267">
        <f>AJ10+X10</f>
        <v>3183.1</v>
      </c>
      <c r="AL10" s="3"/>
    </row>
    <row r="11" spans="1:38" ht="15.75" customHeight="1" x14ac:dyDescent="0.3">
      <c r="A11" s="114"/>
      <c r="B11" s="56"/>
      <c r="C11" s="52"/>
      <c r="D11" s="269"/>
      <c r="E11" s="270"/>
      <c r="F11" s="271" t="str">
        <f>IF(AND(G11&lt;&gt;"",I11&lt;&gt;""),IF(G11=I11,"E",IF(G11&gt;I11,"G","P")),"")</f>
        <v/>
      </c>
      <c r="G11" s="272"/>
      <c r="H11" s="274" t="s">
        <v>15</v>
      </c>
      <c r="I11" s="272"/>
      <c r="J11" s="271" t="str">
        <f>IF(AND(I11&lt;&gt;"",G11&lt;&gt;""),IF(I11=G11,"E",IF(I11&gt;G11,"G","P")),"")</f>
        <v/>
      </c>
      <c r="K11" s="270"/>
      <c r="L11" s="275"/>
      <c r="M11" s="112"/>
      <c r="N11" s="116"/>
      <c r="O11" s="67"/>
      <c r="P11" s="277"/>
      <c r="Q11" s="279"/>
      <c r="R11" s="281"/>
      <c r="S11" s="283"/>
      <c r="T11" s="283"/>
      <c r="U11" s="283"/>
      <c r="V11" s="283"/>
      <c r="W11" s="283"/>
      <c r="X11" s="283"/>
      <c r="Y11" s="283"/>
      <c r="Z11" s="285"/>
      <c r="AA11" s="265"/>
      <c r="AB11" s="265"/>
      <c r="AC11" s="265"/>
      <c r="AD11" s="265"/>
      <c r="AE11" s="265"/>
      <c r="AF11" s="265"/>
      <c r="AG11" s="265"/>
      <c r="AH11" s="265"/>
      <c r="AI11" s="265"/>
      <c r="AJ11" s="265"/>
      <c r="AK11" s="268"/>
      <c r="AL11" s="3"/>
    </row>
    <row r="12" spans="1:38" ht="15.75" customHeight="1" x14ac:dyDescent="0.3">
      <c r="A12" s="65"/>
      <c r="B12" s="56"/>
      <c r="C12" s="52"/>
      <c r="D12" s="269"/>
      <c r="E12" s="270"/>
      <c r="F12" s="271"/>
      <c r="G12" s="273"/>
      <c r="H12" s="274"/>
      <c r="I12" s="273"/>
      <c r="J12" s="271"/>
      <c r="K12" s="270"/>
      <c r="L12" s="275"/>
      <c r="M12" s="54"/>
      <c r="N12" s="66"/>
      <c r="O12" s="66"/>
      <c r="P12" s="276" t="str">
        <f>"  2)  " &amp; VLOOKUP(2,$Z$10:$AI$17,2,0)</f>
        <v xml:space="preserve">  2)  ESCUELA DE FORMACION DEPORTIVA MARACANA</v>
      </c>
      <c r="Q12" s="278">
        <f>VLOOKUP(2,$Z$10:$AI$17,3,0)</f>
        <v>7</v>
      </c>
      <c r="R12" s="280">
        <f>+SUM(S12:U13)</f>
        <v>3</v>
      </c>
      <c r="S12" s="282">
        <f>VLOOKUP(2,$Z$10:$AI$17,4,0)</f>
        <v>2</v>
      </c>
      <c r="T12" s="282">
        <f>VLOOKUP(2,$Z$10:$AI$17,5,0)</f>
        <v>1</v>
      </c>
      <c r="U12" s="282">
        <f>VLOOKUP(2,$Z$10:$AI$17,6,0)</f>
        <v>0</v>
      </c>
      <c r="V12" s="282">
        <f>VLOOKUP(2,$Z$10:$AI$17,7,0)</f>
        <v>13</v>
      </c>
      <c r="W12" s="282">
        <f>VLOOKUP(2,$Z$10:$AI$17,8,0)</f>
        <v>4</v>
      </c>
      <c r="X12" s="282">
        <f>VLOOKUP(2,$Z$10:$AH$17,9,0)</f>
        <v>9</v>
      </c>
      <c r="Y12" s="282">
        <f>VLOOKUP(2,$Z$10:$AI$17,10,0)</f>
        <v>0</v>
      </c>
      <c r="Z12" s="284">
        <f>RANK(AJ12,$AJ$10:$AJ$17,0)</f>
        <v>4</v>
      </c>
      <c r="AA12" s="264" t="str">
        <f>+'GRUPOS INFANTIL'!B8</f>
        <v>CLUB DEPORTIVO OS FUTSAL</v>
      </c>
      <c r="AB12" s="264">
        <f>(AC12*3)+AD12</f>
        <v>0</v>
      </c>
      <c r="AC12" s="264">
        <f>COUNTIF(Q59:T59,"G")</f>
        <v>0</v>
      </c>
      <c r="AD12" s="264">
        <f>COUNTIF(Q59:T59,"E")</f>
        <v>0</v>
      </c>
      <c r="AE12" s="264">
        <f>COUNTIF(Q59:T59,"P")</f>
        <v>3</v>
      </c>
      <c r="AF12" s="264">
        <f>+G11+I20+G29+G32</f>
        <v>2</v>
      </c>
      <c r="AG12" s="264">
        <f>+I11+I29+G20+I32</f>
        <v>28</v>
      </c>
      <c r="AH12" s="264">
        <f>AF12-AG12</f>
        <v>-26</v>
      </c>
      <c r="AI12" s="266">
        <f>+A29+A11+N20+A32</f>
        <v>0</v>
      </c>
      <c r="AJ12" s="264">
        <f>(AB12*1000)+(AH12*100)+(AF12*10)-AI12+0.2</f>
        <v>-2579.8000000000002</v>
      </c>
      <c r="AK12" s="267">
        <f>AJ12+X12</f>
        <v>-2570.8000000000002</v>
      </c>
      <c r="AL12" s="3"/>
    </row>
    <row r="13" spans="1:38" ht="22.5" customHeight="1" x14ac:dyDescent="0.3">
      <c r="A13" s="6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66"/>
      <c r="P13" s="277"/>
      <c r="Q13" s="279"/>
      <c r="R13" s="281"/>
      <c r="S13" s="283"/>
      <c r="T13" s="283"/>
      <c r="U13" s="283"/>
      <c r="V13" s="283"/>
      <c r="W13" s="283"/>
      <c r="X13" s="283"/>
      <c r="Y13" s="283"/>
      <c r="Z13" s="285"/>
      <c r="AA13" s="265"/>
      <c r="AB13" s="265"/>
      <c r="AC13" s="265"/>
      <c r="AD13" s="265"/>
      <c r="AE13" s="265"/>
      <c r="AF13" s="265"/>
      <c r="AG13" s="265"/>
      <c r="AH13" s="265"/>
      <c r="AI13" s="265"/>
      <c r="AJ13" s="265"/>
      <c r="AK13" s="268"/>
      <c r="AL13" s="3"/>
    </row>
    <row r="14" spans="1:38" ht="15" customHeight="1" x14ac:dyDescent="0.3">
      <c r="A14" s="113"/>
      <c r="B14" s="55"/>
      <c r="C14" s="51"/>
      <c r="D14" s="286"/>
      <c r="E14" s="287"/>
      <c r="F14" s="271" t="str">
        <f>IF(AND(G14&lt;&gt;"",I14&lt;&gt;""),IF(G14=I14,"E",IF(G14&gt;I14,"G","P")),"")</f>
        <v/>
      </c>
      <c r="G14" s="272"/>
      <c r="H14" s="274" t="s">
        <v>15</v>
      </c>
      <c r="I14" s="272"/>
      <c r="J14" s="271" t="str">
        <f>IF(AND(I14&lt;&gt;"",G14&lt;&gt;""),IF(I14=G14,"E",IF(I14&gt;G14,"G","P")),"")</f>
        <v/>
      </c>
      <c r="K14" s="287"/>
      <c r="L14" s="288"/>
      <c r="M14" s="111"/>
      <c r="N14" s="115"/>
      <c r="O14" s="67"/>
      <c r="P14" s="276" t="str">
        <f>"  3)  " &amp; VLOOKUP(3,$Z$10:$AI$17,2,0)</f>
        <v xml:space="preserve">  3)  AJAX AIMARA</v>
      </c>
      <c r="Q14" s="278">
        <f>VLOOKUP(3,$Z$10:$AI$17,3,0)</f>
        <v>3</v>
      </c>
      <c r="R14" s="280">
        <f>+SUM(S14:U15)</f>
        <v>3</v>
      </c>
      <c r="S14" s="282">
        <f>VLOOKUP(3,$Z$10:$AI$17,4,0)</f>
        <v>1</v>
      </c>
      <c r="T14" s="282">
        <f>VLOOKUP(3,$Z$10:$AI$17,5,0)</f>
        <v>0</v>
      </c>
      <c r="U14" s="282">
        <f>VLOOKUP(3,$Z$10:$AI$17,6,0)</f>
        <v>2</v>
      </c>
      <c r="V14" s="282">
        <f>VLOOKUP(3,$Z$10:$AI$17,7,0)</f>
        <v>13</v>
      </c>
      <c r="W14" s="282">
        <f>VLOOKUP(3,$Z$10:$AI$17,8,0)</f>
        <v>9</v>
      </c>
      <c r="X14" s="282">
        <f>VLOOKUP(3,$Z$10:$AI$17,9,0)</f>
        <v>4</v>
      </c>
      <c r="Y14" s="282">
        <f>VLOOKUP(3,$Z$10:$AI$17,10,0)</f>
        <v>0</v>
      </c>
      <c r="Z14" s="284">
        <f>RANK(AJ14,$AJ$10:$AJ$17,0)</f>
        <v>2</v>
      </c>
      <c r="AA14" s="264" t="str">
        <f>+'GRUPOS INFANTIL'!B9</f>
        <v>ESCUELA DE FORMACION DEPORTIVA MARACANA</v>
      </c>
      <c r="AB14" s="264">
        <f>(AC14*3)+AD14</f>
        <v>7</v>
      </c>
      <c r="AC14" s="264">
        <f>COUNTIF(Q60:T60,"G")</f>
        <v>2</v>
      </c>
      <c r="AD14" s="264">
        <f>COUNTIF(Q60:T60,"E")</f>
        <v>1</v>
      </c>
      <c r="AE14" s="264">
        <f>COUNTIF(Q60:T60,"P")</f>
        <v>0</v>
      </c>
      <c r="AF14" s="264">
        <f>+G14+I26+G23+I32</f>
        <v>13</v>
      </c>
      <c r="AG14" s="264">
        <f>+G26+I14+I23+G32</f>
        <v>4</v>
      </c>
      <c r="AH14" s="264">
        <f>AF14-AG14</f>
        <v>9</v>
      </c>
      <c r="AI14" s="266">
        <f>+A14+A23+N26+N32</f>
        <v>0</v>
      </c>
      <c r="AJ14" s="264">
        <f>(AB14*1000)+(AH14*100)+(AF14*10)-AI14+0.3</f>
        <v>8030.3</v>
      </c>
      <c r="AK14" s="267">
        <f>+X14</f>
        <v>4</v>
      </c>
      <c r="AL14" s="3"/>
    </row>
    <row r="15" spans="1:38" ht="15" customHeight="1" x14ac:dyDescent="0.3">
      <c r="A15" s="65"/>
      <c r="B15" s="55"/>
      <c r="C15" s="51"/>
      <c r="D15" s="286"/>
      <c r="E15" s="287"/>
      <c r="F15" s="271"/>
      <c r="G15" s="273"/>
      <c r="H15" s="274"/>
      <c r="I15" s="273"/>
      <c r="J15" s="271"/>
      <c r="K15" s="287"/>
      <c r="L15" s="288"/>
      <c r="M15" s="53"/>
      <c r="N15" s="66"/>
      <c r="O15" s="66"/>
      <c r="P15" s="277"/>
      <c r="Q15" s="279"/>
      <c r="R15" s="281"/>
      <c r="S15" s="283"/>
      <c r="T15" s="283"/>
      <c r="U15" s="283"/>
      <c r="V15" s="283"/>
      <c r="W15" s="283"/>
      <c r="X15" s="283"/>
      <c r="Y15" s="283"/>
      <c r="Z15" s="285"/>
      <c r="AA15" s="265"/>
      <c r="AB15" s="265"/>
      <c r="AC15" s="265"/>
      <c r="AD15" s="265"/>
      <c r="AE15" s="265"/>
      <c r="AF15" s="265"/>
      <c r="AG15" s="265"/>
      <c r="AH15" s="265"/>
      <c r="AI15" s="265"/>
      <c r="AJ15" s="265"/>
      <c r="AK15" s="268"/>
      <c r="AL15" s="3"/>
    </row>
    <row r="16" spans="1:38" ht="21.75" customHeight="1" x14ac:dyDescent="0.3">
      <c r="A16" s="6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66"/>
      <c r="P16" s="276" t="str">
        <f>"  4)  " &amp; VLOOKUP(4,$Z$10:$AI$17,2,0)</f>
        <v xml:space="preserve">  4)  CLUB DEPORTIVO OS FUTSAL</v>
      </c>
      <c r="Q16" s="278">
        <f>VLOOKUP(4,$Z$10:$AI$17,3,0)</f>
        <v>0</v>
      </c>
      <c r="R16" s="280">
        <f>+SUM(S16:U17)</f>
        <v>3</v>
      </c>
      <c r="S16" s="282">
        <f>VLOOKUP(4,$Z$10:$AI$17,4,0)</f>
        <v>0</v>
      </c>
      <c r="T16" s="282">
        <f>VLOOKUP(4,$Z$10:$AI$17,5,0)</f>
        <v>0</v>
      </c>
      <c r="U16" s="282">
        <f>VLOOKUP(4,$Z$10:$AI$17,6,0)</f>
        <v>3</v>
      </c>
      <c r="V16" s="282">
        <f>VLOOKUP(4,$Z$10:$AI$17,7,0)</f>
        <v>2</v>
      </c>
      <c r="W16" s="282">
        <f>VLOOKUP(4,$Z$10:$AI$17,8,0)</f>
        <v>28</v>
      </c>
      <c r="X16" s="282">
        <f>VLOOKUP(4,$Z$10:$AI$17,9,0)</f>
        <v>-26</v>
      </c>
      <c r="Y16" s="282">
        <f>VLOOKUP(4,$Z$10:$AI$17,10,0)</f>
        <v>0</v>
      </c>
      <c r="Z16" s="284">
        <f>RANK(AJ16,$AJ$10:$AJ$17,0)</f>
        <v>1</v>
      </c>
      <c r="AA16" s="264" t="str">
        <f>+'GRUPOS INFANTIL'!B10</f>
        <v>CLUB LOS PAPETICOS</v>
      </c>
      <c r="AB16" s="264">
        <f>(AC16*3)+AD16</f>
        <v>7</v>
      </c>
      <c r="AC16" s="264">
        <f>COUNTIF(Q61:T61,"G")</f>
        <v>2</v>
      </c>
      <c r="AD16" s="264">
        <f>COUNTIF(Q61:T61,"E")</f>
        <v>1</v>
      </c>
      <c r="AE16" s="264">
        <f>COUNTIF(Q61:T61,"P")</f>
        <v>0</v>
      </c>
      <c r="AF16" s="264">
        <f>+G17+I29+I23+I35</f>
        <v>20</v>
      </c>
      <c r="AG16" s="264">
        <f>+I17+G29+G23+G35</f>
        <v>7</v>
      </c>
      <c r="AH16" s="264">
        <f>AF16-AG16</f>
        <v>13</v>
      </c>
      <c r="AI16" s="266">
        <f>+A17+N23+N29+N35</f>
        <v>0</v>
      </c>
      <c r="AJ16" s="264">
        <f>(AB16*1000)+(AH16*100)+(AF16*10)-AI16+0.4</f>
        <v>8500.4</v>
      </c>
      <c r="AK16" s="267">
        <f>+X16</f>
        <v>-26</v>
      </c>
      <c r="AL16" s="3"/>
    </row>
    <row r="17" spans="1:38" ht="15" customHeight="1" x14ac:dyDescent="0.3">
      <c r="A17" s="114"/>
      <c r="B17" s="56"/>
      <c r="C17" s="52"/>
      <c r="D17" s="269"/>
      <c r="E17" s="270"/>
      <c r="F17" s="271" t="str">
        <f>IF(AND(G17&lt;&gt;"",I17&lt;&gt;""),IF(G17=I17,"E",IF(G17&gt;I17,"G","P")),"")</f>
        <v/>
      </c>
      <c r="G17" s="272"/>
      <c r="H17" s="274" t="s">
        <v>15</v>
      </c>
      <c r="I17" s="272"/>
      <c r="J17" s="271" t="str">
        <f>IF(AND(I17&lt;&gt;"",G17&lt;&gt;""),IF(I17=G17,"E",IF(I17&gt;G17,"G","P")),"")</f>
        <v/>
      </c>
      <c r="K17" s="270"/>
      <c r="L17" s="275"/>
      <c r="M17" s="112"/>
      <c r="N17" s="116"/>
      <c r="O17" s="67"/>
      <c r="P17" s="277"/>
      <c r="Q17" s="279"/>
      <c r="R17" s="281"/>
      <c r="S17" s="283"/>
      <c r="T17" s="283"/>
      <c r="U17" s="283"/>
      <c r="V17" s="283"/>
      <c r="W17" s="283"/>
      <c r="X17" s="283"/>
      <c r="Y17" s="283"/>
      <c r="Z17" s="285"/>
      <c r="AA17" s="265"/>
      <c r="AB17" s="265"/>
      <c r="AC17" s="265"/>
      <c r="AD17" s="265"/>
      <c r="AE17" s="265"/>
      <c r="AF17" s="265"/>
      <c r="AG17" s="265"/>
      <c r="AH17" s="265"/>
      <c r="AI17" s="265"/>
      <c r="AJ17" s="265"/>
      <c r="AK17" s="268"/>
      <c r="AL17" s="3"/>
    </row>
    <row r="18" spans="1:38" ht="15" customHeight="1" x14ac:dyDescent="0.3">
      <c r="A18" s="65"/>
      <c r="B18" s="56"/>
      <c r="C18" s="52"/>
      <c r="D18" s="269"/>
      <c r="E18" s="270"/>
      <c r="F18" s="271"/>
      <c r="G18" s="273"/>
      <c r="H18" s="274"/>
      <c r="I18" s="273"/>
      <c r="J18" s="271"/>
      <c r="K18" s="270"/>
      <c r="L18" s="275"/>
      <c r="M18" s="54"/>
      <c r="N18" s="66"/>
      <c r="O18" s="66"/>
      <c r="P18" s="77"/>
      <c r="Q18" s="74"/>
      <c r="R18" s="74"/>
      <c r="S18" s="75"/>
      <c r="T18" s="75"/>
      <c r="U18" s="75"/>
      <c r="V18" s="75"/>
      <c r="W18" s="75"/>
      <c r="X18" s="75"/>
      <c r="Y18" s="75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27"/>
    </row>
    <row r="19" spans="1:38" s="3" customFormat="1" ht="15" customHeight="1" x14ac:dyDescent="0.3">
      <c r="A19" s="65"/>
      <c r="B19" s="198"/>
      <c r="C19" s="199"/>
      <c r="D19" s="200"/>
      <c r="E19" s="201"/>
      <c r="F19" s="202"/>
      <c r="J19" s="202"/>
      <c r="K19" s="201"/>
      <c r="L19" s="203"/>
      <c r="M19" s="182"/>
      <c r="N19" s="66"/>
      <c r="O19" s="66"/>
      <c r="P19" s="77"/>
      <c r="Q19" s="74"/>
      <c r="R19" s="74"/>
      <c r="S19" s="75"/>
      <c r="T19" s="75"/>
      <c r="U19" s="75"/>
      <c r="V19" s="75"/>
      <c r="W19" s="75"/>
      <c r="X19" s="75"/>
      <c r="Y19" s="75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27"/>
    </row>
    <row r="20" spans="1:38" ht="15" customHeight="1" x14ac:dyDescent="0.3">
      <c r="A20" s="113"/>
      <c r="B20" s="55">
        <v>42812</v>
      </c>
      <c r="C20" s="51" t="s">
        <v>101</v>
      </c>
      <c r="D20" s="286"/>
      <c r="E20" s="287" t="str">
        <f>+'GRUPOS INFANTIL'!B7</f>
        <v>AJAX AIMARA</v>
      </c>
      <c r="F20" s="271" t="str">
        <f>IF(AND(G20&lt;&gt;"",I20&lt;&gt;""),IF(G20=I20,"E",IF(G20&gt;I20,"G","P")),"")</f>
        <v>G</v>
      </c>
      <c r="G20" s="272">
        <v>10</v>
      </c>
      <c r="H20" s="274" t="s">
        <v>15</v>
      </c>
      <c r="I20" s="272">
        <v>0</v>
      </c>
      <c r="J20" s="271" t="str">
        <f>IF(AND(I20&lt;&gt;"",G20&lt;&gt;""),IF(I20=G20,"E",IF(I20&gt;G20,"G","P")),"")</f>
        <v>P</v>
      </c>
      <c r="K20" s="287" t="str">
        <f>+'GRUPOS INFANTIL'!B8</f>
        <v>CLUB DEPORTIVO OS FUTSAL</v>
      </c>
      <c r="L20" s="288"/>
      <c r="M20" s="111" t="s">
        <v>38</v>
      </c>
      <c r="N20" s="115"/>
      <c r="O20" s="67"/>
      <c r="P20" s="312"/>
      <c r="Q20" s="311"/>
      <c r="R20" s="304"/>
      <c r="S20" s="310"/>
      <c r="T20" s="310"/>
      <c r="U20" s="310"/>
      <c r="V20" s="310"/>
      <c r="W20" s="310"/>
      <c r="X20" s="310"/>
      <c r="Y20" s="310"/>
      <c r="Z20" s="293"/>
      <c r="AA20" s="27"/>
      <c r="AB20" s="293"/>
      <c r="AC20" s="293"/>
      <c r="AD20" s="293"/>
      <c r="AE20" s="293"/>
      <c r="AF20" s="293"/>
      <c r="AG20" s="293"/>
      <c r="AH20" s="293"/>
      <c r="AI20" s="27"/>
      <c r="AJ20" s="3"/>
      <c r="AK20" s="3"/>
      <c r="AL20" s="3"/>
    </row>
    <row r="21" spans="1:38" ht="15" customHeight="1" x14ac:dyDescent="0.3">
      <c r="A21" s="65"/>
      <c r="B21" s="55"/>
      <c r="C21" s="51"/>
      <c r="D21" s="286"/>
      <c r="E21" s="287"/>
      <c r="F21" s="271"/>
      <c r="G21" s="273"/>
      <c r="H21" s="274"/>
      <c r="I21" s="273"/>
      <c r="J21" s="271"/>
      <c r="K21" s="287"/>
      <c r="L21" s="288"/>
      <c r="M21" s="53"/>
      <c r="N21" s="66"/>
      <c r="O21" s="66"/>
      <c r="P21" s="312"/>
      <c r="Q21" s="311"/>
      <c r="R21" s="304"/>
      <c r="S21" s="310"/>
      <c r="T21" s="310"/>
      <c r="U21" s="310"/>
      <c r="V21" s="310"/>
      <c r="W21" s="310"/>
      <c r="X21" s="310"/>
      <c r="Y21" s="310"/>
      <c r="Z21" s="293"/>
      <c r="AA21" s="27"/>
      <c r="AB21" s="293"/>
      <c r="AC21" s="293"/>
      <c r="AD21" s="293"/>
      <c r="AE21" s="293"/>
      <c r="AF21" s="293"/>
      <c r="AG21" s="293"/>
      <c r="AH21" s="293"/>
      <c r="AI21" s="27"/>
      <c r="AJ21" s="3"/>
      <c r="AK21" s="3"/>
      <c r="AL21" s="3"/>
    </row>
    <row r="22" spans="1:38" ht="22.5" customHeight="1" x14ac:dyDescent="0.3">
      <c r="A22" s="6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6"/>
      <c r="P22" s="306"/>
      <c r="Q22" s="307"/>
      <c r="R22" s="305"/>
      <c r="S22" s="308"/>
      <c r="T22" s="308"/>
      <c r="U22" s="308"/>
      <c r="V22" s="308"/>
      <c r="W22" s="308"/>
      <c r="X22" s="308"/>
      <c r="Y22" s="308"/>
      <c r="Z22" s="309"/>
      <c r="AA22" s="309"/>
      <c r="AB22" s="309"/>
      <c r="AC22" s="309"/>
      <c r="AD22" s="309"/>
      <c r="AE22" s="309"/>
      <c r="AF22" s="309"/>
      <c r="AG22" s="309"/>
      <c r="AH22" s="309"/>
      <c r="AI22" s="309"/>
      <c r="AJ22" s="309"/>
      <c r="AK22" s="318"/>
      <c r="AL22" s="3"/>
    </row>
    <row r="23" spans="1:38" ht="15.75" customHeight="1" x14ac:dyDescent="0.3">
      <c r="A23" s="114"/>
      <c r="B23" s="56">
        <v>42812</v>
      </c>
      <c r="C23" s="52" t="s">
        <v>102</v>
      </c>
      <c r="D23" s="269"/>
      <c r="E23" s="270" t="str">
        <f>+'GRUPOS INFANTIL'!B9</f>
        <v>ESCUELA DE FORMACION DEPORTIVA MARACANA</v>
      </c>
      <c r="F23" s="271" t="str">
        <f>IF(AND(G23&lt;&gt;"",I23&lt;&gt;""),IF(G23=I23,"E",IF(G23&gt;I23,"G","P")),"")</f>
        <v>E</v>
      </c>
      <c r="G23" s="272">
        <v>3</v>
      </c>
      <c r="H23" s="274" t="s">
        <v>15</v>
      </c>
      <c r="I23" s="272">
        <v>3</v>
      </c>
      <c r="J23" s="271" t="str">
        <f>IF(AND(I23&lt;&gt;"",G23&lt;&gt;""),IF(I23=G23,"E",IF(I23&gt;G23,"G","P")),"")</f>
        <v>E</v>
      </c>
      <c r="K23" s="270" t="str">
        <f>+'GRUPOS INFANTIL'!B10</f>
        <v>CLUB LOS PAPETICOS</v>
      </c>
      <c r="L23" s="275"/>
      <c r="M23" s="112" t="s">
        <v>80</v>
      </c>
      <c r="N23" s="116"/>
      <c r="O23" s="67"/>
      <c r="P23" s="306"/>
      <c r="Q23" s="307"/>
      <c r="R23" s="305"/>
      <c r="S23" s="308"/>
      <c r="T23" s="308"/>
      <c r="U23" s="308"/>
      <c r="V23" s="308"/>
      <c r="W23" s="308"/>
      <c r="X23" s="308"/>
      <c r="Y23" s="308"/>
      <c r="Z23" s="309"/>
      <c r="AA23" s="309"/>
      <c r="AB23" s="309"/>
      <c r="AC23" s="309"/>
      <c r="AD23" s="309"/>
      <c r="AE23" s="309"/>
      <c r="AF23" s="309"/>
      <c r="AG23" s="309"/>
      <c r="AH23" s="309"/>
      <c r="AI23" s="309"/>
      <c r="AJ23" s="309"/>
      <c r="AK23" s="318"/>
      <c r="AL23" s="3"/>
    </row>
    <row r="24" spans="1:38" ht="15.75" customHeight="1" x14ac:dyDescent="0.3">
      <c r="A24" s="65"/>
      <c r="B24" s="56"/>
      <c r="C24" s="52"/>
      <c r="D24" s="269"/>
      <c r="E24" s="270"/>
      <c r="F24" s="271"/>
      <c r="G24" s="273"/>
      <c r="H24" s="274"/>
      <c r="I24" s="273"/>
      <c r="J24" s="271"/>
      <c r="K24" s="270"/>
      <c r="L24" s="275"/>
      <c r="M24" s="54"/>
      <c r="N24" s="66"/>
      <c r="O24" s="66"/>
      <c r="P24" s="306"/>
      <c r="Q24" s="307"/>
      <c r="R24" s="305"/>
      <c r="S24" s="308"/>
      <c r="T24" s="308"/>
      <c r="U24" s="308"/>
      <c r="V24" s="308"/>
      <c r="W24" s="308"/>
      <c r="X24" s="308"/>
      <c r="Y24" s="308"/>
      <c r="Z24" s="309"/>
      <c r="AA24" s="309"/>
      <c r="AB24" s="309"/>
      <c r="AC24" s="309"/>
      <c r="AD24" s="309"/>
      <c r="AE24" s="309"/>
      <c r="AF24" s="309"/>
      <c r="AG24" s="309"/>
      <c r="AH24" s="309"/>
      <c r="AI24" s="309"/>
      <c r="AJ24" s="309"/>
      <c r="AK24" s="318"/>
      <c r="AL24" s="3"/>
    </row>
    <row r="25" spans="1:38" ht="22.5" customHeight="1" x14ac:dyDescent="0.3">
      <c r="A25" s="6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66"/>
      <c r="P25" s="306"/>
      <c r="Q25" s="307"/>
      <c r="R25" s="305"/>
      <c r="S25" s="308"/>
      <c r="T25" s="308"/>
      <c r="U25" s="308"/>
      <c r="V25" s="308"/>
      <c r="W25" s="308"/>
      <c r="X25" s="308"/>
      <c r="Y25" s="308"/>
      <c r="Z25" s="309"/>
      <c r="AA25" s="309"/>
      <c r="AB25" s="309"/>
      <c r="AC25" s="309"/>
      <c r="AD25" s="309"/>
      <c r="AE25" s="309"/>
      <c r="AF25" s="309"/>
      <c r="AG25" s="309"/>
      <c r="AH25" s="309"/>
      <c r="AI25" s="309"/>
      <c r="AJ25" s="309"/>
      <c r="AK25" s="318"/>
      <c r="AL25" s="3"/>
    </row>
    <row r="26" spans="1:38" ht="15" customHeight="1" x14ac:dyDescent="0.3">
      <c r="A26" s="113"/>
      <c r="B26" s="55">
        <v>42812</v>
      </c>
      <c r="C26" s="51" t="s">
        <v>78</v>
      </c>
      <c r="D26" s="286"/>
      <c r="E26" s="287" t="str">
        <f>+'GRUPOS INFANTIL'!B7</f>
        <v>AJAX AIMARA</v>
      </c>
      <c r="F26" s="271" t="str">
        <f>IF(AND(G26&lt;&gt;"",I26&lt;&gt;""),IF(G26=I26,"E",IF(G26&gt;I26,"G","P")),"")</f>
        <v>P</v>
      </c>
      <c r="G26" s="272">
        <v>1</v>
      </c>
      <c r="H26" s="274" t="s">
        <v>15</v>
      </c>
      <c r="I26" s="272">
        <v>2</v>
      </c>
      <c r="J26" s="271" t="str">
        <f>IF(AND(I26&lt;&gt;"",G26&lt;&gt;""),IF(I26=G26,"E",IF(I26&gt;G26,"G","P")),"")</f>
        <v>G</v>
      </c>
      <c r="K26" s="287" t="str">
        <f>+'GRUPOS INFANTIL'!B9</f>
        <v>ESCUELA DE FORMACION DEPORTIVA MARACANA</v>
      </c>
      <c r="L26" s="288"/>
      <c r="M26" s="111" t="s">
        <v>80</v>
      </c>
      <c r="N26" s="115"/>
      <c r="O26" s="67"/>
      <c r="P26" s="306"/>
      <c r="Q26" s="307"/>
      <c r="R26" s="305"/>
      <c r="S26" s="308"/>
      <c r="T26" s="308"/>
      <c r="U26" s="308"/>
      <c r="V26" s="308"/>
      <c r="W26" s="308"/>
      <c r="X26" s="308"/>
      <c r="Y26" s="308"/>
      <c r="Z26" s="309"/>
      <c r="AA26" s="309"/>
      <c r="AB26" s="309"/>
      <c r="AC26" s="309"/>
      <c r="AD26" s="309"/>
      <c r="AE26" s="309"/>
      <c r="AF26" s="309"/>
      <c r="AG26" s="309"/>
      <c r="AH26" s="309"/>
      <c r="AI26" s="309"/>
      <c r="AJ26" s="309"/>
      <c r="AK26" s="318"/>
      <c r="AL26" s="3"/>
    </row>
    <row r="27" spans="1:38" ht="15" customHeight="1" x14ac:dyDescent="0.3">
      <c r="A27" s="65"/>
      <c r="B27" s="55"/>
      <c r="C27" s="51"/>
      <c r="D27" s="286"/>
      <c r="E27" s="287"/>
      <c r="F27" s="271"/>
      <c r="G27" s="273"/>
      <c r="H27" s="274"/>
      <c r="I27" s="273"/>
      <c r="J27" s="271"/>
      <c r="K27" s="287"/>
      <c r="L27" s="288"/>
      <c r="M27" s="53"/>
      <c r="N27" s="66"/>
      <c r="O27" s="66"/>
      <c r="P27" s="306"/>
      <c r="Q27" s="307"/>
      <c r="R27" s="305"/>
      <c r="S27" s="308"/>
      <c r="T27" s="308"/>
      <c r="U27" s="308"/>
      <c r="V27" s="308"/>
      <c r="W27" s="308"/>
      <c r="X27" s="308"/>
      <c r="Y27" s="308"/>
      <c r="Z27" s="309"/>
      <c r="AA27" s="309"/>
      <c r="AB27" s="309"/>
      <c r="AC27" s="309"/>
      <c r="AD27" s="309"/>
      <c r="AE27" s="309"/>
      <c r="AF27" s="309"/>
      <c r="AG27" s="309"/>
      <c r="AH27" s="309"/>
      <c r="AI27" s="309"/>
      <c r="AJ27" s="309"/>
      <c r="AK27" s="318"/>
      <c r="AL27" s="3"/>
    </row>
    <row r="28" spans="1:38" ht="21.75" customHeigh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66"/>
      <c r="P28" s="306"/>
      <c r="Q28" s="307"/>
      <c r="R28" s="305"/>
      <c r="S28" s="308"/>
      <c r="T28" s="308"/>
      <c r="U28" s="308"/>
      <c r="V28" s="308"/>
      <c r="W28" s="308"/>
      <c r="X28" s="308"/>
      <c r="Y28" s="308"/>
      <c r="Z28" s="309"/>
      <c r="AA28" s="309"/>
      <c r="AB28" s="309"/>
      <c r="AC28" s="309"/>
      <c r="AD28" s="309"/>
      <c r="AE28" s="309"/>
      <c r="AF28" s="309"/>
      <c r="AG28" s="309"/>
      <c r="AH28" s="309"/>
      <c r="AI28" s="309"/>
      <c r="AJ28" s="309"/>
      <c r="AK28" s="318"/>
      <c r="AL28" s="3"/>
    </row>
    <row r="29" spans="1:38" ht="15" customHeight="1" x14ac:dyDescent="0.3">
      <c r="A29" s="114"/>
      <c r="B29" s="56">
        <v>42812</v>
      </c>
      <c r="C29" s="52" t="s">
        <v>97</v>
      </c>
      <c r="D29" s="269"/>
      <c r="E29" s="270" t="str">
        <f>+'GRUPOS INFANTIL'!B8</f>
        <v>CLUB DEPORTIVO OS FUTSAL</v>
      </c>
      <c r="F29" s="271" t="str">
        <f>IF(AND(G29&lt;&gt;"",I29&lt;&gt;""),IF(G29=I29,"E",IF(G29&gt;I29,"G","P")),"")</f>
        <v>P</v>
      </c>
      <c r="G29" s="272">
        <v>2</v>
      </c>
      <c r="H29" s="274" t="s">
        <v>15</v>
      </c>
      <c r="I29" s="272">
        <v>10</v>
      </c>
      <c r="J29" s="271" t="str">
        <f>IF(AND(I29&lt;&gt;"",G29&lt;&gt;""),IF(I29=G29,"E",IF(I29&gt;G29,"G","P")),"")</f>
        <v>G</v>
      </c>
      <c r="K29" s="270" t="str">
        <f>+'GRUPOS INFANTIL'!B10</f>
        <v>CLUB LOS PAPETICOS</v>
      </c>
      <c r="L29" s="275"/>
      <c r="M29" s="112" t="s">
        <v>80</v>
      </c>
      <c r="N29" s="116"/>
      <c r="O29" s="67"/>
      <c r="P29" s="306"/>
      <c r="Q29" s="307"/>
      <c r="R29" s="305"/>
      <c r="S29" s="308"/>
      <c r="T29" s="308"/>
      <c r="U29" s="308"/>
      <c r="V29" s="308"/>
      <c r="W29" s="308"/>
      <c r="X29" s="308"/>
      <c r="Y29" s="308"/>
      <c r="Z29" s="309"/>
      <c r="AA29" s="309"/>
      <c r="AB29" s="309"/>
      <c r="AC29" s="309"/>
      <c r="AD29" s="309"/>
      <c r="AE29" s="309"/>
      <c r="AF29" s="309"/>
      <c r="AG29" s="309"/>
      <c r="AH29" s="309"/>
      <c r="AI29" s="309"/>
      <c r="AJ29" s="309"/>
      <c r="AK29" s="318"/>
      <c r="AL29" s="3"/>
    </row>
    <row r="30" spans="1:38" ht="15" customHeight="1" x14ac:dyDescent="0.3">
      <c r="A30" s="65"/>
      <c r="B30" s="56"/>
      <c r="C30" s="52"/>
      <c r="D30" s="269"/>
      <c r="E30" s="270"/>
      <c r="F30" s="271"/>
      <c r="G30" s="273"/>
      <c r="H30" s="274"/>
      <c r="I30" s="273"/>
      <c r="J30" s="271"/>
      <c r="K30" s="270"/>
      <c r="L30" s="275"/>
      <c r="M30" s="54"/>
      <c r="N30" s="66"/>
      <c r="O30" s="66"/>
      <c r="P30" s="77"/>
      <c r="Q30" s="74"/>
      <c r="R30" s="74"/>
      <c r="S30" s="75"/>
      <c r="T30" s="75"/>
      <c r="U30" s="75"/>
      <c r="V30" s="75"/>
      <c r="W30" s="75"/>
      <c r="X30" s="75"/>
      <c r="Y30" s="75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27"/>
    </row>
    <row r="31" spans="1:38" ht="22.5" customHeight="1" x14ac:dyDescent="0.3">
      <c r="A31" s="6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6"/>
      <c r="P31" s="73"/>
      <c r="Q31" s="74"/>
      <c r="R31" s="74"/>
      <c r="S31" s="75"/>
      <c r="T31" s="75"/>
      <c r="U31" s="75"/>
      <c r="V31" s="75"/>
      <c r="W31" s="75"/>
      <c r="X31" s="75"/>
      <c r="Y31" s="75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27"/>
    </row>
    <row r="32" spans="1:38" ht="15" customHeight="1" x14ac:dyDescent="0.3">
      <c r="A32" s="113"/>
      <c r="B32" s="55">
        <v>42813</v>
      </c>
      <c r="C32" s="51" t="s">
        <v>107</v>
      </c>
      <c r="D32" s="286"/>
      <c r="E32" s="287" t="str">
        <f>+'GRUPOS INFANTIL'!B8</f>
        <v>CLUB DEPORTIVO OS FUTSAL</v>
      </c>
      <c r="F32" s="271" t="str">
        <f>IF(AND(G32&lt;&gt;"",I32&lt;&gt;""),IF(G32=I32,"E",IF(G32&gt;I32,"G","P")),"")</f>
        <v>P</v>
      </c>
      <c r="G32" s="272">
        <v>0</v>
      </c>
      <c r="H32" s="274" t="s">
        <v>15</v>
      </c>
      <c r="I32" s="272">
        <v>8</v>
      </c>
      <c r="J32" s="271" t="str">
        <f>IF(AND(I32&lt;&gt;"",G32&lt;&gt;""),IF(I32=G32,"E",IF(I32&gt;G32,"G","P")),"")</f>
        <v>G</v>
      </c>
      <c r="K32" s="287" t="str">
        <f>+'GRUPOS INFANTIL'!B9</f>
        <v>ESCUELA DE FORMACION DEPORTIVA MARACANA</v>
      </c>
      <c r="L32" s="288"/>
      <c r="M32" s="111" t="s">
        <v>38</v>
      </c>
      <c r="N32" s="115"/>
      <c r="O32" s="67"/>
      <c r="P32" s="77"/>
      <c r="Q32" s="74"/>
      <c r="R32" s="74"/>
      <c r="S32" s="75"/>
      <c r="T32" s="75"/>
      <c r="U32" s="75"/>
      <c r="V32" s="75"/>
      <c r="W32" s="75"/>
      <c r="X32" s="75"/>
      <c r="Y32" s="75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27"/>
    </row>
    <row r="33" spans="1:38" ht="15" customHeight="1" x14ac:dyDescent="0.3">
      <c r="A33" s="65"/>
      <c r="B33" s="55"/>
      <c r="C33" s="51"/>
      <c r="D33" s="286"/>
      <c r="E33" s="287"/>
      <c r="F33" s="271"/>
      <c r="G33" s="273"/>
      <c r="H33" s="274"/>
      <c r="I33" s="273"/>
      <c r="J33" s="271"/>
      <c r="K33" s="287"/>
      <c r="L33" s="288"/>
      <c r="M33" s="53"/>
      <c r="N33" s="66"/>
      <c r="O33" s="66"/>
      <c r="P33" s="303"/>
      <c r="Q33" s="303"/>
      <c r="R33" s="303"/>
      <c r="S33" s="303"/>
      <c r="T33" s="303"/>
      <c r="U33" s="27"/>
      <c r="V33" s="27"/>
      <c r="W33" s="27"/>
      <c r="X33" s="27"/>
      <c r="Y33" s="27"/>
      <c r="Z33" s="76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</row>
    <row r="34" spans="1:38" ht="22.5" customHeight="1" x14ac:dyDescent="0.3">
      <c r="A34" s="6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65"/>
      <c r="P34" s="27"/>
      <c r="Q34" s="27"/>
      <c r="R34" s="27"/>
      <c r="S34" s="27"/>
      <c r="T34" s="27"/>
      <c r="U34" s="27"/>
      <c r="V34" s="27"/>
      <c r="W34" s="27" t="e">
        <f>IF(AJ8=1,IF(P33="","",P33),IF(SUM(Q10:Q17)&gt;0,VLOOKUP(1,Z10:AA17,2,0),""))</f>
        <v>#N/A</v>
      </c>
      <c r="X34" s="27"/>
      <c r="Y34" s="27"/>
      <c r="Z34" s="76"/>
      <c r="AA34" s="27"/>
      <c r="AB34" s="27"/>
      <c r="AC34" s="76"/>
      <c r="AD34" s="76"/>
      <c r="AE34" s="76"/>
      <c r="AF34" s="76"/>
      <c r="AG34" s="76"/>
      <c r="AH34" s="76"/>
      <c r="AI34" s="27"/>
      <c r="AJ34" s="76"/>
      <c r="AK34" s="76"/>
      <c r="AL34" s="27"/>
    </row>
    <row r="35" spans="1:38" ht="15" customHeight="1" x14ac:dyDescent="0.3">
      <c r="A35" s="114"/>
      <c r="B35" s="56">
        <v>42813</v>
      </c>
      <c r="C35" s="52" t="s">
        <v>106</v>
      </c>
      <c r="D35" s="269"/>
      <c r="E35" s="270" t="str">
        <f>+'GRUPOS INFANTIL'!B7</f>
        <v>AJAX AIMARA</v>
      </c>
      <c r="F35" s="271" t="str">
        <f>IF(AND(G35&lt;&gt;"",I35&lt;&gt;""),IF(G35=I35,"E",IF(G35&gt;I35,"G","P")),"")</f>
        <v>P</v>
      </c>
      <c r="G35" s="272">
        <v>2</v>
      </c>
      <c r="H35" s="274" t="s">
        <v>15</v>
      </c>
      <c r="I35" s="272">
        <v>7</v>
      </c>
      <c r="J35" s="271" t="str">
        <f>IF(AND(I35&lt;&gt;"",G35&lt;&gt;""),IF(I35=G35,"E",IF(I35&gt;G35,"G","P")),"")</f>
        <v>G</v>
      </c>
      <c r="K35" s="270" t="str">
        <f>+'GRUPOS INFANTIL'!B10</f>
        <v>CLUB LOS PAPETICOS</v>
      </c>
      <c r="L35" s="275"/>
      <c r="M35" s="112" t="s">
        <v>37</v>
      </c>
      <c r="N35" s="116"/>
      <c r="O35" s="67"/>
      <c r="P35" s="27"/>
      <c r="Q35" s="27"/>
      <c r="R35" s="27"/>
      <c r="S35" s="27"/>
      <c r="T35" s="27"/>
      <c r="U35" s="27"/>
      <c r="V35" s="27"/>
      <c r="W35" s="27" t="e">
        <f>IF(AJ8=1,IF(P36="","",P36),IF(SUM(Q10:Q17)&gt;0,VLOOKUP(2,Z10:AA17,2,0),""))</f>
        <v>#N/A</v>
      </c>
      <c r="X35" s="27"/>
      <c r="Y35" s="27"/>
      <c r="Z35" s="76"/>
      <c r="AA35" s="27"/>
      <c r="AB35" s="27"/>
      <c r="AC35" s="76"/>
      <c r="AD35" s="76"/>
      <c r="AE35" s="76"/>
      <c r="AF35" s="76"/>
      <c r="AG35" s="76"/>
      <c r="AH35" s="76"/>
      <c r="AI35" s="27"/>
      <c r="AJ35" s="76"/>
      <c r="AK35" s="76"/>
      <c r="AL35" s="27"/>
    </row>
    <row r="36" spans="1:38" ht="15" customHeight="1" x14ac:dyDescent="0.3">
      <c r="A36" s="65"/>
      <c r="B36" s="56"/>
      <c r="C36" s="52"/>
      <c r="D36" s="269"/>
      <c r="E36" s="270"/>
      <c r="F36" s="271"/>
      <c r="G36" s="273"/>
      <c r="H36" s="274"/>
      <c r="I36" s="273"/>
      <c r="J36" s="271"/>
      <c r="K36" s="270"/>
      <c r="L36" s="275"/>
      <c r="M36" s="54"/>
      <c r="N36" s="66"/>
      <c r="O36" s="66"/>
      <c r="P36" s="303"/>
      <c r="Q36" s="303"/>
      <c r="R36" s="303"/>
      <c r="S36" s="303"/>
      <c r="T36" s="303"/>
      <c r="U36" s="27"/>
      <c r="V36" s="27"/>
      <c r="W36" s="27"/>
      <c r="X36" s="27"/>
      <c r="Y36" s="27"/>
      <c r="Z36" s="76"/>
      <c r="AA36" s="27"/>
      <c r="AB36" s="27"/>
      <c r="AC36" s="76"/>
      <c r="AD36" s="76"/>
      <c r="AE36" s="76"/>
      <c r="AF36" s="76"/>
      <c r="AG36" s="76"/>
      <c r="AH36" s="76"/>
      <c r="AI36" s="27"/>
      <c r="AJ36" s="76"/>
      <c r="AK36" s="76"/>
      <c r="AL36" s="27"/>
    </row>
    <row r="37" spans="1:38" x14ac:dyDescent="0.3">
      <c r="A37" s="6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9"/>
      <c r="O37" s="15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76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</row>
    <row r="38" spans="1:38" x14ac:dyDescent="0.3">
      <c r="A38" s="66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</row>
    <row r="39" spans="1:38" x14ac:dyDescent="0.3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27"/>
      <c r="Q39" s="78"/>
      <c r="R39" s="78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</row>
    <row r="40" spans="1:38" x14ac:dyDescent="0.3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15"/>
      <c r="AD40" s="15"/>
      <c r="AE40" s="15"/>
      <c r="AF40" s="15"/>
      <c r="AG40" s="15"/>
      <c r="AH40" s="15"/>
      <c r="AI40" s="15"/>
      <c r="AJ40" s="15"/>
      <c r="AK40" s="15"/>
      <c r="AL40" s="28"/>
    </row>
    <row r="41" spans="1:38" x14ac:dyDescent="0.3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15"/>
      <c r="AD41" s="15"/>
      <c r="AE41" s="15"/>
      <c r="AF41" s="15"/>
      <c r="AG41" s="15"/>
      <c r="AH41" s="15"/>
      <c r="AI41" s="15"/>
      <c r="AJ41" s="15"/>
      <c r="AK41" s="15"/>
      <c r="AL41" s="28"/>
    </row>
    <row r="42" spans="1:38" x14ac:dyDescent="0.3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15"/>
      <c r="AD42" s="15"/>
      <c r="AE42" s="15"/>
      <c r="AF42" s="15"/>
      <c r="AG42" s="15"/>
      <c r="AH42" s="15"/>
      <c r="AI42" s="15"/>
      <c r="AJ42" s="15"/>
      <c r="AK42" s="15"/>
      <c r="AL42" s="28"/>
    </row>
    <row r="43" spans="1:38" x14ac:dyDescent="0.3">
      <c r="B43" s="15"/>
      <c r="C43" s="15"/>
      <c r="D43" s="15"/>
      <c r="E43" s="15"/>
      <c r="F43" s="15"/>
      <c r="G43" s="15"/>
      <c r="H43" s="15"/>
      <c r="I43" s="15"/>
      <c r="J43" s="25" t="str">
        <f>IF(AG20=1,"Indique el primero y segundo equipos clasificados de la serie:","")</f>
        <v/>
      </c>
      <c r="K43" s="15"/>
      <c r="L43" s="25" t="str">
        <f>IF(AG20=1,"Primero:","")</f>
        <v/>
      </c>
      <c r="M43" s="15"/>
      <c r="N43" s="24"/>
      <c r="O43" s="24"/>
      <c r="P43" s="79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15"/>
      <c r="AD43" s="15"/>
      <c r="AE43" s="15"/>
      <c r="AF43" s="15"/>
      <c r="AG43" s="15"/>
      <c r="AH43" s="15"/>
      <c r="AI43" s="15"/>
      <c r="AJ43" s="15"/>
      <c r="AK43" s="15"/>
      <c r="AL43" s="28"/>
    </row>
    <row r="44" spans="1:38" x14ac:dyDescent="0.3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2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28"/>
    </row>
    <row r="45" spans="1:38" x14ac:dyDescent="0.3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2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28"/>
    </row>
    <row r="46" spans="1:38" x14ac:dyDescent="0.3">
      <c r="B46" s="15"/>
      <c r="C46" s="15"/>
      <c r="D46" s="15"/>
      <c r="E46" s="15"/>
      <c r="F46" s="15"/>
      <c r="G46" s="15"/>
      <c r="H46" s="15"/>
      <c r="I46" s="15"/>
      <c r="J46" s="26" t="str">
        <f>IF(AG20=1,"(Debido a la paridad de los resultados, no pueden deducirse de forma automática.)","")</f>
        <v/>
      </c>
      <c r="K46" s="15"/>
      <c r="L46" s="25" t="str">
        <f>IF(AG20=1,"Segundo:","")</f>
        <v/>
      </c>
      <c r="M46" s="15"/>
      <c r="N46" s="24"/>
      <c r="O46" s="24"/>
      <c r="P46" s="24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8"/>
    </row>
    <row r="58" spans="16:20" x14ac:dyDescent="0.3">
      <c r="P58" s="134" t="str">
        <f>+'GRUPOS INFANTIL'!B7</f>
        <v>AJAX AIMARA</v>
      </c>
      <c r="Q58" s="133" t="str">
        <f>+F8</f>
        <v/>
      </c>
      <c r="R58" s="133" t="str">
        <f>+F20</f>
        <v>G</v>
      </c>
      <c r="S58" s="133" t="str">
        <f>+F26</f>
        <v>P</v>
      </c>
      <c r="T58" s="133" t="str">
        <f>+F35</f>
        <v>P</v>
      </c>
    </row>
    <row r="59" spans="16:20" x14ac:dyDescent="0.3">
      <c r="P59" s="134" t="str">
        <f>+'GRUPOS INFANTIL'!B8</f>
        <v>CLUB DEPORTIVO OS FUTSAL</v>
      </c>
      <c r="Q59" s="133" t="str">
        <f>+F11</f>
        <v/>
      </c>
      <c r="R59" s="133" t="str">
        <f>+J20</f>
        <v>P</v>
      </c>
      <c r="S59" s="133" t="str">
        <f>+F29</f>
        <v>P</v>
      </c>
      <c r="T59" s="133" t="str">
        <f>+F32</f>
        <v>P</v>
      </c>
    </row>
    <row r="60" spans="16:20" x14ac:dyDescent="0.3">
      <c r="P60" s="134" t="str">
        <f>+'GRUPOS INFANTIL'!B9</f>
        <v>ESCUELA DE FORMACION DEPORTIVA MARACANA</v>
      </c>
      <c r="Q60" s="133" t="str">
        <f>+F14</f>
        <v/>
      </c>
      <c r="R60" s="133" t="str">
        <f>+F23</f>
        <v>E</v>
      </c>
      <c r="S60" s="133" t="str">
        <f>+J26</f>
        <v>G</v>
      </c>
      <c r="T60" s="133" t="str">
        <f>+J32</f>
        <v>G</v>
      </c>
    </row>
    <row r="61" spans="16:20" x14ac:dyDescent="0.3">
      <c r="P61" s="134" t="str">
        <f>+'GRUPOS INFANTIL'!B10</f>
        <v>CLUB LOS PAPETICOS</v>
      </c>
      <c r="Q61" s="133" t="str">
        <f>+F17</f>
        <v/>
      </c>
      <c r="R61" s="133" t="str">
        <f>+J23</f>
        <v>E</v>
      </c>
      <c r="S61" s="133" t="str">
        <f>+J29</f>
        <v>G</v>
      </c>
      <c r="T61" s="133" t="str">
        <f>+J35</f>
        <v>G</v>
      </c>
    </row>
  </sheetData>
  <mergeCells count="312">
    <mergeCell ref="A1:N1"/>
    <mergeCell ref="A2:N2"/>
    <mergeCell ref="B3:E3"/>
    <mergeCell ref="P6:Y6"/>
    <mergeCell ref="AJ28:AJ29"/>
    <mergeCell ref="AK28:AK29"/>
    <mergeCell ref="E20:E21"/>
    <mergeCell ref="E23:E24"/>
    <mergeCell ref="E26:E27"/>
    <mergeCell ref="E29:E30"/>
    <mergeCell ref="Z20:Z21"/>
    <mergeCell ref="AJ8:AJ9"/>
    <mergeCell ref="AJ22:AJ23"/>
    <mergeCell ref="AK22:AK23"/>
    <mergeCell ref="AJ24:AJ25"/>
    <mergeCell ref="AK24:AK25"/>
    <mergeCell ref="AJ26:AJ27"/>
    <mergeCell ref="AK26:AK27"/>
    <mergeCell ref="AG20:AG21"/>
    <mergeCell ref="W26:W27"/>
    <mergeCell ref="B6:M6"/>
    <mergeCell ref="D20:D21"/>
    <mergeCell ref="U22:U23"/>
    <mergeCell ref="AH20:AH21"/>
    <mergeCell ref="K20:K21"/>
    <mergeCell ref="K23:K24"/>
    <mergeCell ref="K26:K27"/>
    <mergeCell ref="K29:K30"/>
    <mergeCell ref="K32:K33"/>
    <mergeCell ref="K35:K36"/>
    <mergeCell ref="P20:P21"/>
    <mergeCell ref="J32:J33"/>
    <mergeCell ref="L32:L33"/>
    <mergeCell ref="L26:L27"/>
    <mergeCell ref="AD24:AD25"/>
    <mergeCell ref="AE24:AE25"/>
    <mergeCell ref="AF24:AF25"/>
    <mergeCell ref="W20:W21"/>
    <mergeCell ref="X20:X21"/>
    <mergeCell ref="Y20:Y21"/>
    <mergeCell ref="AB20:AB21"/>
    <mergeCell ref="Q20:Q21"/>
    <mergeCell ref="S20:S21"/>
    <mergeCell ref="T20:T21"/>
    <mergeCell ref="U20:U21"/>
    <mergeCell ref="AB22:AB23"/>
    <mergeCell ref="V20:V21"/>
    <mergeCell ref="AG28:AG29"/>
    <mergeCell ref="F20:F21"/>
    <mergeCell ref="G20:G21"/>
    <mergeCell ref="H20:H21"/>
    <mergeCell ref="I20:I21"/>
    <mergeCell ref="S26:S27"/>
    <mergeCell ref="T26:T27"/>
    <mergeCell ref="W28:W29"/>
    <mergeCell ref="X28:X29"/>
    <mergeCell ref="U26:U27"/>
    <mergeCell ref="V26:V27"/>
    <mergeCell ref="X26:X27"/>
    <mergeCell ref="U28:U29"/>
    <mergeCell ref="V28:V29"/>
    <mergeCell ref="AC22:AC23"/>
    <mergeCell ref="AD22:AD23"/>
    <mergeCell ref="AE22:AE23"/>
    <mergeCell ref="AC20:AC21"/>
    <mergeCell ref="AD20:AD21"/>
    <mergeCell ref="AE20:AE21"/>
    <mergeCell ref="AF20:AF21"/>
    <mergeCell ref="AC26:AC27"/>
    <mergeCell ref="AD26:AD27"/>
    <mergeCell ref="AE26:AE27"/>
    <mergeCell ref="D35:D36"/>
    <mergeCell ref="D32:D33"/>
    <mergeCell ref="F32:F33"/>
    <mergeCell ref="G32:G33"/>
    <mergeCell ref="H32:H33"/>
    <mergeCell ref="I32:I33"/>
    <mergeCell ref="J35:J36"/>
    <mergeCell ref="F35:F36"/>
    <mergeCell ref="G35:G36"/>
    <mergeCell ref="H35:H36"/>
    <mergeCell ref="I35:I36"/>
    <mergeCell ref="E32:E33"/>
    <mergeCell ref="E35:E36"/>
    <mergeCell ref="F23:F24"/>
    <mergeCell ref="J26:J27"/>
    <mergeCell ref="J23:J24"/>
    <mergeCell ref="L23:L24"/>
    <mergeCell ref="J29:J30"/>
    <mergeCell ref="L29:L30"/>
    <mergeCell ref="H29:H30"/>
    <mergeCell ref="I29:I30"/>
    <mergeCell ref="I26:I27"/>
    <mergeCell ref="G26:G27"/>
    <mergeCell ref="H26:H27"/>
    <mergeCell ref="G23:G24"/>
    <mergeCell ref="H23:H24"/>
    <mergeCell ref="I23:I24"/>
    <mergeCell ref="AH22:AH23"/>
    <mergeCell ref="AI22:AI23"/>
    <mergeCell ref="P24:P25"/>
    <mergeCell ref="Q24:Q25"/>
    <mergeCell ref="S24:S25"/>
    <mergeCell ref="T24:T25"/>
    <mergeCell ref="U24:U25"/>
    <mergeCell ref="V24:V25"/>
    <mergeCell ref="V22:V23"/>
    <mergeCell ref="W22:W23"/>
    <mergeCell ref="X22:X23"/>
    <mergeCell ref="Y22:Y23"/>
    <mergeCell ref="Z22:Z23"/>
    <mergeCell ref="AA22:AA23"/>
    <mergeCell ref="P22:P23"/>
    <mergeCell ref="Q22:Q23"/>
    <mergeCell ref="S22:S23"/>
    <mergeCell ref="T22:T23"/>
    <mergeCell ref="AH24:AH25"/>
    <mergeCell ref="W24:W25"/>
    <mergeCell ref="X24:X25"/>
    <mergeCell ref="AF22:AF23"/>
    <mergeCell ref="AG22:AG23"/>
    <mergeCell ref="AG24:AG25"/>
    <mergeCell ref="AH28:AH29"/>
    <mergeCell ref="AI28:AI29"/>
    <mergeCell ref="AF26:AF27"/>
    <mergeCell ref="AG26:AG27"/>
    <mergeCell ref="AH26:AH27"/>
    <mergeCell ref="AI26:AI27"/>
    <mergeCell ref="Y24:Y25"/>
    <mergeCell ref="Z24:Z25"/>
    <mergeCell ref="AA24:AA25"/>
    <mergeCell ref="AB24:AB25"/>
    <mergeCell ref="AI24:AI25"/>
    <mergeCell ref="AC24:AC25"/>
    <mergeCell ref="AA28:AA29"/>
    <mergeCell ref="AB28:AB29"/>
    <mergeCell ref="AC28:AC29"/>
    <mergeCell ref="Y28:Y29"/>
    <mergeCell ref="Z28:Z29"/>
    <mergeCell ref="Z26:Z27"/>
    <mergeCell ref="AA26:AA27"/>
    <mergeCell ref="AB26:AB27"/>
    <mergeCell ref="Y26:Y27"/>
    <mergeCell ref="AD28:AD29"/>
    <mergeCell ref="AE28:AE29"/>
    <mergeCell ref="AF28:AF29"/>
    <mergeCell ref="F3:K3"/>
    <mergeCell ref="B4:M5"/>
    <mergeCell ref="P33:T33"/>
    <mergeCell ref="P36:T36"/>
    <mergeCell ref="R20:R21"/>
    <mergeCell ref="R22:R23"/>
    <mergeCell ref="R24:R25"/>
    <mergeCell ref="R26:R27"/>
    <mergeCell ref="R28:R29"/>
    <mergeCell ref="P28:P29"/>
    <mergeCell ref="Q28:Q29"/>
    <mergeCell ref="S28:S29"/>
    <mergeCell ref="T28:T29"/>
    <mergeCell ref="L35:L36"/>
    <mergeCell ref="L20:L21"/>
    <mergeCell ref="P26:P27"/>
    <mergeCell ref="Q26:Q27"/>
    <mergeCell ref="D29:D30"/>
    <mergeCell ref="F29:F30"/>
    <mergeCell ref="G29:G30"/>
    <mergeCell ref="D26:D27"/>
    <mergeCell ref="D23:D24"/>
    <mergeCell ref="J20:J21"/>
    <mergeCell ref="F26:F27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AH10:AH11"/>
    <mergeCell ref="AI10:AI11"/>
    <mergeCell ref="AJ10:AJ11"/>
    <mergeCell ref="Y8:Y9"/>
    <mergeCell ref="Z8:Z9"/>
    <mergeCell ref="AB8:AB9"/>
    <mergeCell ref="AC8:AC9"/>
    <mergeCell ref="AD8:AD9"/>
    <mergeCell ref="AE8:AE9"/>
    <mergeCell ref="AF8:AF9"/>
    <mergeCell ref="AG8:AG9"/>
    <mergeCell ref="AH8:AH9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AK10:AK11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I16:AI17"/>
    <mergeCell ref="AJ16:AJ17"/>
    <mergeCell ref="AK16:AK17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</mergeCells>
  <conditionalFormatting sqref="G8:G9">
    <cfRule type="expression" dxfId="461" priority="22" stopIfTrue="1">
      <formula>F8="P"</formula>
    </cfRule>
    <cfRule type="expression" dxfId="460" priority="23" stopIfTrue="1">
      <formula>F8="E"</formula>
    </cfRule>
    <cfRule type="expression" dxfId="459" priority="24" stopIfTrue="1">
      <formula>F8="G"</formula>
    </cfRule>
  </conditionalFormatting>
  <conditionalFormatting sqref="G11:G12">
    <cfRule type="expression" dxfId="458" priority="8" stopIfTrue="1">
      <formula>F11="E"</formula>
    </cfRule>
    <cfRule type="expression" dxfId="457" priority="7" stopIfTrue="1">
      <formula>F11="P"</formula>
    </cfRule>
    <cfRule type="expression" dxfId="456" priority="9" stopIfTrue="1">
      <formula>F11="G"</formula>
    </cfRule>
  </conditionalFormatting>
  <conditionalFormatting sqref="G14:G15">
    <cfRule type="expression" dxfId="455" priority="4" stopIfTrue="1">
      <formula>F14="P"</formula>
    </cfRule>
    <cfRule type="expression" dxfId="454" priority="5" stopIfTrue="1">
      <formula>F14="E"</formula>
    </cfRule>
    <cfRule type="expression" dxfId="453" priority="6" stopIfTrue="1">
      <formula>F14="G"</formula>
    </cfRule>
  </conditionalFormatting>
  <conditionalFormatting sqref="G17:G18">
    <cfRule type="expression" dxfId="452" priority="2" stopIfTrue="1">
      <formula>F17="E"</formula>
    </cfRule>
    <cfRule type="expression" dxfId="451" priority="3" stopIfTrue="1">
      <formula>F17="G"</formula>
    </cfRule>
    <cfRule type="expression" dxfId="450" priority="1" stopIfTrue="1">
      <formula>F17="P"</formula>
    </cfRule>
  </conditionalFormatting>
  <conditionalFormatting sqref="G20:G21">
    <cfRule type="expression" dxfId="449" priority="59" stopIfTrue="1">
      <formula>F20="E"</formula>
    </cfRule>
    <cfRule type="expression" dxfId="448" priority="58" stopIfTrue="1">
      <formula>F20="P"</formula>
    </cfRule>
    <cfRule type="expression" dxfId="447" priority="60" stopIfTrue="1">
      <formula>F20="G"</formula>
    </cfRule>
  </conditionalFormatting>
  <conditionalFormatting sqref="G23:G24">
    <cfRule type="expression" dxfId="446" priority="38" stopIfTrue="1">
      <formula>F23="E"</formula>
    </cfRule>
    <cfRule type="expression" dxfId="445" priority="37" stopIfTrue="1">
      <formula>F23="P"</formula>
    </cfRule>
    <cfRule type="expression" dxfId="444" priority="39" stopIfTrue="1">
      <formula>F23="G"</formula>
    </cfRule>
  </conditionalFormatting>
  <conditionalFormatting sqref="G26:G27">
    <cfRule type="expression" dxfId="443" priority="34" stopIfTrue="1">
      <formula>F26="P"</formula>
    </cfRule>
    <cfRule type="expression" dxfId="442" priority="35" stopIfTrue="1">
      <formula>F26="E"</formula>
    </cfRule>
    <cfRule type="expression" dxfId="441" priority="36" stopIfTrue="1">
      <formula>F26="G"</formula>
    </cfRule>
  </conditionalFormatting>
  <conditionalFormatting sqref="G29:G30">
    <cfRule type="expression" dxfId="440" priority="32" stopIfTrue="1">
      <formula>F29="E"</formula>
    </cfRule>
    <cfRule type="expression" dxfId="439" priority="31" stopIfTrue="1">
      <formula>F29="P"</formula>
    </cfRule>
    <cfRule type="expression" dxfId="438" priority="33" stopIfTrue="1">
      <formula>F29="G"</formula>
    </cfRule>
  </conditionalFormatting>
  <conditionalFormatting sqref="G32:G33">
    <cfRule type="expression" dxfId="437" priority="30" stopIfTrue="1">
      <formula>F32="G"</formula>
    </cfRule>
    <cfRule type="expression" dxfId="436" priority="29" stopIfTrue="1">
      <formula>F32="E"</formula>
    </cfRule>
    <cfRule type="expression" dxfId="435" priority="28" stopIfTrue="1">
      <formula>F32="P"</formula>
    </cfRule>
  </conditionalFormatting>
  <conditionalFormatting sqref="G35:G36">
    <cfRule type="expression" dxfId="434" priority="25" stopIfTrue="1">
      <formula>F35="P"</formula>
    </cfRule>
    <cfRule type="expression" dxfId="433" priority="26" stopIfTrue="1">
      <formula>F35="E"</formula>
    </cfRule>
    <cfRule type="expression" dxfId="432" priority="27" stopIfTrue="1">
      <formula>F35="G"</formula>
    </cfRule>
  </conditionalFormatting>
  <conditionalFormatting sqref="I8:I9">
    <cfRule type="expression" dxfId="431" priority="10" stopIfTrue="1">
      <formula>J8="P"</formula>
    </cfRule>
    <cfRule type="expression" dxfId="430" priority="11" stopIfTrue="1">
      <formula>J8="E"</formula>
    </cfRule>
    <cfRule type="expression" dxfId="429" priority="12" stopIfTrue="1">
      <formula>J8="G"</formula>
    </cfRule>
  </conditionalFormatting>
  <conditionalFormatting sqref="I11:I12">
    <cfRule type="expression" dxfId="428" priority="13" stopIfTrue="1">
      <formula>J11="P"</formula>
    </cfRule>
    <cfRule type="expression" dxfId="427" priority="14" stopIfTrue="1">
      <formula>J11="E"</formula>
    </cfRule>
    <cfRule type="expression" dxfId="426" priority="15" stopIfTrue="1">
      <formula>J11="G"</formula>
    </cfRule>
  </conditionalFormatting>
  <conditionalFormatting sqref="I14:I15">
    <cfRule type="expression" dxfId="425" priority="16" stopIfTrue="1">
      <formula>J14="P"</formula>
    </cfRule>
    <cfRule type="expression" dxfId="424" priority="17" stopIfTrue="1">
      <formula>J14="E"</formula>
    </cfRule>
    <cfRule type="expression" dxfId="423" priority="18" stopIfTrue="1">
      <formula>J14="G"</formula>
    </cfRule>
  </conditionalFormatting>
  <conditionalFormatting sqref="I17:I18">
    <cfRule type="expression" dxfId="422" priority="19" stopIfTrue="1">
      <formula>J17="P"</formula>
    </cfRule>
    <cfRule type="expression" dxfId="421" priority="20" stopIfTrue="1">
      <formula>J17="E"</formula>
    </cfRule>
    <cfRule type="expression" dxfId="420" priority="21" stopIfTrue="1">
      <formula>J17="G"</formula>
    </cfRule>
  </conditionalFormatting>
  <conditionalFormatting sqref="I20:I21">
    <cfRule type="expression" dxfId="419" priority="45" stopIfTrue="1">
      <formula>J20="G"</formula>
    </cfRule>
    <cfRule type="expression" dxfId="418" priority="43" stopIfTrue="1">
      <formula>J20="P"</formula>
    </cfRule>
    <cfRule type="expression" dxfId="417" priority="44" stopIfTrue="1">
      <formula>J20="E"</formula>
    </cfRule>
  </conditionalFormatting>
  <conditionalFormatting sqref="I23:I24">
    <cfRule type="expression" dxfId="416" priority="47" stopIfTrue="1">
      <formula>J23="E"</formula>
    </cfRule>
    <cfRule type="expression" dxfId="415" priority="48" stopIfTrue="1">
      <formula>J23="G"</formula>
    </cfRule>
    <cfRule type="expression" dxfId="414" priority="46" stopIfTrue="1">
      <formula>J23="P"</formula>
    </cfRule>
  </conditionalFormatting>
  <conditionalFormatting sqref="I26:I27">
    <cfRule type="expression" dxfId="413" priority="49" stopIfTrue="1">
      <formula>J26="P"</formula>
    </cfRule>
    <cfRule type="expression" dxfId="412" priority="50" stopIfTrue="1">
      <formula>J26="E"</formula>
    </cfRule>
    <cfRule type="expression" dxfId="411" priority="51" stopIfTrue="1">
      <formula>J26="G"</formula>
    </cfRule>
  </conditionalFormatting>
  <conditionalFormatting sqref="I29:I30">
    <cfRule type="expression" dxfId="410" priority="52" stopIfTrue="1">
      <formula>J29="P"</formula>
    </cfRule>
    <cfRule type="expression" dxfId="409" priority="54" stopIfTrue="1">
      <formula>J29="G"</formula>
    </cfRule>
    <cfRule type="expression" dxfId="408" priority="53" stopIfTrue="1">
      <formula>J29="E"</formula>
    </cfRule>
  </conditionalFormatting>
  <conditionalFormatting sqref="I32:I33">
    <cfRule type="expression" dxfId="407" priority="56" stopIfTrue="1">
      <formula>J32="E"</formula>
    </cfRule>
    <cfRule type="expression" dxfId="406" priority="57" stopIfTrue="1">
      <formula>J32="G"</formula>
    </cfRule>
    <cfRule type="expression" dxfId="405" priority="55" stopIfTrue="1">
      <formula>J32="P"</formula>
    </cfRule>
  </conditionalFormatting>
  <conditionalFormatting sqref="I35:I36">
    <cfRule type="expression" dxfId="404" priority="41" stopIfTrue="1">
      <formula>J35="E"</formula>
    </cfRule>
    <cfRule type="expression" dxfId="403" priority="42" stopIfTrue="1">
      <formula>J35="G"</formula>
    </cfRule>
    <cfRule type="expression" dxfId="402" priority="40" stopIfTrue="1">
      <formula>J35="P"</formula>
    </cfRule>
  </conditionalFormatting>
  <printOptions verticalCentered="1"/>
  <pageMargins left="0.70866141732283472" right="0.70866141732283472" top="0.74803149606299213" bottom="0.74803149606299213" header="0.31496062992125984" footer="0.31496062992125984"/>
  <pageSetup scale="55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L61"/>
  <sheetViews>
    <sheetView topLeftCell="A12" zoomScale="90" zoomScaleNormal="90" workbookViewId="0">
      <selection activeCell="H29" sqref="H29:H30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4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style="3" customWidth="1"/>
    <col min="16" max="16" width="28.5546875" customWidth="1"/>
    <col min="17" max="25" width="5.6640625" customWidth="1"/>
    <col min="26" max="26" width="17.88671875" customWidth="1"/>
    <col min="27" max="37" width="11.44140625" customWidth="1"/>
    <col min="38" max="38" width="3.33203125" customWidth="1"/>
  </cols>
  <sheetData>
    <row r="1" spans="1:38" s="3" customFormat="1" ht="34.799999999999997" x14ac:dyDescent="0.3">
      <c r="A1" s="313" t="str">
        <f>+'GRUPOS INFANTIL'!B1</f>
        <v>XVIII Festival Nacional de Fútbol Infantil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</row>
    <row r="2" spans="1:38" s="3" customFormat="1" ht="24.6" x14ac:dyDescent="0.3">
      <c r="A2" s="314" t="s">
        <v>6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</row>
    <row r="3" spans="1:38" s="3" customFormat="1" ht="34.5" customHeight="1" x14ac:dyDescent="0.65">
      <c r="B3" s="330" t="str">
        <f>+'GRUPOS INFANTIL'!B3</f>
        <v>NACIDOS 2014 2015</v>
      </c>
      <c r="C3" s="330"/>
      <c r="D3" s="330"/>
      <c r="E3" s="330"/>
      <c r="F3" s="263" t="str">
        <f>+'GRUPOS INFANTIL'!B4</f>
        <v>SEPTIEMBRE 28 Y 29 DEL 2024</v>
      </c>
      <c r="G3" s="263"/>
      <c r="H3" s="263"/>
      <c r="I3" s="263"/>
      <c r="J3" s="263"/>
      <c r="K3" s="263"/>
      <c r="Y3" s="64"/>
      <c r="Z3" s="45"/>
    </row>
    <row r="4" spans="1:38" s="3" customFormat="1" ht="30.6" customHeight="1" x14ac:dyDescent="0.3">
      <c r="B4" s="331" t="str">
        <f>+'GRUPOS INFANTIL'!D6</f>
        <v>GRUPO B</v>
      </c>
      <c r="C4" s="331"/>
      <c r="D4" s="331"/>
      <c r="E4" s="331"/>
      <c r="F4" s="331"/>
      <c r="G4" s="331"/>
      <c r="H4" s="331"/>
      <c r="I4" s="331"/>
      <c r="J4" s="331"/>
      <c r="K4" s="331"/>
      <c r="L4" s="331"/>
      <c r="M4" s="331"/>
      <c r="Y4" s="47"/>
      <c r="Z4" s="46"/>
    </row>
    <row r="5" spans="1:38" s="3" customFormat="1" ht="15" customHeight="1" x14ac:dyDescent="0.3">
      <c r="B5" s="332"/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S5" s="1"/>
    </row>
    <row r="6" spans="1:38" ht="21.75" customHeight="1" x14ac:dyDescent="0.45">
      <c r="A6" s="1"/>
      <c r="B6" s="319" t="s">
        <v>4</v>
      </c>
      <c r="C6" s="320"/>
      <c r="D6" s="320"/>
      <c r="E6" s="320"/>
      <c r="F6" s="320"/>
      <c r="G6" s="320"/>
      <c r="H6" s="320"/>
      <c r="I6" s="320"/>
      <c r="J6" s="320"/>
      <c r="K6" s="320"/>
      <c r="L6" s="320"/>
      <c r="M6" s="320"/>
      <c r="N6" s="18"/>
      <c r="O6" s="18"/>
      <c r="P6" s="316" t="s">
        <v>14</v>
      </c>
      <c r="Q6" s="317"/>
      <c r="R6" s="317"/>
      <c r="S6" s="317"/>
      <c r="T6" s="317"/>
      <c r="U6" s="317"/>
      <c r="V6" s="317"/>
      <c r="W6" s="317"/>
      <c r="X6" s="317"/>
      <c r="Y6" s="317"/>
      <c r="Z6" s="3"/>
      <c r="AA6" s="3"/>
      <c r="AB6" s="3"/>
      <c r="AC6" s="3"/>
      <c r="AD6" s="3"/>
      <c r="AE6" s="3"/>
      <c r="AF6" s="3"/>
      <c r="AG6" s="3"/>
      <c r="AH6" s="3"/>
      <c r="AI6" s="3"/>
      <c r="AJ6" s="5">
        <f>COUNT(G8,I8,G11,I11,G14,I14,G17,I17,G20,I20,G23,I23,G26,I26,G29,I29,G32,I32,G35,I35)</f>
        <v>12</v>
      </c>
      <c r="AK6" s="3"/>
      <c r="AL6" s="3"/>
    </row>
    <row r="7" spans="1:38" ht="15" customHeight="1" x14ac:dyDescent="0.3">
      <c r="A7" s="68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8" t="s">
        <v>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13"/>
      <c r="B8" s="55"/>
      <c r="C8" s="55"/>
      <c r="D8" s="286"/>
      <c r="E8" s="287"/>
      <c r="F8" s="271" t="str">
        <f>IF(AND(G8&lt;&gt;"",I8&lt;&gt;""),IF(G8=I8,"E",IF(G8&gt;I8,"G","P")),"")</f>
        <v/>
      </c>
      <c r="G8" s="321"/>
      <c r="H8" s="274" t="s">
        <v>15</v>
      </c>
      <c r="I8" s="321"/>
      <c r="J8" s="271" t="str">
        <f>IF(AND(I8&lt;&gt;"",G8&lt;&gt;""),IF(I8=G8,"E",IF(I8&gt;G8,"G","P")),"")</f>
        <v/>
      </c>
      <c r="K8" s="287"/>
      <c r="L8" s="288"/>
      <c r="M8" s="111"/>
      <c r="N8" s="115"/>
      <c r="O8" s="67"/>
      <c r="P8" s="295"/>
      <c r="Q8" s="297" t="s">
        <v>7</v>
      </c>
      <c r="R8" s="299" t="s">
        <v>16</v>
      </c>
      <c r="S8" s="289" t="s">
        <v>8</v>
      </c>
      <c r="T8" s="289" t="s">
        <v>9</v>
      </c>
      <c r="U8" s="289" t="s">
        <v>10</v>
      </c>
      <c r="V8" s="289" t="s">
        <v>11</v>
      </c>
      <c r="W8" s="289" t="s">
        <v>12</v>
      </c>
      <c r="X8" s="289" t="s">
        <v>13</v>
      </c>
      <c r="Y8" s="289" t="s">
        <v>35</v>
      </c>
      <c r="Z8" s="291"/>
      <c r="AA8" s="27"/>
      <c r="AB8" s="293"/>
      <c r="AC8" s="293"/>
      <c r="AD8" s="293"/>
      <c r="AE8" s="293"/>
      <c r="AF8" s="293"/>
      <c r="AG8" s="293"/>
      <c r="AH8" s="293"/>
      <c r="AI8" s="27"/>
      <c r="AJ8" s="293">
        <f>IF(AJ6=12,IF(INDEX(Z10:AK17,MATCH(2,Z10:Z17,0),11)=INDEX(Z10:AK17,MATCH(1,Z10:Z17,0),11),1,0),0)</f>
        <v>0</v>
      </c>
      <c r="AK8" s="3"/>
      <c r="AL8" s="3"/>
    </row>
    <row r="9" spans="1:38" ht="15" customHeight="1" x14ac:dyDescent="0.3">
      <c r="A9" s="65"/>
      <c r="B9" s="55"/>
      <c r="C9" s="51"/>
      <c r="D9" s="286"/>
      <c r="E9" s="287"/>
      <c r="F9" s="271"/>
      <c r="G9" s="322"/>
      <c r="H9" s="274"/>
      <c r="I9" s="322"/>
      <c r="J9" s="271"/>
      <c r="K9" s="287"/>
      <c r="L9" s="288"/>
      <c r="M9" s="53"/>
      <c r="N9" s="66"/>
      <c r="O9" s="66"/>
      <c r="P9" s="296"/>
      <c r="Q9" s="298"/>
      <c r="R9" s="300"/>
      <c r="S9" s="290"/>
      <c r="T9" s="290"/>
      <c r="U9" s="290"/>
      <c r="V9" s="290"/>
      <c r="W9" s="290"/>
      <c r="X9" s="290"/>
      <c r="Y9" s="290"/>
      <c r="Z9" s="292"/>
      <c r="AA9" s="27"/>
      <c r="AB9" s="294"/>
      <c r="AC9" s="294"/>
      <c r="AD9" s="294"/>
      <c r="AE9" s="294"/>
      <c r="AF9" s="294"/>
      <c r="AG9" s="294"/>
      <c r="AH9" s="294"/>
      <c r="AI9" s="27"/>
      <c r="AJ9" s="294"/>
      <c r="AK9" s="3"/>
      <c r="AL9" s="3"/>
    </row>
    <row r="10" spans="1:38" ht="22.5" customHeight="1" x14ac:dyDescent="0.3">
      <c r="A10" s="6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6"/>
      <c r="P10" s="327" t="str">
        <f>"  1)  " &amp; VLOOKUP(1,$Z$10:$AI$17,2,0)</f>
        <v xml:space="preserve">  1)  TEMPLO DEL FÚTBOL</v>
      </c>
      <c r="Q10" s="278">
        <f>VLOOKUP(1,$Z$10:$AI$17,3,0)</f>
        <v>7</v>
      </c>
      <c r="R10" s="280">
        <f>+SUM(S10:U11)</f>
        <v>3</v>
      </c>
      <c r="S10" s="282">
        <f>VLOOKUP(1,$Z$10:$AI$17,4,0)</f>
        <v>2</v>
      </c>
      <c r="T10" s="282">
        <f>VLOOKUP(1,$Z$10:$AI$17,5,0)</f>
        <v>1</v>
      </c>
      <c r="U10" s="282">
        <f>VLOOKUP(1,$Z$10:$AI$17,6,0)</f>
        <v>0</v>
      </c>
      <c r="V10" s="282">
        <f>VLOOKUP(1,$Z$10:$AI$17,7,0)</f>
        <v>9</v>
      </c>
      <c r="W10" s="282">
        <f>VLOOKUP(1,$Z$10:$AI$17,8,0)</f>
        <v>1</v>
      </c>
      <c r="X10" s="282">
        <f>VLOOKUP(1,$Z$10:$AH$17,9,0)</f>
        <v>8</v>
      </c>
      <c r="Y10" s="282">
        <f>VLOOKUP(1,$Z$10:$AI$17,10,0)</f>
        <v>0</v>
      </c>
      <c r="Z10" s="284">
        <f>RANK(AJ10,$AJ$10:$AJ$17,0)</f>
        <v>3</v>
      </c>
      <c r="AA10" s="264" t="str">
        <f>+'GRUPOS INFANTIL'!D7</f>
        <v>ESCUELA DEPORTIVA FÚTBOL RAQUIRA</v>
      </c>
      <c r="AB10" s="264">
        <f>(AC10*3)+AD10</f>
        <v>0</v>
      </c>
      <c r="AC10" s="264">
        <f>COUNTIF(Q58:T58,"G")</f>
        <v>0</v>
      </c>
      <c r="AD10" s="264">
        <f>COUNTIF(Q58:T58,"E")</f>
        <v>0</v>
      </c>
      <c r="AE10" s="264">
        <f>COUNTIF(Q58:T58,"P")</f>
        <v>3</v>
      </c>
      <c r="AF10" s="264">
        <f>+I8+G20+G26+G32</f>
        <v>2</v>
      </c>
      <c r="AG10" s="264">
        <f>+I20+I26+I32+G8</f>
        <v>10</v>
      </c>
      <c r="AH10" s="264">
        <f>AF10-AG10</f>
        <v>-8</v>
      </c>
      <c r="AI10" s="266">
        <f>+A20+A26+A32+N8</f>
        <v>0</v>
      </c>
      <c r="AJ10" s="264">
        <f>(AB10*1000)+(AH10*100)+(AF10*10)-AI10+0.1</f>
        <v>-779.9</v>
      </c>
      <c r="AK10" s="267">
        <f>AJ10+X10</f>
        <v>-771.9</v>
      </c>
      <c r="AL10" s="3"/>
    </row>
    <row r="11" spans="1:38" ht="15.75" customHeight="1" x14ac:dyDescent="0.3">
      <c r="A11" s="114"/>
      <c r="B11" s="56"/>
      <c r="C11" s="56"/>
      <c r="D11" s="269"/>
      <c r="E11" s="270"/>
      <c r="F11" s="271" t="str">
        <f>IF(AND(G11&lt;&gt;"",I11&lt;&gt;""),IF(G11=I11,"E",IF(G11&gt;I11,"G","P")),"")</f>
        <v/>
      </c>
      <c r="G11" s="321"/>
      <c r="H11" s="274" t="s">
        <v>15</v>
      </c>
      <c r="I11" s="321"/>
      <c r="J11" s="271" t="str">
        <f>IF(AND(I11&lt;&gt;"",G11&lt;&gt;""),IF(I11=G11,"E",IF(I11&gt;G11,"G","P")),"")</f>
        <v/>
      </c>
      <c r="K11" s="270"/>
      <c r="L11" s="275"/>
      <c r="M11" s="112"/>
      <c r="N11" s="116"/>
      <c r="O11" s="67"/>
      <c r="P11" s="328"/>
      <c r="Q11" s="279"/>
      <c r="R11" s="281"/>
      <c r="S11" s="283"/>
      <c r="T11" s="283"/>
      <c r="U11" s="283"/>
      <c r="V11" s="283"/>
      <c r="W11" s="283"/>
      <c r="X11" s="283"/>
      <c r="Y11" s="283"/>
      <c r="Z11" s="285"/>
      <c r="AA11" s="265"/>
      <c r="AB11" s="265"/>
      <c r="AC11" s="265"/>
      <c r="AD11" s="265"/>
      <c r="AE11" s="265"/>
      <c r="AF11" s="265"/>
      <c r="AG11" s="265"/>
      <c r="AH11" s="265"/>
      <c r="AI11" s="326"/>
      <c r="AJ11" s="265"/>
      <c r="AK11" s="268"/>
      <c r="AL11" s="3"/>
    </row>
    <row r="12" spans="1:38" ht="15.75" customHeight="1" x14ac:dyDescent="0.3">
      <c r="A12" s="65"/>
      <c r="B12" s="56"/>
      <c r="C12" s="52"/>
      <c r="D12" s="269"/>
      <c r="E12" s="270"/>
      <c r="F12" s="271"/>
      <c r="G12" s="322"/>
      <c r="H12" s="274"/>
      <c r="I12" s="322"/>
      <c r="J12" s="271"/>
      <c r="K12" s="270"/>
      <c r="L12" s="275"/>
      <c r="M12" s="54"/>
      <c r="N12" s="66"/>
      <c r="O12" s="66"/>
      <c r="P12" s="327" t="str">
        <f>"  2)  " &amp; VLOOKUP(2,$Z$10:$AI$17,2,0)</f>
        <v xml:space="preserve">  2)  CLUB CAMPESTRE IBAGUE</v>
      </c>
      <c r="Q12" s="278">
        <f>VLOOKUP(2,$Z$10:$AI$17,3,0)</f>
        <v>7</v>
      </c>
      <c r="R12" s="280">
        <f>+SUM(S12:U13)</f>
        <v>3</v>
      </c>
      <c r="S12" s="282">
        <f>VLOOKUP(2,$Z$10:$AI$17,4,0)</f>
        <v>2</v>
      </c>
      <c r="T12" s="282">
        <f>VLOOKUP(2,$Z$10:$AI$17,5,0)</f>
        <v>1</v>
      </c>
      <c r="U12" s="282">
        <f>VLOOKUP(2,$Z$10:$AI$17,6,0)</f>
        <v>0</v>
      </c>
      <c r="V12" s="282">
        <f>VLOOKUP(2,$Z$10:$AI$17,7,0)</f>
        <v>9</v>
      </c>
      <c r="W12" s="282">
        <f>VLOOKUP(2,$Z$10:$AI$17,8,0)</f>
        <v>3</v>
      </c>
      <c r="X12" s="282">
        <f>VLOOKUP(2,$Z$10:$AH$17,9,0)</f>
        <v>6</v>
      </c>
      <c r="Y12" s="282">
        <f>VLOOKUP(2,$Z$10:$AI$17,10,0)</f>
        <v>0</v>
      </c>
      <c r="Z12" s="284">
        <f>RANK(AJ12,$AJ$10:$AJ$17,0)</f>
        <v>1</v>
      </c>
      <c r="AA12" s="264" t="str">
        <f>+'GRUPOS INFANTIL'!D8</f>
        <v>TEMPLO DEL FÚTBOL</v>
      </c>
      <c r="AB12" s="264">
        <f>(AC12*3)+AD12</f>
        <v>7</v>
      </c>
      <c r="AC12" s="264">
        <f>COUNTIF(Q59:T59,"G")</f>
        <v>2</v>
      </c>
      <c r="AD12" s="264">
        <f>COUNTIF(Q59:T59,"E")</f>
        <v>1</v>
      </c>
      <c r="AE12" s="264">
        <f>COUNTIF(Q59:T59,"P")</f>
        <v>0</v>
      </c>
      <c r="AF12" s="264">
        <f>+I20+G29+G35+I11</f>
        <v>9</v>
      </c>
      <c r="AG12" s="264">
        <f>+G20+I29+I35+G11</f>
        <v>1</v>
      </c>
      <c r="AH12" s="264">
        <f>AF12-AG12</f>
        <v>8</v>
      </c>
      <c r="AI12" s="266">
        <f>+N20+A29+A35+N11</f>
        <v>0</v>
      </c>
      <c r="AJ12" s="264">
        <f>(AB12*1000)+(AH12*100)+(AF12*10)-AI12+0.2</f>
        <v>7890.2</v>
      </c>
      <c r="AK12" s="267">
        <f>AJ12+X12</f>
        <v>7896.2</v>
      </c>
      <c r="AL12" s="3"/>
    </row>
    <row r="13" spans="1:38" ht="22.5" customHeight="1" x14ac:dyDescent="0.3">
      <c r="A13" s="6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66"/>
      <c r="P13" s="328"/>
      <c r="Q13" s="279"/>
      <c r="R13" s="281"/>
      <c r="S13" s="283"/>
      <c r="T13" s="283"/>
      <c r="U13" s="283"/>
      <c r="V13" s="283"/>
      <c r="W13" s="283"/>
      <c r="X13" s="283"/>
      <c r="Y13" s="283"/>
      <c r="Z13" s="285"/>
      <c r="AA13" s="265"/>
      <c r="AB13" s="265"/>
      <c r="AC13" s="265"/>
      <c r="AD13" s="265"/>
      <c r="AE13" s="265"/>
      <c r="AF13" s="265"/>
      <c r="AG13" s="265"/>
      <c r="AH13" s="265"/>
      <c r="AI13" s="326"/>
      <c r="AJ13" s="265"/>
      <c r="AK13" s="268"/>
      <c r="AL13" s="3"/>
    </row>
    <row r="14" spans="1:38" ht="15" customHeight="1" x14ac:dyDescent="0.3">
      <c r="A14" s="113"/>
      <c r="B14" s="55"/>
      <c r="C14" s="51"/>
      <c r="D14" s="286"/>
      <c r="E14" s="287"/>
      <c r="F14" s="271" t="str">
        <f>IF(AND(G14&lt;&gt;"",I14&lt;&gt;""),IF(G14=I14,"E",IF(G14&gt;I14,"G","P")),"")</f>
        <v/>
      </c>
      <c r="G14" s="321"/>
      <c r="H14" s="274" t="s">
        <v>15</v>
      </c>
      <c r="I14" s="321"/>
      <c r="J14" s="271" t="str">
        <f>IF(AND(I14&lt;&gt;"",G14&lt;&gt;""),IF(I14=G14,"E",IF(I14&gt;G14,"G","P")),"")</f>
        <v/>
      </c>
      <c r="K14" s="287"/>
      <c r="L14" s="288"/>
      <c r="M14" s="111"/>
      <c r="N14" s="115"/>
      <c r="O14" s="67"/>
      <c r="P14" s="327" t="str">
        <f>"  3)  " &amp; VLOOKUP(3,$Z$10:$AI$17,2,0)</f>
        <v xml:space="preserve">  3)  ESCUELA DEPORTIVA FÚTBOL RAQUIRA</v>
      </c>
      <c r="Q14" s="278">
        <f>VLOOKUP(3,$Z$10:$AI$17,3,0)</f>
        <v>0</v>
      </c>
      <c r="R14" s="280">
        <f>+SUM(S14:U15)</f>
        <v>3</v>
      </c>
      <c r="S14" s="282">
        <f>VLOOKUP(3,$Z$10:$AI$17,4,0)</f>
        <v>0</v>
      </c>
      <c r="T14" s="282">
        <f>VLOOKUP(3,$Z$10:$AI$17,5,0)</f>
        <v>0</v>
      </c>
      <c r="U14" s="282">
        <f>VLOOKUP(3,$Z$10:$AI$17,6,0)</f>
        <v>3</v>
      </c>
      <c r="V14" s="282">
        <f>VLOOKUP(3,$Z$10:$AI$17,7,0)</f>
        <v>2</v>
      </c>
      <c r="W14" s="282">
        <f>VLOOKUP(3,$Z$10:$AI$17,8,0)</f>
        <v>10</v>
      </c>
      <c r="X14" s="282">
        <f>VLOOKUP(3,$Z$10:$AI$17,9,0)</f>
        <v>-8</v>
      </c>
      <c r="Y14" s="282">
        <f>VLOOKUP(3,$Z$10:$AI$17,10,0)</f>
        <v>0</v>
      </c>
      <c r="Z14" s="284">
        <f>RANK(AJ14,$AJ$10:$AJ$17,0)</f>
        <v>2</v>
      </c>
      <c r="AA14" s="264" t="str">
        <f>+'GRUPOS INFANTIL'!D9</f>
        <v>CLUB CAMPESTRE IBAGUE</v>
      </c>
      <c r="AB14" s="264">
        <f>(AC14*3)+AD14</f>
        <v>7</v>
      </c>
      <c r="AC14" s="264">
        <f>COUNTIF(Q60:T60,"G")</f>
        <v>2</v>
      </c>
      <c r="AD14" s="264">
        <f>COUNTIF(Q60:T60,"E")</f>
        <v>1</v>
      </c>
      <c r="AE14" s="264">
        <f>COUNTIF(Q60:T60,"P")</f>
        <v>0</v>
      </c>
      <c r="AF14" s="264">
        <f>+G23+I26+I35+I14</f>
        <v>9</v>
      </c>
      <c r="AG14" s="264">
        <f>+I23+G26+G35+G14</f>
        <v>3</v>
      </c>
      <c r="AH14" s="264">
        <f>AF14-AG14</f>
        <v>6</v>
      </c>
      <c r="AI14" s="266">
        <f>+A23+N26+N35+N14</f>
        <v>0</v>
      </c>
      <c r="AJ14" s="264">
        <f>(AB14*1000)+(AH14*100)+(AF14*10)-AI14+0.3</f>
        <v>7690.3</v>
      </c>
      <c r="AK14" s="267">
        <f>+X14</f>
        <v>-8</v>
      </c>
      <c r="AL14" s="3"/>
    </row>
    <row r="15" spans="1:38" ht="15" customHeight="1" x14ac:dyDescent="0.3">
      <c r="A15" s="65"/>
      <c r="B15" s="55"/>
      <c r="C15" s="51"/>
      <c r="D15" s="286"/>
      <c r="E15" s="287"/>
      <c r="F15" s="271"/>
      <c r="G15" s="322"/>
      <c r="H15" s="274"/>
      <c r="I15" s="322"/>
      <c r="J15" s="271"/>
      <c r="K15" s="287"/>
      <c r="L15" s="288"/>
      <c r="M15" s="53"/>
      <c r="N15" s="66"/>
      <c r="O15" s="66"/>
      <c r="P15" s="328"/>
      <c r="Q15" s="279"/>
      <c r="R15" s="281"/>
      <c r="S15" s="283"/>
      <c r="T15" s="283"/>
      <c r="U15" s="283"/>
      <c r="V15" s="283"/>
      <c r="W15" s="283"/>
      <c r="X15" s="283"/>
      <c r="Y15" s="283"/>
      <c r="Z15" s="285"/>
      <c r="AA15" s="265"/>
      <c r="AB15" s="265"/>
      <c r="AC15" s="265"/>
      <c r="AD15" s="265"/>
      <c r="AE15" s="265"/>
      <c r="AF15" s="265"/>
      <c r="AG15" s="265"/>
      <c r="AH15" s="265"/>
      <c r="AI15" s="326"/>
      <c r="AJ15" s="265"/>
      <c r="AK15" s="268"/>
      <c r="AL15" s="3"/>
    </row>
    <row r="16" spans="1:38" ht="21.75" customHeight="1" x14ac:dyDescent="0.3">
      <c r="A16" s="6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66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</row>
    <row r="17" spans="1:38" ht="15" customHeight="1" x14ac:dyDescent="0.3">
      <c r="A17" s="114"/>
      <c r="B17" s="56"/>
      <c r="C17" s="56"/>
      <c r="D17" s="269"/>
      <c r="E17" s="270"/>
      <c r="F17" s="271" t="str">
        <f>IF(AND(G17&lt;&gt;"",I17&lt;&gt;""),IF(G17=I17,"E",IF(G17&gt;I17,"G","P")),"")</f>
        <v/>
      </c>
      <c r="G17" s="321"/>
      <c r="H17" s="274" t="s">
        <v>15</v>
      </c>
      <c r="I17" s="321"/>
      <c r="J17" s="271" t="str">
        <f>IF(AND(I17&lt;&gt;"",G17&lt;&gt;""),IF(I17=G17,"E",IF(I17&gt;G17,"G","P")),"")</f>
        <v/>
      </c>
      <c r="K17" s="270"/>
      <c r="L17" s="275"/>
      <c r="M17" s="112"/>
      <c r="N17" s="116"/>
      <c r="O17" s="6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</row>
    <row r="18" spans="1:38" ht="15" customHeight="1" x14ac:dyDescent="0.3">
      <c r="A18" s="65"/>
      <c r="B18" s="56"/>
      <c r="C18" s="52"/>
      <c r="D18" s="269"/>
      <c r="E18" s="270"/>
      <c r="F18" s="271"/>
      <c r="G18" s="322"/>
      <c r="H18" s="274"/>
      <c r="I18" s="322"/>
      <c r="J18" s="271"/>
      <c r="K18" s="270"/>
      <c r="L18" s="275"/>
      <c r="M18" s="54"/>
      <c r="N18" s="66"/>
      <c r="O18" s="66"/>
      <c r="P18" s="77"/>
      <c r="Q18" s="74"/>
      <c r="R18" s="74"/>
      <c r="S18" s="75"/>
      <c r="T18" s="75"/>
      <c r="U18" s="75"/>
      <c r="V18" s="75"/>
      <c r="W18" s="75"/>
      <c r="X18" s="75"/>
      <c r="Y18" s="75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27"/>
    </row>
    <row r="19" spans="1:38" s="3" customFormat="1" ht="15" customHeight="1" x14ac:dyDescent="0.3">
      <c r="A19" s="65"/>
      <c r="B19" s="198"/>
      <c r="C19" s="199"/>
      <c r="D19" s="200"/>
      <c r="E19" s="201"/>
      <c r="F19" s="202"/>
      <c r="G19" s="201"/>
      <c r="H19" s="201"/>
      <c r="I19" s="201"/>
      <c r="J19" s="201"/>
      <c r="K19" s="201"/>
      <c r="L19" s="203"/>
      <c r="M19" s="182"/>
      <c r="N19" s="66"/>
      <c r="O19" s="66"/>
      <c r="P19" s="77"/>
      <c r="Q19" s="74"/>
      <c r="R19" s="74"/>
      <c r="S19" s="75"/>
      <c r="T19" s="75"/>
      <c r="U19" s="75"/>
      <c r="V19" s="75"/>
      <c r="W19" s="75"/>
      <c r="X19" s="75"/>
      <c r="Y19" s="75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27"/>
    </row>
    <row r="20" spans="1:38" ht="15" customHeight="1" x14ac:dyDescent="0.3">
      <c r="A20" s="113"/>
      <c r="B20" s="55">
        <v>42812</v>
      </c>
      <c r="C20" s="51" t="s">
        <v>103</v>
      </c>
      <c r="D20" s="286"/>
      <c r="E20" s="287" t="str">
        <f>+'GRUPOS INFANTIL'!D7</f>
        <v>ESCUELA DEPORTIVA FÚTBOL RAQUIRA</v>
      </c>
      <c r="F20" s="323" t="str">
        <f>IF(AND(G20&lt;&gt;"",I20&lt;&gt;""),IF(G20=I20,"E",IF(G20&gt;I20,"G","P")),"")</f>
        <v>P</v>
      </c>
      <c r="G20" s="272">
        <v>0</v>
      </c>
      <c r="H20" s="324" t="s">
        <v>15</v>
      </c>
      <c r="I20" s="272">
        <v>3</v>
      </c>
      <c r="J20" s="325" t="str">
        <f>IF(AND(I20&lt;&gt;"",G20&lt;&gt;""),IF(I20=G20,"E",IF(I20&gt;G20,"G","P")),"")</f>
        <v>G</v>
      </c>
      <c r="K20" s="287" t="str">
        <f>+'GRUPOS INFANTIL'!D8</f>
        <v>TEMPLO DEL FÚTBOL</v>
      </c>
      <c r="L20" s="288"/>
      <c r="M20" s="111" t="s">
        <v>38</v>
      </c>
      <c r="N20" s="113"/>
      <c r="O20" s="67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" customHeight="1" x14ac:dyDescent="0.3">
      <c r="A21" s="65"/>
      <c r="B21" s="55"/>
      <c r="C21" s="51"/>
      <c r="D21" s="286"/>
      <c r="E21" s="287"/>
      <c r="F21" s="323"/>
      <c r="G21" s="273"/>
      <c r="H21" s="324"/>
      <c r="I21" s="273"/>
      <c r="J21" s="325"/>
      <c r="K21" s="287"/>
      <c r="L21" s="288"/>
      <c r="M21" s="53"/>
      <c r="N21" s="70"/>
      <c r="O21" s="66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22.5" customHeight="1" x14ac:dyDescent="0.3">
      <c r="A22" s="6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6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customHeight="1" x14ac:dyDescent="0.3">
      <c r="A23" s="114"/>
      <c r="B23" s="56">
        <v>42812</v>
      </c>
      <c r="C23" s="52" t="s">
        <v>77</v>
      </c>
      <c r="D23" s="269"/>
      <c r="E23" s="270" t="str">
        <f>+'GRUPOS INFANTIL'!D9</f>
        <v>CLUB CAMPESTRE IBAGUE</v>
      </c>
      <c r="F23" s="323" t="str">
        <f>IF(AND(G23&lt;&gt;"",I23&lt;&gt;""),IF(G23=I23,"E",IF(G23&gt;I23,"G","P")),"")</f>
        <v>G</v>
      </c>
      <c r="G23" s="272">
        <v>3</v>
      </c>
      <c r="H23" s="324" t="s">
        <v>15</v>
      </c>
      <c r="I23" s="272">
        <v>1</v>
      </c>
      <c r="J23" s="325" t="str">
        <f>IF(AND(I23&lt;&gt;"",G23&lt;&gt;""),IF(I23=G23,"E",IF(I23&gt;G23,"G","P")),"")</f>
        <v>P</v>
      </c>
      <c r="K23" s="270" t="str">
        <f>+'GRUPOS INFANTIL'!F9</f>
        <v>CENTAUROS DEL ARIARI</v>
      </c>
      <c r="L23" s="275"/>
      <c r="M23" s="112" t="s">
        <v>38</v>
      </c>
      <c r="N23" s="114"/>
      <c r="O23" s="67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customHeight="1" x14ac:dyDescent="0.3">
      <c r="A24" s="65"/>
      <c r="B24" s="56"/>
      <c r="C24" s="52"/>
      <c r="D24" s="269"/>
      <c r="E24" s="270"/>
      <c r="F24" s="323"/>
      <c r="G24" s="273"/>
      <c r="H24" s="324"/>
      <c r="I24" s="273"/>
      <c r="J24" s="325"/>
      <c r="K24" s="270"/>
      <c r="L24" s="275"/>
      <c r="M24" s="54"/>
      <c r="N24" s="70"/>
      <c r="O24" s="66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22.5" customHeight="1" x14ac:dyDescent="0.3">
      <c r="A25" s="6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66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" customHeight="1" x14ac:dyDescent="0.3">
      <c r="A26" s="113"/>
      <c r="B26" s="55">
        <v>42813</v>
      </c>
      <c r="C26" s="51" t="s">
        <v>104</v>
      </c>
      <c r="D26" s="286"/>
      <c r="E26" s="287" t="str">
        <f>+'GRUPOS INFANTIL'!D7</f>
        <v>ESCUELA DEPORTIVA FÚTBOL RAQUIRA</v>
      </c>
      <c r="F26" s="323" t="str">
        <f>IF(AND(G26&lt;&gt;"",I26&lt;&gt;""),IF(G26=I26,"E",IF(G26&gt;I26,"G","P")),"")</f>
        <v>P</v>
      </c>
      <c r="G26" s="272">
        <v>2</v>
      </c>
      <c r="H26" s="324" t="s">
        <v>15</v>
      </c>
      <c r="I26" s="272">
        <v>6</v>
      </c>
      <c r="J26" s="325" t="str">
        <f>IF(AND(I26&lt;&gt;"",G26&lt;&gt;""),IF(I26=G26,"E",IF(I26&gt;G26,"G","P")),"")</f>
        <v>G</v>
      </c>
      <c r="K26" s="287" t="str">
        <f>+'GRUPOS INFANTIL'!D9</f>
        <v>CLUB CAMPESTRE IBAGUE</v>
      </c>
      <c r="L26" s="288"/>
      <c r="M26" s="111" t="s">
        <v>37</v>
      </c>
      <c r="N26" s="113"/>
      <c r="O26" s="67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" customHeight="1" x14ac:dyDescent="0.3">
      <c r="A27" s="65"/>
      <c r="B27" s="55"/>
      <c r="C27" s="51"/>
      <c r="D27" s="286"/>
      <c r="E27" s="287"/>
      <c r="F27" s="323"/>
      <c r="G27" s="273"/>
      <c r="H27" s="324"/>
      <c r="I27" s="273"/>
      <c r="J27" s="325"/>
      <c r="K27" s="287"/>
      <c r="L27" s="288"/>
      <c r="M27" s="53"/>
      <c r="N27" s="70"/>
      <c r="O27" s="66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22.5" customHeigh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66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" customHeight="1" x14ac:dyDescent="0.3">
      <c r="A29" s="114"/>
      <c r="B29" s="56">
        <v>42813</v>
      </c>
      <c r="C29" s="52" t="s">
        <v>105</v>
      </c>
      <c r="D29" s="269"/>
      <c r="E29" s="270" t="str">
        <f>+'GRUPOS INFANTIL'!D8</f>
        <v>TEMPLO DEL FÚTBOL</v>
      </c>
      <c r="F29" s="323" t="str">
        <f>IF(AND(G29&lt;&gt;"",I29&lt;&gt;""),IF(G29=I29,"E",IF(G29&gt;I29,"G","P")),"")</f>
        <v>G</v>
      </c>
      <c r="G29" s="272">
        <v>6</v>
      </c>
      <c r="H29" s="324" t="s">
        <v>15</v>
      </c>
      <c r="I29" s="272">
        <v>1</v>
      </c>
      <c r="J29" s="325" t="str">
        <f>IF(AND(I29&lt;&gt;"",G29&lt;&gt;""),IF(I29=G29,"E",IF(I29&gt;G29,"G","P")),"")</f>
        <v>P</v>
      </c>
      <c r="K29" s="270" t="str">
        <f>+'GRUPOS INFANTIL'!F8</f>
        <v>EIFD TESOROS SPORTS</v>
      </c>
      <c r="L29" s="275"/>
      <c r="M29" s="112" t="s">
        <v>37</v>
      </c>
      <c r="N29" s="114"/>
      <c r="O29" s="67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" customHeight="1" x14ac:dyDescent="0.3">
      <c r="A30" s="65"/>
      <c r="B30" s="56"/>
      <c r="C30" s="52"/>
      <c r="D30" s="269"/>
      <c r="E30" s="270"/>
      <c r="F30" s="323"/>
      <c r="G30" s="273"/>
      <c r="H30" s="324"/>
      <c r="I30" s="273"/>
      <c r="J30" s="325"/>
      <c r="K30" s="270"/>
      <c r="L30" s="275"/>
      <c r="M30" s="54"/>
      <c r="N30" s="70"/>
      <c r="O30" s="66"/>
      <c r="P30" s="19"/>
      <c r="Q30" s="20"/>
      <c r="R30" s="20"/>
      <c r="S30" s="21"/>
      <c r="T30" s="21"/>
      <c r="U30" s="21"/>
      <c r="V30" s="21"/>
      <c r="W30" s="21"/>
      <c r="X30" s="21"/>
      <c r="Y30" s="21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15"/>
    </row>
    <row r="31" spans="1:38" ht="22.5" customHeight="1" x14ac:dyDescent="0.3">
      <c r="A31" s="6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6"/>
      <c r="P31" s="23"/>
      <c r="Q31" s="20"/>
      <c r="R31" s="20"/>
      <c r="S31" s="21"/>
      <c r="T31" s="21"/>
      <c r="U31" s="21"/>
      <c r="V31" s="21"/>
      <c r="W31" s="21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15"/>
    </row>
    <row r="32" spans="1:38" ht="15" customHeight="1" x14ac:dyDescent="0.3">
      <c r="A32" s="113"/>
      <c r="B32" s="55">
        <v>42813</v>
      </c>
      <c r="C32" s="51" t="s">
        <v>109</v>
      </c>
      <c r="D32" s="286"/>
      <c r="E32" s="287" t="str">
        <f>+'GRUPOS INFANTIL'!D7</f>
        <v>ESCUELA DEPORTIVA FÚTBOL RAQUIRA</v>
      </c>
      <c r="F32" s="271" t="str">
        <f>IF(AND(G32&lt;&gt;"",I32&lt;&gt;""),IF(G32=I32,"E",IF(G32&gt;I32,"G","P")),"")</f>
        <v>P</v>
      </c>
      <c r="G32" s="272">
        <v>0</v>
      </c>
      <c r="H32" s="274" t="s">
        <v>15</v>
      </c>
      <c r="I32" s="272">
        <v>1</v>
      </c>
      <c r="J32" s="271" t="str">
        <f>IF(AND(I32&lt;&gt;"",G32&lt;&gt;""),IF(I32=G32,"E",IF(I32&gt;G32,"G","P")),"")</f>
        <v>G</v>
      </c>
      <c r="K32" s="287" t="str">
        <f>+'GRUPOS INFANTIL'!F7</f>
        <v>BLUEMARTIN F.C .</v>
      </c>
      <c r="L32" s="288"/>
      <c r="M32" s="111" t="s">
        <v>37</v>
      </c>
      <c r="N32" s="113"/>
      <c r="O32" s="67"/>
      <c r="P32" s="19"/>
      <c r="Q32" s="20"/>
      <c r="R32" s="20"/>
      <c r="S32" s="21"/>
      <c r="T32" s="21"/>
      <c r="U32" s="21"/>
      <c r="V32" s="21"/>
      <c r="W32" s="21"/>
      <c r="X32" s="21"/>
      <c r="Y32" s="21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15"/>
    </row>
    <row r="33" spans="1:38" ht="15" customHeight="1" x14ac:dyDescent="0.3">
      <c r="A33" s="65"/>
      <c r="B33" s="55"/>
      <c r="C33" s="51"/>
      <c r="D33" s="286"/>
      <c r="E33" s="287"/>
      <c r="F33" s="271"/>
      <c r="G33" s="273"/>
      <c r="H33" s="274"/>
      <c r="I33" s="273"/>
      <c r="J33" s="271"/>
      <c r="K33" s="287"/>
      <c r="L33" s="288"/>
      <c r="M33" s="53"/>
      <c r="N33" s="70"/>
      <c r="O33" s="66"/>
      <c r="P33" s="329"/>
      <c r="Q33" s="329"/>
      <c r="R33" s="329"/>
      <c r="S33" s="329"/>
      <c r="T33" s="329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</row>
    <row r="34" spans="1:38" ht="22.5" customHeight="1" x14ac:dyDescent="0.3">
      <c r="A34" s="6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66"/>
      <c r="P34" s="15"/>
      <c r="Q34" s="15"/>
      <c r="R34" s="15"/>
      <c r="S34" s="15"/>
      <c r="T34" s="15"/>
      <c r="U34" s="15"/>
      <c r="V34" s="15"/>
      <c r="W34" s="27" t="str">
        <f>IF(AJ8=1,IF(P33="","",P33),IF(SUM(Q10:Q17)&gt;0,VLOOKUP(1,Z10:AA17,2,0),""))</f>
        <v>TEMPLO DEL FÚTBOL</v>
      </c>
      <c r="X34" s="15"/>
      <c r="Y34" s="15"/>
      <c r="Z34" s="15"/>
      <c r="AA34" s="15"/>
      <c r="AB34" s="15"/>
      <c r="AC34" s="22"/>
      <c r="AD34" s="22"/>
      <c r="AE34" s="22"/>
      <c r="AF34" s="22"/>
      <c r="AG34" s="22"/>
      <c r="AH34" s="22"/>
      <c r="AI34" s="15"/>
      <c r="AJ34" s="22"/>
      <c r="AK34" s="22"/>
      <c r="AL34" s="15"/>
    </row>
    <row r="35" spans="1:38" ht="15" customHeight="1" x14ac:dyDescent="0.3">
      <c r="A35" s="114"/>
      <c r="B35" s="56">
        <v>42813</v>
      </c>
      <c r="C35" s="52" t="s">
        <v>108</v>
      </c>
      <c r="D35" s="269"/>
      <c r="E35" s="270" t="str">
        <f>+'GRUPOS INFANTIL'!D8</f>
        <v>TEMPLO DEL FÚTBOL</v>
      </c>
      <c r="F35" s="271" t="str">
        <f>IF(AND(G35&lt;&gt;"",I35&lt;&gt;""),IF(G35=I35,"E",IF(G35&gt;I35,"G","P")),"")</f>
        <v>E</v>
      </c>
      <c r="G35" s="272">
        <v>0</v>
      </c>
      <c r="H35" s="274" t="s">
        <v>15</v>
      </c>
      <c r="I35" s="272">
        <v>0</v>
      </c>
      <c r="J35" s="271" t="str">
        <f>IF(AND(I35&lt;&gt;"",G35&lt;&gt;""),IF(I35=G35,"E",IF(I35&gt;G35,"G","P")),"")</f>
        <v>E</v>
      </c>
      <c r="K35" s="270" t="str">
        <f>+'GRUPOS INFANTIL'!D9</f>
        <v>CLUB CAMPESTRE IBAGUE</v>
      </c>
      <c r="L35" s="275"/>
      <c r="M35" s="112" t="s">
        <v>38</v>
      </c>
      <c r="N35" s="114"/>
      <c r="O35" s="67"/>
      <c r="P35" s="15"/>
      <c r="Q35" s="15"/>
      <c r="R35" s="15"/>
      <c r="S35" s="15"/>
      <c r="T35" s="15"/>
      <c r="U35" s="15"/>
      <c r="V35" s="15"/>
      <c r="W35" s="27" t="str">
        <f>IF(AJ8=1,IF(P36="","",P36),IF(SUM(Q10:Q17)&gt;0,VLOOKUP(2,Z10:AA17,2,0),""))</f>
        <v>CLUB CAMPESTRE IBAGUE</v>
      </c>
      <c r="X35" s="15"/>
      <c r="Y35" s="15"/>
      <c r="Z35" s="15"/>
      <c r="AA35" s="15"/>
      <c r="AB35" s="15"/>
      <c r="AC35" s="22"/>
      <c r="AD35" s="22"/>
      <c r="AE35" s="22"/>
      <c r="AF35" s="22"/>
      <c r="AG35" s="22"/>
      <c r="AH35" s="22"/>
      <c r="AI35" s="15"/>
      <c r="AJ35" s="22"/>
      <c r="AK35" s="22"/>
      <c r="AL35" s="15"/>
    </row>
    <row r="36" spans="1:38" ht="15" customHeight="1" x14ac:dyDescent="0.3">
      <c r="A36" s="65"/>
      <c r="B36" s="56"/>
      <c r="C36" s="52"/>
      <c r="D36" s="269"/>
      <c r="E36" s="270"/>
      <c r="F36" s="271"/>
      <c r="G36" s="273"/>
      <c r="H36" s="274"/>
      <c r="I36" s="273"/>
      <c r="J36" s="271"/>
      <c r="K36" s="270"/>
      <c r="L36" s="275"/>
      <c r="M36" s="54"/>
      <c r="N36" s="66"/>
      <c r="O36" s="66"/>
      <c r="P36" s="329"/>
      <c r="Q36" s="329"/>
      <c r="R36" s="329"/>
      <c r="S36" s="329"/>
      <c r="T36" s="329"/>
      <c r="U36" s="15"/>
      <c r="V36" s="15"/>
      <c r="W36" s="15"/>
      <c r="X36" s="15"/>
      <c r="Y36" s="15"/>
      <c r="Z36" s="15"/>
      <c r="AA36" s="15"/>
      <c r="AB36" s="15"/>
      <c r="AC36" s="22"/>
      <c r="AD36" s="22"/>
      <c r="AE36" s="22"/>
      <c r="AF36" s="22"/>
      <c r="AG36" s="22"/>
      <c r="AH36" s="22"/>
      <c r="AI36" s="15"/>
      <c r="AJ36" s="22"/>
      <c r="AK36" s="22"/>
      <c r="AL36" s="15"/>
    </row>
    <row r="37" spans="1:38" x14ac:dyDescent="0.3">
      <c r="A37" s="6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9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</row>
    <row r="38" spans="1:38" x14ac:dyDescent="0.3">
      <c r="A38" s="66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</row>
    <row r="39" spans="1:38" x14ac:dyDescent="0.3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7"/>
      <c r="R39" s="17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</row>
    <row r="40" spans="1:38" x14ac:dyDescent="0.3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</row>
    <row r="41" spans="1:38" x14ac:dyDescent="0.3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 spans="1:38" x14ac:dyDescent="0.3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</row>
    <row r="43" spans="1:38" x14ac:dyDescent="0.3">
      <c r="B43" s="15"/>
      <c r="C43" s="15"/>
      <c r="D43" s="15"/>
      <c r="E43" s="15"/>
      <c r="F43" s="15"/>
      <c r="G43" s="15"/>
      <c r="H43" s="15"/>
      <c r="I43" s="15"/>
      <c r="J43" s="25" t="str">
        <f>IF(AG8=1,"Indique el primero y segundo equipos clasificados de la serie:","")</f>
        <v/>
      </c>
      <c r="K43" s="15"/>
      <c r="L43" s="25" t="str">
        <f>IF(AG8=1,"Primero:","")</f>
        <v/>
      </c>
      <c r="M43" s="15"/>
      <c r="N43" s="24"/>
      <c r="O43" s="24"/>
      <c r="P43" s="24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 spans="1:38" x14ac:dyDescent="0.3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2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</row>
    <row r="45" spans="1:38" x14ac:dyDescent="0.3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2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</row>
    <row r="46" spans="1:38" x14ac:dyDescent="0.3">
      <c r="B46" s="15"/>
      <c r="C46" s="15"/>
      <c r="D46" s="15"/>
      <c r="E46" s="15"/>
      <c r="F46" s="15"/>
      <c r="G46" s="15"/>
      <c r="H46" s="15"/>
      <c r="I46" s="15"/>
      <c r="J46" s="26" t="str">
        <f>IF(AG8=1,"(Debido a la paridad de los resultados, no pueden deducirse de forma automática.)","")</f>
        <v/>
      </c>
      <c r="K46" s="15"/>
      <c r="L46" s="25" t="str">
        <f>IF(AG8=1,"Segundo:","")</f>
        <v/>
      </c>
      <c r="M46" s="15"/>
      <c r="N46" s="24"/>
      <c r="O46" s="24"/>
      <c r="P46" s="24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58" spans="16:20" x14ac:dyDescent="0.3">
      <c r="P58" s="133" t="str">
        <f>+'GRUPOS INFANTIL'!D7</f>
        <v>ESCUELA DEPORTIVA FÚTBOL RAQUIRA</v>
      </c>
      <c r="Q58" s="133" t="str">
        <f>+F20</f>
        <v>P</v>
      </c>
      <c r="R58" s="133" t="str">
        <f>+J8</f>
        <v/>
      </c>
      <c r="S58" s="133" t="str">
        <f>+F26</f>
        <v>P</v>
      </c>
      <c r="T58" s="133" t="str">
        <f>+F32</f>
        <v>P</v>
      </c>
    </row>
    <row r="59" spans="16:20" x14ac:dyDescent="0.3">
      <c r="P59" s="133" t="str">
        <f>+'GRUPOS INFANTIL'!D8</f>
        <v>TEMPLO DEL FÚTBOL</v>
      </c>
      <c r="Q59" s="133" t="str">
        <f>+J20</f>
        <v>G</v>
      </c>
      <c r="R59" s="133" t="str">
        <f>+J11</f>
        <v/>
      </c>
      <c r="S59" s="133" t="str">
        <f>+F29</f>
        <v>G</v>
      </c>
      <c r="T59" s="133" t="str">
        <f>+F35</f>
        <v>E</v>
      </c>
    </row>
    <row r="60" spans="16:20" x14ac:dyDescent="0.3">
      <c r="P60" s="133" t="str">
        <f>+'GRUPOS INFANTIL'!D9</f>
        <v>CLUB CAMPESTRE IBAGUE</v>
      </c>
      <c r="Q60" s="133" t="str">
        <f>+F23</f>
        <v>G</v>
      </c>
      <c r="R60" s="133" t="str">
        <f>+J14</f>
        <v/>
      </c>
      <c r="S60" s="133" t="str">
        <f>+J26</f>
        <v>G</v>
      </c>
      <c r="T60" s="133" t="str">
        <f>+J35</f>
        <v>E</v>
      </c>
    </row>
    <row r="61" spans="16:20" x14ac:dyDescent="0.3">
      <c r="P61" s="133">
        <f>+'GRUPOS INFANTIL'!D10</f>
        <v>0</v>
      </c>
      <c r="Q61" s="133" t="str">
        <f>+J23</f>
        <v>P</v>
      </c>
      <c r="R61" s="133" t="str">
        <f>+J17</f>
        <v/>
      </c>
      <c r="S61" s="133" t="str">
        <f>+J29</f>
        <v>P</v>
      </c>
      <c r="T61" s="133" t="str">
        <f>+J32</f>
        <v>G</v>
      </c>
    </row>
  </sheetData>
  <mergeCells count="184">
    <mergeCell ref="A2:N2"/>
    <mergeCell ref="B3:E3"/>
    <mergeCell ref="P6:Y6"/>
    <mergeCell ref="E20:E21"/>
    <mergeCell ref="E23:E24"/>
    <mergeCell ref="E26:E27"/>
    <mergeCell ref="E29:E30"/>
    <mergeCell ref="E32:E33"/>
    <mergeCell ref="B6:M6"/>
    <mergeCell ref="D20:D21"/>
    <mergeCell ref="D32:D33"/>
    <mergeCell ref="D29:D30"/>
    <mergeCell ref="F3:K3"/>
    <mergeCell ref="B4:M5"/>
    <mergeCell ref="F20:F21"/>
    <mergeCell ref="G20:G21"/>
    <mergeCell ref="H20:H21"/>
    <mergeCell ref="F32:F33"/>
    <mergeCell ref="G32:G33"/>
    <mergeCell ref="F29:F30"/>
    <mergeCell ref="G29:G30"/>
    <mergeCell ref="I20:I21"/>
    <mergeCell ref="R14:R15"/>
    <mergeCell ref="D26:D27"/>
    <mergeCell ref="A1:N1"/>
    <mergeCell ref="H35:H36"/>
    <mergeCell ref="I35:I36"/>
    <mergeCell ref="K20:K21"/>
    <mergeCell ref="K23:K24"/>
    <mergeCell ref="K26:K27"/>
    <mergeCell ref="K29:K30"/>
    <mergeCell ref="K32:K33"/>
    <mergeCell ref="Y14:Y15"/>
    <mergeCell ref="J20:J21"/>
    <mergeCell ref="L20:L21"/>
    <mergeCell ref="P8:P9"/>
    <mergeCell ref="U14:U15"/>
    <mergeCell ref="V14:V15"/>
    <mergeCell ref="J35:J36"/>
    <mergeCell ref="L35:L36"/>
    <mergeCell ref="D35:D36"/>
    <mergeCell ref="F35:F36"/>
    <mergeCell ref="G35:G36"/>
    <mergeCell ref="P36:T36"/>
    <mergeCell ref="R8:R9"/>
    <mergeCell ref="R10:R11"/>
    <mergeCell ref="R12:R13"/>
    <mergeCell ref="P14:P15"/>
    <mergeCell ref="AF8:AF9"/>
    <mergeCell ref="AG8:AG9"/>
    <mergeCell ref="AH8:AH9"/>
    <mergeCell ref="AJ8:AJ9"/>
    <mergeCell ref="P10:P11"/>
    <mergeCell ref="Q10:Q11"/>
    <mergeCell ref="S10:S11"/>
    <mergeCell ref="T10:T11"/>
    <mergeCell ref="U10:U11"/>
    <mergeCell ref="V10:V11"/>
    <mergeCell ref="X8:X9"/>
    <mergeCell ref="Z8:Z9"/>
    <mergeCell ref="AB8:AB9"/>
    <mergeCell ref="AC8:AC9"/>
    <mergeCell ref="AD8:AD9"/>
    <mergeCell ref="AE8:AE9"/>
    <mergeCell ref="Q8:Q9"/>
    <mergeCell ref="S8:S9"/>
    <mergeCell ref="T8:T9"/>
    <mergeCell ref="U8:U9"/>
    <mergeCell ref="V8:V9"/>
    <mergeCell ref="W8:W9"/>
    <mergeCell ref="AI10:AI11"/>
    <mergeCell ref="Y8:Y9"/>
    <mergeCell ref="AK10:AK11"/>
    <mergeCell ref="D23:D24"/>
    <mergeCell ref="F23:F24"/>
    <mergeCell ref="G23:G24"/>
    <mergeCell ref="H23:H24"/>
    <mergeCell ref="I23:I24"/>
    <mergeCell ref="J23:J24"/>
    <mergeCell ref="AD10:AD11"/>
    <mergeCell ref="AE10:AE11"/>
    <mergeCell ref="AF10:AF11"/>
    <mergeCell ref="AG10:AG11"/>
    <mergeCell ref="AH10:AH11"/>
    <mergeCell ref="AJ10:AJ11"/>
    <mergeCell ref="W10:W11"/>
    <mergeCell ref="X10:X11"/>
    <mergeCell ref="Z10:Z11"/>
    <mergeCell ref="AA10:AA11"/>
    <mergeCell ref="AB10:AB11"/>
    <mergeCell ref="AC10:AC11"/>
    <mergeCell ref="AK12:AK13"/>
    <mergeCell ref="AD12:AD13"/>
    <mergeCell ref="AE12:AE13"/>
    <mergeCell ref="AF12:AF13"/>
    <mergeCell ref="AG12:AG13"/>
    <mergeCell ref="AK14:AK15"/>
    <mergeCell ref="AD14:AD15"/>
    <mergeCell ref="AE14:AE15"/>
    <mergeCell ref="AF14:AF15"/>
    <mergeCell ref="AG14:AG15"/>
    <mergeCell ref="AH14:AH15"/>
    <mergeCell ref="AJ14:AJ15"/>
    <mergeCell ref="W14:W15"/>
    <mergeCell ref="AB14:AB15"/>
    <mergeCell ref="AC14:AC15"/>
    <mergeCell ref="X14:X15"/>
    <mergeCell ref="Z14:Z15"/>
    <mergeCell ref="AA14:AA15"/>
    <mergeCell ref="AI14:AI15"/>
    <mergeCell ref="Y10:Y11"/>
    <mergeCell ref="Y12:Y13"/>
    <mergeCell ref="AH12:AH13"/>
    <mergeCell ref="AJ12:AJ13"/>
    <mergeCell ref="S12:S13"/>
    <mergeCell ref="AA12:AA13"/>
    <mergeCell ref="AB12:AB13"/>
    <mergeCell ref="AC12:AC13"/>
    <mergeCell ref="T12:T13"/>
    <mergeCell ref="U12:U13"/>
    <mergeCell ref="V12:V13"/>
    <mergeCell ref="W12:W13"/>
    <mergeCell ref="X12:X13"/>
    <mergeCell ref="Z12:Z13"/>
    <mergeCell ref="S14:S15"/>
    <mergeCell ref="T14:T15"/>
    <mergeCell ref="AI12:AI13"/>
    <mergeCell ref="P12:P13"/>
    <mergeCell ref="Q12:Q13"/>
    <mergeCell ref="H32:H33"/>
    <mergeCell ref="I32:I33"/>
    <mergeCell ref="J32:J33"/>
    <mergeCell ref="L32:L33"/>
    <mergeCell ref="H29:H30"/>
    <mergeCell ref="I29:I30"/>
    <mergeCell ref="J29:J30"/>
    <mergeCell ref="L29:L30"/>
    <mergeCell ref="P33:T33"/>
    <mergeCell ref="Q14:Q15"/>
    <mergeCell ref="E35:E36"/>
    <mergeCell ref="K35:K36"/>
    <mergeCell ref="F26:F27"/>
    <mergeCell ref="G26:G27"/>
    <mergeCell ref="H26:H27"/>
    <mergeCell ref="I26:I27"/>
    <mergeCell ref="J26:J27"/>
    <mergeCell ref="L26:L27"/>
    <mergeCell ref="L23:L24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</mergeCells>
  <conditionalFormatting sqref="G20:G21">
    <cfRule type="expression" dxfId="398" priority="60" stopIfTrue="1">
      <formula>F20="G"</formula>
    </cfRule>
    <cfRule type="expression" dxfId="397" priority="58" stopIfTrue="1">
      <formula>F20="P"</formula>
    </cfRule>
    <cfRule type="expression" dxfId="396" priority="59" stopIfTrue="1">
      <formula>F20="E"</formula>
    </cfRule>
  </conditionalFormatting>
  <conditionalFormatting sqref="G23:G24">
    <cfRule type="expression" dxfId="395" priority="37" stopIfTrue="1">
      <formula>F23="P"</formula>
    </cfRule>
    <cfRule type="expression" dxfId="394" priority="38" stopIfTrue="1">
      <formula>F23="E"</formula>
    </cfRule>
    <cfRule type="expression" dxfId="393" priority="39" stopIfTrue="1">
      <formula>F23="G"</formula>
    </cfRule>
  </conditionalFormatting>
  <conditionalFormatting sqref="G26:G27">
    <cfRule type="expression" dxfId="392" priority="34" stopIfTrue="1">
      <formula>F26="P"</formula>
    </cfRule>
    <cfRule type="expression" dxfId="391" priority="35" stopIfTrue="1">
      <formula>F26="E"</formula>
    </cfRule>
    <cfRule type="expression" dxfId="390" priority="36" stopIfTrue="1">
      <formula>F26="G"</formula>
    </cfRule>
  </conditionalFormatting>
  <conditionalFormatting sqref="G29:G30">
    <cfRule type="expression" dxfId="389" priority="31" stopIfTrue="1">
      <formula>F29="P"</formula>
    </cfRule>
    <cfRule type="expression" dxfId="388" priority="32" stopIfTrue="1">
      <formula>F29="E"</formula>
    </cfRule>
    <cfRule type="expression" dxfId="387" priority="33" stopIfTrue="1">
      <formula>F29="G"</formula>
    </cfRule>
  </conditionalFormatting>
  <conditionalFormatting sqref="G32:G33">
    <cfRule type="expression" dxfId="386" priority="29" stopIfTrue="1">
      <formula>F32="E"</formula>
    </cfRule>
    <cfRule type="expression" dxfId="385" priority="28" stopIfTrue="1">
      <formula>F32="P"</formula>
    </cfRule>
    <cfRule type="expression" dxfId="384" priority="30" stopIfTrue="1">
      <formula>F32="G"</formula>
    </cfRule>
  </conditionalFormatting>
  <conditionalFormatting sqref="G35:G36">
    <cfRule type="expression" dxfId="383" priority="25" stopIfTrue="1">
      <formula>F35="P"</formula>
    </cfRule>
    <cfRule type="expression" dxfId="382" priority="26" stopIfTrue="1">
      <formula>F35="E"</formula>
    </cfRule>
    <cfRule type="expression" dxfId="381" priority="27" stopIfTrue="1">
      <formula>F35="G"</formula>
    </cfRule>
  </conditionalFormatting>
  <conditionalFormatting sqref="I20:I21">
    <cfRule type="expression" dxfId="377" priority="45" stopIfTrue="1">
      <formula>J20="G"</formula>
    </cfRule>
    <cfRule type="expression" dxfId="376" priority="43" stopIfTrue="1">
      <formula>J20="P"</formula>
    </cfRule>
    <cfRule type="expression" dxfId="375" priority="44" stopIfTrue="1">
      <formula>J20="E"</formula>
    </cfRule>
  </conditionalFormatting>
  <conditionalFormatting sqref="I23:I24">
    <cfRule type="expression" dxfId="374" priority="46" stopIfTrue="1">
      <formula>J23="P"</formula>
    </cfRule>
    <cfRule type="expression" dxfId="373" priority="47" stopIfTrue="1">
      <formula>J23="E"</formula>
    </cfRule>
    <cfRule type="expression" dxfId="372" priority="48" stopIfTrue="1">
      <formula>J23="G"</formula>
    </cfRule>
  </conditionalFormatting>
  <conditionalFormatting sqref="I26:I27">
    <cfRule type="expression" dxfId="371" priority="49" stopIfTrue="1">
      <formula>J26="P"</formula>
    </cfRule>
    <cfRule type="expression" dxfId="370" priority="51" stopIfTrue="1">
      <formula>J26="G"</formula>
    </cfRule>
    <cfRule type="expression" dxfId="369" priority="50" stopIfTrue="1">
      <formula>J26="E"</formula>
    </cfRule>
  </conditionalFormatting>
  <conditionalFormatting sqref="I29:I30">
    <cfRule type="expression" dxfId="368" priority="52" stopIfTrue="1">
      <formula>J29="P"</formula>
    </cfRule>
    <cfRule type="expression" dxfId="367" priority="53" stopIfTrue="1">
      <formula>J29="E"</formula>
    </cfRule>
    <cfRule type="expression" dxfId="366" priority="54" stopIfTrue="1">
      <formula>J29="G"</formula>
    </cfRule>
  </conditionalFormatting>
  <conditionalFormatting sqref="I32:I33">
    <cfRule type="expression" dxfId="365" priority="56" stopIfTrue="1">
      <formula>J32="E"</formula>
    </cfRule>
    <cfRule type="expression" dxfId="364" priority="57" stopIfTrue="1">
      <formula>J32="G"</formula>
    </cfRule>
    <cfRule type="expression" dxfId="363" priority="55" stopIfTrue="1">
      <formula>J32="P"</formula>
    </cfRule>
  </conditionalFormatting>
  <conditionalFormatting sqref="I35:I36">
    <cfRule type="expression" dxfId="362" priority="41" stopIfTrue="1">
      <formula>J35="E"</formula>
    </cfRule>
    <cfRule type="expression" dxfId="361" priority="42" stopIfTrue="1">
      <formula>J35="G"</formula>
    </cfRule>
    <cfRule type="expression" dxfId="360" priority="40" stopIfTrue="1">
      <formula>J35="P"</formula>
    </cfRule>
  </conditionalFormatting>
  <printOptions verticalCentered="1"/>
  <pageMargins left="0" right="0" top="0" bottom="0" header="0" footer="0"/>
  <pageSetup scale="59" fitToWidth="0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stopIfTrue="1" id="{19A2E488-04C5-423F-88B9-6A943AA6F911}">
            <xm:f>'GRUPO A'!F8="G"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2" stopIfTrue="1" id="{309B8529-BA7D-47F9-AA5F-27AC3DA65151}">
            <xm:f>'GRUPO A'!F8="P"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3" stopIfTrue="1" id="{57F35943-77AE-43F7-8615-25812843FEE0}">
            <xm:f>'GRUPO A'!F8="E"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m:sqref>G8:G9 G11:G12 G14:G15 G17:G18</xm:sqref>
        </x14:conditionalFormatting>
        <x14:conditionalFormatting xmlns:xm="http://schemas.microsoft.com/office/excel/2006/main">
          <x14:cfRule type="expression" priority="20" stopIfTrue="1" id="{9A95B8E0-2A9B-49A9-9994-A997039ED989}">
            <xm:f>'GRUPO A'!J8="E"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21" stopIfTrue="1" id="{C35DAB74-E36C-45F7-B0D7-FBA388346475}">
            <xm:f>'GRUPO A'!J8="G"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9" stopIfTrue="1" id="{1D78732C-4160-48A9-9193-AB434CFC8D7B}">
            <xm:f>'GRUPO A'!J8="P"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I8:I9 I11:I12 I14:I15 I17:I18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P23"/>
  <sheetViews>
    <sheetView zoomScale="115" zoomScaleNormal="115" workbookViewId="0">
      <selection activeCell="G8" sqref="G8"/>
    </sheetView>
  </sheetViews>
  <sheetFormatPr baseColWidth="10" defaultRowHeight="14.4" x14ac:dyDescent="0.3"/>
  <cols>
    <col min="1" max="1" width="5.109375" customWidth="1"/>
    <col min="2" max="2" width="11.44140625" customWidth="1"/>
    <col min="3" max="3" width="10" customWidth="1"/>
    <col min="4" max="4" width="13.33203125" customWidth="1"/>
    <col min="5" max="5" width="8.5546875" hidden="1" customWidth="1"/>
    <col min="6" max="6" width="0" hidden="1" customWidth="1"/>
    <col min="7" max="7" width="25.33203125" customWidth="1"/>
    <col min="8" max="8" width="5.6640625" customWidth="1"/>
    <col min="9" max="9" width="7.109375" customWidth="1"/>
    <col min="10" max="10" width="5.6640625" customWidth="1"/>
    <col min="11" max="11" width="0" hidden="1" customWidth="1"/>
    <col min="12" max="12" width="25.33203125" customWidth="1"/>
    <col min="13" max="13" width="8.109375" hidden="1" customWidth="1"/>
    <col min="15" max="15" width="3.5546875" style="3" customWidth="1"/>
    <col min="16" max="16" width="25.33203125" customWidth="1"/>
    <col min="17" max="17" width="3" style="3" customWidth="1"/>
    <col min="18" max="94" width="11.44140625" style="3"/>
  </cols>
  <sheetData>
    <row r="1" spans="1:17" s="3" customFormat="1" ht="34.5" customHeight="1" x14ac:dyDescent="0.3">
      <c r="H1" s="313" t="s">
        <v>5</v>
      </c>
      <c r="I1" s="313"/>
      <c r="J1" s="313"/>
      <c r="K1" s="313"/>
      <c r="L1" s="313"/>
      <c r="M1" s="313"/>
      <c r="N1" s="313"/>
      <c r="O1" s="313"/>
      <c r="P1" s="313"/>
      <c r="Q1" s="45"/>
    </row>
    <row r="2" spans="1:17" s="3" customFormat="1" ht="38.25" customHeight="1" x14ac:dyDescent="0.3">
      <c r="B2" s="144" t="s">
        <v>43</v>
      </c>
      <c r="C2" s="145"/>
      <c r="D2" s="145"/>
      <c r="E2" s="145"/>
      <c r="F2" s="145"/>
      <c r="G2" s="145"/>
      <c r="H2" s="333" t="s">
        <v>6</v>
      </c>
      <c r="I2" s="333"/>
      <c r="J2" s="333"/>
      <c r="K2" s="333"/>
      <c r="L2" s="333"/>
      <c r="M2" s="333"/>
      <c r="N2" s="333"/>
      <c r="O2" s="333"/>
      <c r="P2" s="333"/>
      <c r="Q2" s="46"/>
    </row>
    <row r="3" spans="1:17" s="3" customFormat="1" ht="15" customHeight="1" x14ac:dyDescent="0.3">
      <c r="B3" s="146" t="s">
        <v>17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</row>
    <row r="4" spans="1:17" ht="21.75" customHeight="1" x14ac:dyDescent="0.45">
      <c r="A4" s="3"/>
      <c r="B4" s="334" t="s">
        <v>4</v>
      </c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5"/>
      <c r="O4" s="18"/>
      <c r="P4" s="16" t="s">
        <v>18</v>
      </c>
    </row>
    <row r="5" spans="1:17" ht="15" thickBot="1" x14ac:dyDescent="0.35">
      <c r="A5" s="3"/>
      <c r="B5" s="148"/>
      <c r="C5" s="148"/>
      <c r="D5" s="148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7" x14ac:dyDescent="0.3">
      <c r="A6" s="3"/>
      <c r="B6" s="336">
        <v>42596</v>
      </c>
      <c r="C6" s="338" t="s">
        <v>2</v>
      </c>
      <c r="D6" s="340" t="s">
        <v>78</v>
      </c>
      <c r="E6" s="149"/>
      <c r="F6" s="150" t="str">
        <f>IF(AND(H6&lt;&gt;"",J6&lt;&gt;""),IF(H6=J6,"E",IF(H6&gt;J6,"G","P")),"")</f>
        <v>P</v>
      </c>
      <c r="G6" s="342" t="e">
        <f>+'GRUPO A'!$W$34</f>
        <v>#N/A</v>
      </c>
      <c r="H6" s="272">
        <v>1</v>
      </c>
      <c r="I6" s="274" t="s">
        <v>15</v>
      </c>
      <c r="J6" s="272">
        <v>2</v>
      </c>
      <c r="K6" s="274" t="str">
        <f>IF(AND(J6&lt;&gt;"",H6&lt;&gt;""),IF(J6=H6,"E",IF(J6&gt;H6,"G","P")),"")</f>
        <v>G</v>
      </c>
      <c r="L6" s="349" t="e">
        <f>+#REF!</f>
        <v>#REF!</v>
      </c>
      <c r="M6" s="149"/>
      <c r="N6" s="352" t="s">
        <v>75</v>
      </c>
      <c r="P6" s="350" t="e">
        <f>IF(OR(F6="E",F6=""),"",IF(F6="G",G6,L6))</f>
        <v>#REF!</v>
      </c>
    </row>
    <row r="7" spans="1:17" ht="15" thickBot="1" x14ac:dyDescent="0.35">
      <c r="A7" s="3"/>
      <c r="B7" s="337"/>
      <c r="C7" s="339"/>
      <c r="D7" s="341"/>
      <c r="E7" s="149"/>
      <c r="F7" s="150"/>
      <c r="G7" s="342"/>
      <c r="H7" s="273"/>
      <c r="I7" s="274"/>
      <c r="J7" s="273"/>
      <c r="K7" s="274"/>
      <c r="L7" s="349"/>
      <c r="M7" s="149"/>
      <c r="N7" s="352"/>
      <c r="P7" s="351"/>
    </row>
    <row r="8" spans="1:17" ht="6.75" customHeight="1" thickBot="1" x14ac:dyDescent="0.35">
      <c r="A8" s="3"/>
      <c r="B8" s="151"/>
      <c r="C8" s="151"/>
      <c r="D8" s="152"/>
      <c r="E8" s="149"/>
      <c r="F8" s="13"/>
      <c r="G8" s="13"/>
      <c r="H8" s="13"/>
      <c r="I8" s="13"/>
      <c r="J8" s="13"/>
      <c r="K8" s="13"/>
      <c r="L8" s="149"/>
      <c r="M8" s="149"/>
      <c r="N8" s="153"/>
      <c r="P8" s="154"/>
    </row>
    <row r="9" spans="1:17" x14ac:dyDescent="0.3">
      <c r="A9" s="3"/>
      <c r="B9" s="343">
        <v>42596</v>
      </c>
      <c r="C9" s="345" t="s">
        <v>3</v>
      </c>
      <c r="D9" s="347" t="s">
        <v>79</v>
      </c>
      <c r="E9" s="149"/>
      <c r="F9" s="274" t="str">
        <f>IF(AND(H9&lt;&gt;"",J9&lt;&gt;""),IF(H9=J9,"E",IF(H9&gt;J9,"G","P")),"")</f>
        <v>G</v>
      </c>
      <c r="G9" s="349" t="str">
        <f>+'GRUPO B'!$W$34</f>
        <v>TEMPLO DEL FÚTBOL</v>
      </c>
      <c r="H9" s="272">
        <v>2</v>
      </c>
      <c r="I9" s="274" t="s">
        <v>15</v>
      </c>
      <c r="J9" s="272">
        <v>1</v>
      </c>
      <c r="K9" s="274" t="str">
        <f>IF(AND(J9&lt;&gt;"",H9&lt;&gt;""),IF(J9=H9,"E",IF(J9&gt;H9,"G","P")),"")</f>
        <v>P</v>
      </c>
      <c r="L9" s="349" t="e">
        <f>+#REF!</f>
        <v>#REF!</v>
      </c>
      <c r="M9" s="149"/>
      <c r="N9" s="352" t="s">
        <v>38</v>
      </c>
      <c r="P9" s="350" t="str">
        <f>IF(OR(F9="E",F9=""),"",IF(F9="G",G9,L9))</f>
        <v>TEMPLO DEL FÚTBOL</v>
      </c>
    </row>
    <row r="10" spans="1:17" ht="15" thickBot="1" x14ac:dyDescent="0.35">
      <c r="A10" s="3"/>
      <c r="B10" s="344"/>
      <c r="C10" s="346"/>
      <c r="D10" s="348"/>
      <c r="E10" s="149"/>
      <c r="F10" s="274"/>
      <c r="G10" s="349"/>
      <c r="H10" s="273"/>
      <c r="I10" s="274"/>
      <c r="J10" s="273"/>
      <c r="K10" s="274"/>
      <c r="L10" s="349"/>
      <c r="M10" s="149"/>
      <c r="N10" s="352"/>
      <c r="P10" s="351"/>
    </row>
    <row r="11" spans="1:17" ht="8.25" customHeight="1" thickBot="1" x14ac:dyDescent="0.35">
      <c r="A11" s="3"/>
      <c r="B11" s="155"/>
      <c r="C11" s="151"/>
      <c r="D11" s="152"/>
      <c r="E11" s="149"/>
      <c r="F11" s="13"/>
      <c r="G11" s="149"/>
      <c r="H11" s="13"/>
      <c r="I11" s="13"/>
      <c r="J11" s="13"/>
      <c r="K11" s="13"/>
      <c r="L11" s="149"/>
      <c r="M11" s="149"/>
      <c r="N11" s="153"/>
      <c r="P11" s="154"/>
    </row>
    <row r="12" spans="1:17" x14ac:dyDescent="0.3">
      <c r="A12" s="3"/>
      <c r="B12" s="336">
        <v>42596</v>
      </c>
      <c r="C12" s="338" t="s">
        <v>59</v>
      </c>
      <c r="D12" s="340" t="s">
        <v>78</v>
      </c>
      <c r="E12" s="149"/>
      <c r="F12" s="274" t="str">
        <f>IF(AND(H12&lt;&gt;"",J12&lt;&gt;""),IF(H12=J12,"E",IF(H12&gt;J12,"G","P")),"")</f>
        <v>P</v>
      </c>
      <c r="G12" s="349" t="e">
        <f>+#REF!</f>
        <v>#REF!</v>
      </c>
      <c r="H12" s="272">
        <v>1</v>
      </c>
      <c r="I12" s="274" t="s">
        <v>15</v>
      </c>
      <c r="J12" s="272">
        <v>2</v>
      </c>
      <c r="K12" s="274" t="str">
        <f>IF(AND(J12&lt;&gt;"",H12&lt;&gt;""),IF(J12=H12,"E",IF(J12&gt;H12,"G","P")),"")</f>
        <v>G</v>
      </c>
      <c r="L12" s="349" t="e">
        <f>+'GRUPO A'!$W$35</f>
        <v>#N/A</v>
      </c>
      <c r="M12" s="149"/>
      <c r="N12" s="352" t="s">
        <v>38</v>
      </c>
      <c r="P12" s="350" t="e">
        <f>IF(OR(F12="E",F12=""),"",IF(F12="G",G12,L12))</f>
        <v>#N/A</v>
      </c>
    </row>
    <row r="13" spans="1:17" ht="15" thickBot="1" x14ac:dyDescent="0.35">
      <c r="A13" s="3"/>
      <c r="B13" s="337"/>
      <c r="C13" s="339"/>
      <c r="D13" s="341"/>
      <c r="E13" s="149"/>
      <c r="F13" s="274"/>
      <c r="G13" s="349"/>
      <c r="H13" s="273"/>
      <c r="I13" s="274"/>
      <c r="J13" s="273"/>
      <c r="K13" s="274"/>
      <c r="L13" s="349"/>
      <c r="M13" s="149"/>
      <c r="N13" s="352"/>
      <c r="P13" s="351"/>
    </row>
    <row r="14" spans="1:17" ht="8.25" customHeight="1" thickBot="1" x14ac:dyDescent="0.35">
      <c r="A14" s="3"/>
      <c r="B14" s="155"/>
      <c r="C14" s="151"/>
      <c r="D14" s="152"/>
      <c r="E14" s="149"/>
      <c r="F14" s="13"/>
      <c r="G14" s="149"/>
      <c r="H14" s="13"/>
      <c r="I14" s="13"/>
      <c r="J14" s="13"/>
      <c r="K14" s="13"/>
      <c r="L14" s="149"/>
      <c r="M14" s="149"/>
      <c r="N14" s="153"/>
      <c r="P14" s="154"/>
    </row>
    <row r="15" spans="1:17" x14ac:dyDescent="0.3">
      <c r="A15" s="3"/>
      <c r="B15" s="343">
        <v>42596</v>
      </c>
      <c r="C15" s="345" t="s">
        <v>60</v>
      </c>
      <c r="D15" s="347" t="s">
        <v>79</v>
      </c>
      <c r="E15" s="149"/>
      <c r="F15" s="274" t="str">
        <f>IF(AND(H15&lt;&gt;"",J15&lt;&gt;""),IF(H15=J15,"E",IF(H15&gt;J15,"G","P")),"")</f>
        <v>G</v>
      </c>
      <c r="G15" s="349" t="e">
        <f>+#REF!</f>
        <v>#REF!</v>
      </c>
      <c r="H15" s="272">
        <v>2</v>
      </c>
      <c r="I15" s="274" t="s">
        <v>15</v>
      </c>
      <c r="J15" s="272">
        <v>1</v>
      </c>
      <c r="K15" s="274" t="str">
        <f>IF(AND(J15&lt;&gt;"",H15&lt;&gt;""),IF(J15=H15,"E",IF(J15&gt;H15,"G","P")),"")</f>
        <v>P</v>
      </c>
      <c r="L15" s="349" t="str">
        <f>+'GRUPO B'!W35</f>
        <v>CLUB CAMPESTRE IBAGUE</v>
      </c>
      <c r="M15" s="149"/>
      <c r="N15" s="352" t="s">
        <v>75</v>
      </c>
      <c r="P15" s="350" t="e">
        <f>IF(OR(F15="E",F15=""),"",IF(F15="G",G15,L15))</f>
        <v>#REF!</v>
      </c>
    </row>
    <row r="16" spans="1:17" ht="15" thickBot="1" x14ac:dyDescent="0.35">
      <c r="A16" s="3"/>
      <c r="B16" s="344"/>
      <c r="C16" s="346"/>
      <c r="D16" s="348"/>
      <c r="E16" s="149"/>
      <c r="F16" s="274"/>
      <c r="G16" s="349"/>
      <c r="H16" s="273"/>
      <c r="I16" s="274"/>
      <c r="J16" s="273"/>
      <c r="K16" s="274"/>
      <c r="L16" s="349"/>
      <c r="M16" s="10"/>
      <c r="N16" s="352"/>
      <c r="P16" s="351"/>
    </row>
    <row r="17" spans="2:7" s="3" customFormat="1" ht="7.5" customHeight="1" x14ac:dyDescent="0.3"/>
    <row r="18" spans="2:7" s="3" customFormat="1" x14ac:dyDescent="0.3">
      <c r="B18" s="353" t="str">
        <f>+'GRUPOS INFANTIL'!B3</f>
        <v>NACIDOS 2014 2015</v>
      </c>
      <c r="C18" s="353"/>
      <c r="D18" s="353"/>
      <c r="E18" s="353"/>
      <c r="F18" s="353"/>
      <c r="G18" s="353"/>
    </row>
    <row r="19" spans="2:7" s="3" customFormat="1" x14ac:dyDescent="0.3">
      <c r="B19" s="353"/>
      <c r="C19" s="353"/>
      <c r="D19" s="353"/>
      <c r="E19" s="353"/>
      <c r="F19" s="353"/>
      <c r="G19" s="353"/>
    </row>
    <row r="20" spans="2:7" s="3" customFormat="1" x14ac:dyDescent="0.3">
      <c r="B20" s="353"/>
      <c r="C20" s="353"/>
      <c r="D20" s="353"/>
      <c r="E20" s="353"/>
      <c r="F20" s="353"/>
      <c r="G20" s="353"/>
    </row>
    <row r="21" spans="2:7" s="3" customFormat="1" x14ac:dyDescent="0.3">
      <c r="B21" s="354" t="str">
        <f>+'GRUPOS INFANTIL'!B4</f>
        <v>SEPTIEMBRE 28 Y 29 DEL 2024</v>
      </c>
      <c r="C21" s="354"/>
      <c r="D21" s="354"/>
      <c r="E21" s="354"/>
      <c r="F21" s="354"/>
      <c r="G21" s="354"/>
    </row>
    <row r="22" spans="2:7" s="3" customFormat="1" x14ac:dyDescent="0.3">
      <c r="B22" s="354"/>
      <c r="C22" s="354"/>
      <c r="D22" s="354"/>
      <c r="E22" s="354"/>
      <c r="F22" s="354"/>
      <c r="G22" s="354"/>
    </row>
    <row r="23" spans="2:7" s="3" customFormat="1" x14ac:dyDescent="0.3"/>
  </sheetData>
  <mergeCells count="52">
    <mergeCell ref="B18:G20"/>
    <mergeCell ref="B21:G22"/>
    <mergeCell ref="I15:I16"/>
    <mergeCell ref="J15:J16"/>
    <mergeCell ref="K15:K16"/>
    <mergeCell ref="L15:L16"/>
    <mergeCell ref="N15:N16"/>
    <mergeCell ref="P15:P16"/>
    <mergeCell ref="B15:B16"/>
    <mergeCell ref="C15:C16"/>
    <mergeCell ref="D15:D16"/>
    <mergeCell ref="F15:F16"/>
    <mergeCell ref="G15:G16"/>
    <mergeCell ref="H15:H16"/>
    <mergeCell ref="P12:P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L12:L13"/>
    <mergeCell ref="N12:N13"/>
    <mergeCell ref="I9:I10"/>
    <mergeCell ref="J9:J10"/>
    <mergeCell ref="K9:K10"/>
    <mergeCell ref="L9:L10"/>
    <mergeCell ref="N9:N10"/>
    <mergeCell ref="P9:P10"/>
    <mergeCell ref="K6:K7"/>
    <mergeCell ref="L6:L7"/>
    <mergeCell ref="N6:N7"/>
    <mergeCell ref="P6:P7"/>
    <mergeCell ref="H9:H10"/>
    <mergeCell ref="H1:P1"/>
    <mergeCell ref="H2:P2"/>
    <mergeCell ref="B4:N4"/>
    <mergeCell ref="B6:B7"/>
    <mergeCell ref="C6:C7"/>
    <mergeCell ref="D6:D7"/>
    <mergeCell ref="G6:G7"/>
    <mergeCell ref="H6:H7"/>
    <mergeCell ref="I6:I7"/>
    <mergeCell ref="J6:J7"/>
    <mergeCell ref="B9:B10"/>
    <mergeCell ref="C9:C10"/>
    <mergeCell ref="D9:D10"/>
    <mergeCell ref="F9:F10"/>
    <mergeCell ref="G9:G10"/>
  </mergeCells>
  <conditionalFormatting sqref="H6:H7">
    <cfRule type="expression" dxfId="359" priority="22" stopIfTrue="1">
      <formula>F6="P"</formula>
    </cfRule>
    <cfRule type="expression" dxfId="358" priority="23" stopIfTrue="1">
      <formula>F6="E"</formula>
    </cfRule>
    <cfRule type="expression" dxfId="357" priority="24" stopIfTrue="1">
      <formula>F6="G"</formula>
    </cfRule>
  </conditionalFormatting>
  <conditionalFormatting sqref="H9:H10">
    <cfRule type="expression" dxfId="356" priority="7" stopIfTrue="1">
      <formula>F9="P"</formula>
    </cfRule>
    <cfRule type="expression" dxfId="355" priority="8" stopIfTrue="1">
      <formula>F9="E"</formula>
    </cfRule>
    <cfRule type="expression" dxfId="354" priority="9" stopIfTrue="1">
      <formula>F9="G"</formula>
    </cfRule>
  </conditionalFormatting>
  <conditionalFormatting sqref="H12:H13">
    <cfRule type="expression" dxfId="353" priority="4" stopIfTrue="1">
      <formula>F12="P"</formula>
    </cfRule>
    <cfRule type="expression" dxfId="352" priority="5" stopIfTrue="1">
      <formula>F12="E"</formula>
    </cfRule>
    <cfRule type="expression" dxfId="351" priority="6" stopIfTrue="1">
      <formula>F12="G"</formula>
    </cfRule>
  </conditionalFormatting>
  <conditionalFormatting sqref="H15:H16">
    <cfRule type="expression" dxfId="350" priority="1" stopIfTrue="1">
      <formula>F15="P"</formula>
    </cfRule>
    <cfRule type="expression" dxfId="349" priority="2" stopIfTrue="1">
      <formula>F15="E"</formula>
    </cfRule>
    <cfRule type="expression" dxfId="348" priority="3" stopIfTrue="1">
      <formula>F15="G"</formula>
    </cfRule>
  </conditionalFormatting>
  <conditionalFormatting sqref="J6:J7">
    <cfRule type="expression" dxfId="347" priority="10" stopIfTrue="1">
      <formula>K6="P"</formula>
    </cfRule>
    <cfRule type="expression" dxfId="346" priority="11" stopIfTrue="1">
      <formula>K6="E"</formula>
    </cfRule>
    <cfRule type="expression" dxfId="345" priority="12" stopIfTrue="1">
      <formula>K6="G"</formula>
    </cfRule>
  </conditionalFormatting>
  <conditionalFormatting sqref="J9:J10">
    <cfRule type="expression" dxfId="344" priority="13" stopIfTrue="1">
      <formula>K9="P"</formula>
    </cfRule>
    <cfRule type="expression" dxfId="343" priority="14" stopIfTrue="1">
      <formula>K9="E"</formula>
    </cfRule>
    <cfRule type="expression" dxfId="342" priority="15" stopIfTrue="1">
      <formula>K9="G"</formula>
    </cfRule>
  </conditionalFormatting>
  <conditionalFormatting sqref="J12:J13">
    <cfRule type="expression" dxfId="341" priority="16" stopIfTrue="1">
      <formula>K12="P"</formula>
    </cfRule>
    <cfRule type="expression" dxfId="340" priority="17" stopIfTrue="1">
      <formula>K12="E"</formula>
    </cfRule>
    <cfRule type="expression" dxfId="339" priority="18" stopIfTrue="1">
      <formula>K12="G"</formula>
    </cfRule>
  </conditionalFormatting>
  <conditionalFormatting sqref="J15:J16">
    <cfRule type="expression" dxfId="338" priority="19" stopIfTrue="1">
      <formula>K15="P"</formula>
    </cfRule>
    <cfRule type="expression" dxfId="337" priority="20" stopIfTrue="1">
      <formula>K15="E"</formula>
    </cfRule>
    <cfRule type="expression" dxfId="336" priority="21" stopIfTrue="1">
      <formula>K15="G"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landscape" r:id="rId1"/>
  <colBreaks count="1" manualBreakCount="1">
    <brk id="17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AL61"/>
  <sheetViews>
    <sheetView topLeftCell="A12" zoomScale="90" zoomScaleNormal="90" workbookViewId="0">
      <selection activeCell="K32" activeCellId="2" sqref="K20:K21 K29:K30 K32:K33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4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customWidth="1"/>
    <col min="16" max="16" width="28.5546875" customWidth="1"/>
    <col min="17" max="25" width="5.6640625" customWidth="1"/>
    <col min="26" max="37" width="11.44140625" customWidth="1"/>
    <col min="38" max="38" width="3.33203125" customWidth="1"/>
  </cols>
  <sheetData>
    <row r="1" spans="1:38" s="3" customFormat="1" ht="34.799999999999997" x14ac:dyDescent="0.3">
      <c r="A1" s="313" t="str">
        <f>+'GRUPOS INFANTIL'!B1</f>
        <v>XVIII Festival Nacional de Fútbol Infantil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</row>
    <row r="2" spans="1:38" s="3" customFormat="1" ht="24.6" x14ac:dyDescent="0.3">
      <c r="A2" s="314" t="s">
        <v>6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</row>
    <row r="3" spans="1:38" s="3" customFormat="1" ht="34.799999999999997" x14ac:dyDescent="0.65">
      <c r="B3" s="315" t="str">
        <f>+'GRUPOS INFANTIL'!B3</f>
        <v>NACIDOS 2014 2015</v>
      </c>
      <c r="C3" s="315"/>
      <c r="D3" s="315"/>
      <c r="E3" s="315"/>
      <c r="F3" s="263" t="str">
        <f>+'GRUPOS INFANTIL'!B4</f>
        <v>SEPTIEMBRE 28 Y 29 DEL 2024</v>
      </c>
      <c r="G3" s="263"/>
      <c r="H3" s="263"/>
      <c r="I3" s="263"/>
      <c r="J3" s="263"/>
      <c r="K3" s="263"/>
      <c r="Y3" s="45"/>
    </row>
    <row r="4" spans="1:38" s="3" customFormat="1" ht="30.75" customHeight="1" x14ac:dyDescent="0.3">
      <c r="B4" s="355" t="str">
        <f>+'GRUPOS INFANTIL'!F6</f>
        <v>GRUPO C</v>
      </c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Y4" s="46"/>
    </row>
    <row r="5" spans="1:38" s="3" customFormat="1" ht="15" customHeight="1" x14ac:dyDescent="0.3">
      <c r="B5" s="356"/>
      <c r="C5" s="356"/>
      <c r="D5" s="356"/>
      <c r="E5" s="356"/>
      <c r="F5" s="356"/>
      <c r="G5" s="356"/>
      <c r="H5" s="356"/>
      <c r="I5" s="356"/>
      <c r="J5" s="356"/>
      <c r="K5" s="356"/>
      <c r="L5" s="356"/>
      <c r="M5" s="356"/>
      <c r="N5" s="15"/>
      <c r="O5" s="15"/>
      <c r="S5" s="1"/>
    </row>
    <row r="6" spans="1:38" ht="21.75" customHeight="1" x14ac:dyDescent="0.45">
      <c r="A6" s="1"/>
      <c r="B6" s="319" t="s">
        <v>4</v>
      </c>
      <c r="C6" s="320"/>
      <c r="D6" s="320"/>
      <c r="E6" s="320"/>
      <c r="F6" s="320"/>
      <c r="G6" s="320"/>
      <c r="H6" s="320"/>
      <c r="I6" s="320"/>
      <c r="J6" s="320"/>
      <c r="K6" s="320"/>
      <c r="L6" s="320"/>
      <c r="M6" s="320"/>
      <c r="N6" s="18"/>
      <c r="O6" s="18"/>
      <c r="P6" s="316" t="s">
        <v>14</v>
      </c>
      <c r="Q6" s="317"/>
      <c r="R6" s="317"/>
      <c r="S6" s="317"/>
      <c r="T6" s="317"/>
      <c r="U6" s="317"/>
      <c r="V6" s="317"/>
      <c r="W6" s="317"/>
      <c r="X6" s="317"/>
      <c r="Y6" s="317"/>
      <c r="Z6" s="3"/>
      <c r="AA6" s="3"/>
      <c r="AB6" s="3"/>
      <c r="AC6" s="3"/>
      <c r="AD6" s="3"/>
      <c r="AE6" s="3"/>
      <c r="AF6" s="3"/>
      <c r="AG6" s="3"/>
      <c r="AH6" s="3"/>
      <c r="AI6" s="3"/>
      <c r="AJ6" s="5">
        <f>COUNT(G8,I8,G11,I11,G14,I14,G17,I17,G20,I20,G23,I23,G26,I26,G29,I29,G32,I32,G35,I35)</f>
        <v>12</v>
      </c>
      <c r="AK6" s="3"/>
      <c r="AL6" s="3"/>
    </row>
    <row r="7" spans="1:38" ht="15" customHeight="1" x14ac:dyDescent="0.3">
      <c r="A7" s="68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8" t="s">
        <v>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13"/>
      <c r="B8" s="55"/>
      <c r="C8" s="51"/>
      <c r="D8" s="286"/>
      <c r="E8" s="287"/>
      <c r="F8" s="271" t="str">
        <f>IF(AND(G8&lt;&gt;"",I8&lt;&gt;""),IF(G8=I8,"E",IF(G8&gt;I8,"G","P")),"")</f>
        <v/>
      </c>
      <c r="G8" s="272"/>
      <c r="H8" s="274" t="s">
        <v>15</v>
      </c>
      <c r="I8" s="272"/>
      <c r="J8" s="271" t="str">
        <f>IF(AND(I8&lt;&gt;"",G8&lt;&gt;""),IF(I8=G8,"E",IF(I8&gt;G8,"G","P")),"")</f>
        <v/>
      </c>
      <c r="K8" s="287"/>
      <c r="L8" s="288"/>
      <c r="M8" s="111"/>
      <c r="N8" s="115"/>
      <c r="O8" s="67"/>
      <c r="P8" s="295"/>
      <c r="Q8" s="297" t="s">
        <v>7</v>
      </c>
      <c r="R8" s="299" t="s">
        <v>16</v>
      </c>
      <c r="S8" s="289" t="s">
        <v>8</v>
      </c>
      <c r="T8" s="289" t="s">
        <v>9</v>
      </c>
      <c r="U8" s="289" t="s">
        <v>10</v>
      </c>
      <c r="V8" s="289" t="s">
        <v>11</v>
      </c>
      <c r="W8" s="289" t="s">
        <v>12</v>
      </c>
      <c r="X8" s="289" t="s">
        <v>13</v>
      </c>
      <c r="Y8" s="289" t="s">
        <v>35</v>
      </c>
      <c r="Z8" s="291"/>
      <c r="AA8" s="27"/>
      <c r="AB8" s="293"/>
      <c r="AC8" s="293"/>
      <c r="AD8" s="293"/>
      <c r="AE8" s="293"/>
      <c r="AF8" s="293"/>
      <c r="AG8" s="293"/>
      <c r="AH8" s="293"/>
      <c r="AI8" s="27"/>
      <c r="AJ8" s="293" t="e">
        <f>IF(AJ6=12,IF(INDEX(Z22:AK29,MATCH(2,Z22:Z29,0),11)=INDEX(Z22:AK29,MATCH(1,Z22:Z29,0),11),1,0),0)</f>
        <v>#N/A</v>
      </c>
      <c r="AK8" s="3"/>
      <c r="AL8" s="3"/>
    </row>
    <row r="9" spans="1:38" ht="15" customHeight="1" x14ac:dyDescent="0.3">
      <c r="A9" s="65"/>
      <c r="B9" s="55"/>
      <c r="C9" s="51"/>
      <c r="D9" s="286"/>
      <c r="E9" s="287"/>
      <c r="F9" s="271"/>
      <c r="G9" s="273"/>
      <c r="H9" s="274"/>
      <c r="I9" s="273"/>
      <c r="J9" s="271"/>
      <c r="K9" s="287"/>
      <c r="L9" s="288"/>
      <c r="M9" s="53"/>
      <c r="N9" s="66"/>
      <c r="O9" s="66"/>
      <c r="P9" s="296"/>
      <c r="Q9" s="298"/>
      <c r="R9" s="300"/>
      <c r="S9" s="290"/>
      <c r="T9" s="290"/>
      <c r="U9" s="290"/>
      <c r="V9" s="290"/>
      <c r="W9" s="290"/>
      <c r="X9" s="290"/>
      <c r="Y9" s="290"/>
      <c r="Z9" s="292"/>
      <c r="AA9" s="27"/>
      <c r="AB9" s="294"/>
      <c r="AC9" s="294"/>
      <c r="AD9" s="294"/>
      <c r="AE9" s="294"/>
      <c r="AF9" s="294"/>
      <c r="AG9" s="294"/>
      <c r="AH9" s="294"/>
      <c r="AI9" s="27"/>
      <c r="AJ9" s="293"/>
      <c r="AK9" s="3"/>
      <c r="AL9" s="3"/>
    </row>
    <row r="10" spans="1:38" ht="22.5" customHeight="1" x14ac:dyDescent="0.3">
      <c r="A10" s="6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6"/>
      <c r="P10" s="276" t="str">
        <f>"  1)  " &amp; VLOOKUP(1,$Z$10:$AI$17,2,0)</f>
        <v xml:space="preserve">  1)  BLUEMARTIN F.C .</v>
      </c>
      <c r="Q10" s="278">
        <f>VLOOKUP(1,$Z$10:$AI$17,3,0)</f>
        <v>9</v>
      </c>
      <c r="R10" s="280">
        <f>+SUM(S10:U11)</f>
        <v>3</v>
      </c>
      <c r="S10" s="282">
        <f>VLOOKUP(1,$Z$10:$AI$17,4,0)</f>
        <v>3</v>
      </c>
      <c r="T10" s="282">
        <f>VLOOKUP(1,$Z$10:$AI$17,5,0)</f>
        <v>0</v>
      </c>
      <c r="U10" s="282">
        <f>VLOOKUP(1,$Z$10:$AI$17,6,0)</f>
        <v>0</v>
      </c>
      <c r="V10" s="282">
        <f>VLOOKUP(1,$Z$10:$AI$17,7,0)</f>
        <v>5</v>
      </c>
      <c r="W10" s="282">
        <f>VLOOKUP(1,$Z$10:$AI$17,8,0)</f>
        <v>0</v>
      </c>
      <c r="X10" s="282">
        <f>VLOOKUP(1,$Z$10:$AH$17,9,0)</f>
        <v>5</v>
      </c>
      <c r="Y10" s="282">
        <f>VLOOKUP(1,$Z$10:$AI$17,10,0)</f>
        <v>0</v>
      </c>
      <c r="Z10" s="284">
        <f>RANK(AJ10,$AJ$10:$AJ$17,0)</f>
        <v>1</v>
      </c>
      <c r="AA10" s="264" t="str">
        <f>+'GRUPOS INFANTIL'!F7</f>
        <v>BLUEMARTIN F.C .</v>
      </c>
      <c r="AB10" s="264">
        <f>(AC10*3)+AD10</f>
        <v>9</v>
      </c>
      <c r="AC10" s="264">
        <f>COUNTIF(Q58:T58,"G")</f>
        <v>3</v>
      </c>
      <c r="AD10" s="264">
        <f>COUNTIF(Q58:T58,"E")</f>
        <v>0</v>
      </c>
      <c r="AE10" s="264">
        <f>COUNTIF(Q58:T58,"P")</f>
        <v>0</v>
      </c>
      <c r="AF10" s="264">
        <f>+G8+G20+G26+I35</f>
        <v>5</v>
      </c>
      <c r="AG10" s="264">
        <f>+I8+I20+I26+G35</f>
        <v>0</v>
      </c>
      <c r="AH10" s="264">
        <f>AF10-AG10</f>
        <v>5</v>
      </c>
      <c r="AI10" s="266">
        <f>+A8+A20+A26+A35</f>
        <v>0</v>
      </c>
      <c r="AJ10" s="264">
        <f>(AB10*1000)+(AH10*100)+(AF10*10)-AI10+0.1</f>
        <v>9550.1</v>
      </c>
      <c r="AK10" s="267">
        <f>AJ10+X10</f>
        <v>9555.1</v>
      </c>
      <c r="AL10" s="3"/>
    </row>
    <row r="11" spans="1:38" ht="15.75" customHeight="1" x14ac:dyDescent="0.3">
      <c r="A11" s="114"/>
      <c r="B11" s="56"/>
      <c r="C11" s="52"/>
      <c r="D11" s="269"/>
      <c r="E11" s="270"/>
      <c r="F11" s="271" t="str">
        <f>IF(AND(G11&lt;&gt;"",I11&lt;&gt;""),IF(G11=I11,"E",IF(G11&gt;I11,"G","P")),"")</f>
        <v/>
      </c>
      <c r="G11" s="272"/>
      <c r="H11" s="274" t="s">
        <v>15</v>
      </c>
      <c r="I11" s="272"/>
      <c r="J11" s="271" t="str">
        <f>IF(AND(I11&lt;&gt;"",G11&lt;&gt;""),IF(I11=G11,"E",IF(I11&gt;G11,"G","P")),"")</f>
        <v/>
      </c>
      <c r="K11" s="270"/>
      <c r="L11" s="275"/>
      <c r="M11" s="112"/>
      <c r="N11" s="116"/>
      <c r="O11" s="67"/>
      <c r="P11" s="277"/>
      <c r="Q11" s="279"/>
      <c r="R11" s="281"/>
      <c r="S11" s="283"/>
      <c r="T11" s="283"/>
      <c r="U11" s="283"/>
      <c r="V11" s="283"/>
      <c r="W11" s="283"/>
      <c r="X11" s="283"/>
      <c r="Y11" s="283"/>
      <c r="Z11" s="285"/>
      <c r="AA11" s="265"/>
      <c r="AB11" s="265"/>
      <c r="AC11" s="265"/>
      <c r="AD11" s="265"/>
      <c r="AE11" s="265"/>
      <c r="AF11" s="265"/>
      <c r="AG11" s="265"/>
      <c r="AH11" s="265"/>
      <c r="AI11" s="265"/>
      <c r="AJ11" s="265"/>
      <c r="AK11" s="268"/>
      <c r="AL11" s="3"/>
    </row>
    <row r="12" spans="1:38" ht="15.75" customHeight="1" x14ac:dyDescent="0.3">
      <c r="A12" s="65"/>
      <c r="B12" s="56"/>
      <c r="C12" s="52"/>
      <c r="D12" s="269"/>
      <c r="E12" s="270"/>
      <c r="F12" s="271"/>
      <c r="G12" s="273"/>
      <c r="H12" s="274"/>
      <c r="I12" s="273"/>
      <c r="J12" s="271"/>
      <c r="K12" s="270"/>
      <c r="L12" s="275"/>
      <c r="M12" s="54"/>
      <c r="N12" s="66"/>
      <c r="O12" s="66"/>
      <c r="P12" s="276" t="str">
        <f>"  2)  " &amp; VLOOKUP(2,$Z$10:$AI$17,2,0)</f>
        <v xml:space="preserve">  2)  CENTAUROS DEL ARIARI</v>
      </c>
      <c r="Q12" s="278">
        <f>VLOOKUP(2,$Z$10:$AI$17,3,0)</f>
        <v>3</v>
      </c>
      <c r="R12" s="280">
        <f>+SUM(S12:U13)</f>
        <v>3</v>
      </c>
      <c r="S12" s="282">
        <f>VLOOKUP(2,$Z$10:$AI$17,4,0)</f>
        <v>1</v>
      </c>
      <c r="T12" s="282">
        <f>VLOOKUP(2,$Z$10:$AI$17,5,0)</f>
        <v>0</v>
      </c>
      <c r="U12" s="282">
        <f>VLOOKUP(2,$Z$10:$AI$17,6,0)</f>
        <v>2</v>
      </c>
      <c r="V12" s="282">
        <f>VLOOKUP(2,$Z$10:$AI$17,7,0)</f>
        <v>5</v>
      </c>
      <c r="W12" s="282">
        <f>VLOOKUP(2,$Z$10:$AI$17,8,0)</f>
        <v>5</v>
      </c>
      <c r="X12" s="282">
        <f>VLOOKUP(2,$Z$10:$AH$17,9,0)</f>
        <v>0</v>
      </c>
      <c r="Y12" s="282">
        <f>VLOOKUP(2,$Z$10:$AI$17,10,0)</f>
        <v>0</v>
      </c>
      <c r="Z12" s="284">
        <f>RANK(AJ12,$AJ$10:$AJ$17,0)</f>
        <v>3</v>
      </c>
      <c r="AA12" s="264" t="str">
        <f>+'GRUPOS INFANTIL'!F8</f>
        <v>EIFD TESOROS SPORTS</v>
      </c>
      <c r="AB12" s="264">
        <f>(AC12*3)+AD12</f>
        <v>0</v>
      </c>
      <c r="AC12" s="264">
        <f>COUNTIF(Q59:T59,"G")</f>
        <v>0</v>
      </c>
      <c r="AD12" s="264">
        <f>COUNTIF(Q59:T59,"E")</f>
        <v>0</v>
      </c>
      <c r="AE12" s="264">
        <f>COUNTIF(Q59:T59,"P")</f>
        <v>3</v>
      </c>
      <c r="AF12" s="264">
        <f>+G11+I20+I29+G32</f>
        <v>3</v>
      </c>
      <c r="AG12" s="264">
        <f>+I11+G29+G20+I32</f>
        <v>12</v>
      </c>
      <c r="AH12" s="264">
        <f>AF12-AG12</f>
        <v>-9</v>
      </c>
      <c r="AI12" s="266">
        <f>+A29+A11+N20+A32</f>
        <v>0</v>
      </c>
      <c r="AJ12" s="264">
        <f>(AB12*1000)+(AH12*100)+(AF12*10)-AI12+0.2</f>
        <v>-869.8</v>
      </c>
      <c r="AK12" s="267">
        <f>AJ12+X12</f>
        <v>-869.8</v>
      </c>
      <c r="AL12" s="3"/>
    </row>
    <row r="13" spans="1:38" ht="22.5" customHeight="1" x14ac:dyDescent="0.3">
      <c r="A13" s="6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66"/>
      <c r="P13" s="277"/>
      <c r="Q13" s="279"/>
      <c r="R13" s="281"/>
      <c r="S13" s="283"/>
      <c r="T13" s="283"/>
      <c r="U13" s="283"/>
      <c r="V13" s="283"/>
      <c r="W13" s="283"/>
      <c r="X13" s="283"/>
      <c r="Y13" s="283"/>
      <c r="Z13" s="285"/>
      <c r="AA13" s="265"/>
      <c r="AB13" s="265"/>
      <c r="AC13" s="265"/>
      <c r="AD13" s="265"/>
      <c r="AE13" s="265"/>
      <c r="AF13" s="265"/>
      <c r="AG13" s="265"/>
      <c r="AH13" s="265"/>
      <c r="AI13" s="265"/>
      <c r="AJ13" s="265"/>
      <c r="AK13" s="268"/>
      <c r="AL13" s="3"/>
    </row>
    <row r="14" spans="1:38" ht="15" customHeight="1" x14ac:dyDescent="0.3">
      <c r="A14" s="113"/>
      <c r="B14" s="55"/>
      <c r="C14" s="51"/>
      <c r="D14" s="286"/>
      <c r="E14" s="287"/>
      <c r="F14" s="271" t="str">
        <f>IF(AND(G14&lt;&gt;"",I14&lt;&gt;""),IF(G14=I14,"E",IF(G14&gt;I14,"G","P")),"")</f>
        <v/>
      </c>
      <c r="G14" s="272"/>
      <c r="H14" s="274" t="s">
        <v>15</v>
      </c>
      <c r="I14" s="272"/>
      <c r="J14" s="271" t="str">
        <f>IF(AND(I14&lt;&gt;"",G14&lt;&gt;""),IF(I14=G14,"E",IF(I14&gt;G14,"G","P")),"")</f>
        <v/>
      </c>
      <c r="K14" s="287"/>
      <c r="L14" s="288"/>
      <c r="M14" s="111"/>
      <c r="N14" s="115"/>
      <c r="O14" s="67"/>
      <c r="P14" s="276" t="str">
        <f>"  3)  " &amp; VLOOKUP(3,$Z$10:$AI$17,2,0)</f>
        <v xml:space="preserve">  3)  EIFD TESOROS SPORTS</v>
      </c>
      <c r="Q14" s="278">
        <f>VLOOKUP(3,$Z$10:$AI$17,3,0)</f>
        <v>0</v>
      </c>
      <c r="R14" s="280">
        <f>+SUM(S14:U15)</f>
        <v>3</v>
      </c>
      <c r="S14" s="282">
        <f>VLOOKUP(3,$Z$10:$AI$17,4,0)</f>
        <v>0</v>
      </c>
      <c r="T14" s="282">
        <f>VLOOKUP(3,$Z$10:$AI$17,5,0)</f>
        <v>0</v>
      </c>
      <c r="U14" s="282">
        <f>VLOOKUP(3,$Z$10:$AI$17,6,0)</f>
        <v>3</v>
      </c>
      <c r="V14" s="282">
        <f>VLOOKUP(3,$Z$10:$AI$17,7,0)</f>
        <v>3</v>
      </c>
      <c r="W14" s="282">
        <f>VLOOKUP(3,$Z$10:$AI$17,8,0)</f>
        <v>12</v>
      </c>
      <c r="X14" s="282">
        <f>VLOOKUP(3,$Z$10:$AI$17,9,0)</f>
        <v>-9</v>
      </c>
      <c r="Y14" s="282">
        <f>VLOOKUP(3,$Z$10:$AI$17,10,0)</f>
        <v>0</v>
      </c>
      <c r="Z14" s="284">
        <f>RANK(AJ14,$AJ$10:$AJ$17,0)</f>
        <v>2</v>
      </c>
      <c r="AA14" s="264" t="str">
        <f>+'GRUPOS INFANTIL'!F9</f>
        <v>CENTAUROS DEL ARIARI</v>
      </c>
      <c r="AB14" s="264">
        <f>(AC14*3)+AD14</f>
        <v>3</v>
      </c>
      <c r="AC14" s="264">
        <f>COUNTIF(Q60:T60,"G")</f>
        <v>1</v>
      </c>
      <c r="AD14" s="264">
        <f>COUNTIF(Q60:T60,"E")</f>
        <v>0</v>
      </c>
      <c r="AE14" s="264">
        <f>COUNTIF(Q60:T60,"P")</f>
        <v>2</v>
      </c>
      <c r="AF14" s="264">
        <f>+G14+I26+I23+I32</f>
        <v>5</v>
      </c>
      <c r="AG14" s="264">
        <f>+G26+I14+I23+G32</f>
        <v>5</v>
      </c>
      <c r="AH14" s="264">
        <f>AF14-AG14</f>
        <v>0</v>
      </c>
      <c r="AI14" s="266">
        <f>+A14+A23+N26+N32</f>
        <v>0</v>
      </c>
      <c r="AJ14" s="264">
        <f>(AB14*1000)+(AH14*100)+(AF14*10)-AI14+0.3</f>
        <v>3050.3</v>
      </c>
      <c r="AK14" s="267">
        <f>+X14</f>
        <v>-9</v>
      </c>
      <c r="AL14" s="3"/>
    </row>
    <row r="15" spans="1:38" ht="15" customHeight="1" x14ac:dyDescent="0.3">
      <c r="A15" s="65"/>
      <c r="B15" s="55"/>
      <c r="C15" s="51"/>
      <c r="D15" s="286"/>
      <c r="E15" s="287"/>
      <c r="F15" s="271"/>
      <c r="G15" s="273"/>
      <c r="H15" s="274"/>
      <c r="I15" s="273"/>
      <c r="J15" s="271"/>
      <c r="K15" s="287"/>
      <c r="L15" s="288"/>
      <c r="M15" s="53"/>
      <c r="N15" s="66"/>
      <c r="O15" s="66"/>
      <c r="P15" s="277"/>
      <c r="Q15" s="279"/>
      <c r="R15" s="281"/>
      <c r="S15" s="283"/>
      <c r="T15" s="283"/>
      <c r="U15" s="283"/>
      <c r="V15" s="283"/>
      <c r="W15" s="283"/>
      <c r="X15" s="283"/>
      <c r="Y15" s="283"/>
      <c r="Z15" s="285"/>
      <c r="AA15" s="265"/>
      <c r="AB15" s="265"/>
      <c r="AC15" s="265"/>
      <c r="AD15" s="265"/>
      <c r="AE15" s="265"/>
      <c r="AF15" s="265"/>
      <c r="AG15" s="265"/>
      <c r="AH15" s="265"/>
      <c r="AI15" s="265"/>
      <c r="AJ15" s="265"/>
      <c r="AK15" s="268"/>
      <c r="AL15" s="3"/>
    </row>
    <row r="16" spans="1:38" ht="21.75" customHeight="1" x14ac:dyDescent="0.3">
      <c r="A16" s="6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66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</row>
    <row r="17" spans="1:38" ht="15" customHeight="1" x14ac:dyDescent="0.3">
      <c r="A17" s="114"/>
      <c r="B17" s="56"/>
      <c r="C17" s="52"/>
      <c r="D17" s="269"/>
      <c r="E17" s="270"/>
      <c r="F17" s="271" t="str">
        <f>IF(AND(G17&lt;&gt;"",I17&lt;&gt;""),IF(G17=I17,"E",IF(G17&gt;I17,"G","P")),"")</f>
        <v/>
      </c>
      <c r="G17" s="272"/>
      <c r="H17" s="274" t="s">
        <v>15</v>
      </c>
      <c r="I17" s="272"/>
      <c r="J17" s="271" t="str">
        <f>IF(AND(I17&lt;&gt;"",G17&lt;&gt;""),IF(I17=G17,"E",IF(I17&gt;G17,"G","P")),"")</f>
        <v/>
      </c>
      <c r="K17" s="270"/>
      <c r="L17" s="275"/>
      <c r="M17" s="112"/>
      <c r="N17" s="116"/>
      <c r="O17" s="6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</row>
    <row r="18" spans="1:38" ht="15" customHeight="1" x14ac:dyDescent="0.3">
      <c r="A18" s="65"/>
      <c r="B18" s="56"/>
      <c r="C18" s="52"/>
      <c r="D18" s="269"/>
      <c r="E18" s="270"/>
      <c r="F18" s="271"/>
      <c r="G18" s="273"/>
      <c r="H18" s="274"/>
      <c r="I18" s="273"/>
      <c r="J18" s="271"/>
      <c r="K18" s="270"/>
      <c r="L18" s="275"/>
      <c r="M18" s="54"/>
      <c r="N18" s="66"/>
      <c r="O18" s="66"/>
      <c r="P18" s="77"/>
      <c r="Q18" s="74"/>
      <c r="R18" s="74"/>
      <c r="S18" s="75"/>
      <c r="T18" s="75"/>
      <c r="U18" s="75"/>
      <c r="V18" s="75"/>
      <c r="W18" s="75"/>
      <c r="X18" s="75"/>
      <c r="Y18" s="75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27"/>
    </row>
    <row r="19" spans="1:38" s="3" customFormat="1" ht="15" customHeight="1" x14ac:dyDescent="0.3">
      <c r="A19" s="65"/>
      <c r="B19" s="198"/>
      <c r="C19" s="199"/>
      <c r="D19" s="200"/>
      <c r="E19" s="201"/>
      <c r="F19" s="202"/>
      <c r="J19" s="202"/>
      <c r="K19" s="201"/>
      <c r="L19" s="203"/>
      <c r="M19" s="182"/>
      <c r="N19" s="66"/>
      <c r="O19" s="66"/>
      <c r="P19" s="77"/>
      <c r="Q19" s="74"/>
      <c r="R19" s="74"/>
      <c r="S19" s="75"/>
      <c r="T19" s="75"/>
      <c r="U19" s="75"/>
      <c r="V19" s="75"/>
      <c r="W19" s="75"/>
      <c r="X19" s="75"/>
      <c r="Y19" s="75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27"/>
    </row>
    <row r="20" spans="1:38" ht="15" customHeight="1" x14ac:dyDescent="0.3">
      <c r="A20" s="113"/>
      <c r="B20" s="55">
        <v>42812</v>
      </c>
      <c r="C20" s="51" t="s">
        <v>101</v>
      </c>
      <c r="D20" s="286"/>
      <c r="E20" s="287" t="str">
        <f>+'GRUPOS INFANTIL'!F7</f>
        <v>BLUEMARTIN F.C .</v>
      </c>
      <c r="F20" s="271" t="str">
        <f>IF(AND(G20&lt;&gt;"",I20&lt;&gt;""),IF(G20=I20,"E",IF(G20&gt;I20,"G","P")),"")</f>
        <v>G</v>
      </c>
      <c r="G20" s="272">
        <v>2</v>
      </c>
      <c r="H20" s="274" t="s">
        <v>15</v>
      </c>
      <c r="I20" s="272">
        <v>0</v>
      </c>
      <c r="J20" s="271" t="str">
        <f>IF(AND(I20&lt;&gt;"",G20&lt;&gt;""),IF(I20=G20,"E",IF(I20&gt;G20,"G","P")),"")</f>
        <v>P</v>
      </c>
      <c r="K20" s="287" t="str">
        <f>+'GRUPOS INFANTIL'!F8</f>
        <v>EIFD TESOROS SPORTS</v>
      </c>
      <c r="L20" s="288"/>
      <c r="M20" s="111" t="s">
        <v>38</v>
      </c>
      <c r="N20" s="115"/>
      <c r="O20" s="67"/>
      <c r="P20" s="312"/>
      <c r="Q20" s="311"/>
      <c r="R20" s="304"/>
      <c r="S20" s="310"/>
      <c r="T20" s="310"/>
      <c r="U20" s="310"/>
      <c r="V20" s="310"/>
      <c r="W20" s="310"/>
      <c r="X20" s="310"/>
      <c r="Y20" s="310"/>
      <c r="Z20" s="293"/>
      <c r="AA20" s="27"/>
      <c r="AB20" s="293"/>
      <c r="AC20" s="293"/>
      <c r="AD20" s="293"/>
      <c r="AE20" s="293"/>
      <c r="AF20" s="293"/>
      <c r="AG20" s="293"/>
      <c r="AH20" s="293"/>
      <c r="AI20" s="27"/>
      <c r="AJ20" s="3"/>
      <c r="AK20" s="3"/>
      <c r="AL20" s="3"/>
    </row>
    <row r="21" spans="1:38" ht="15" customHeight="1" x14ac:dyDescent="0.3">
      <c r="A21" s="65"/>
      <c r="B21" s="55"/>
      <c r="C21" s="51"/>
      <c r="D21" s="286"/>
      <c r="E21" s="287"/>
      <c r="F21" s="271"/>
      <c r="G21" s="273"/>
      <c r="H21" s="274"/>
      <c r="I21" s="273"/>
      <c r="J21" s="271"/>
      <c r="K21" s="287"/>
      <c r="L21" s="288"/>
      <c r="M21" s="53"/>
      <c r="N21" s="66"/>
      <c r="O21" s="66"/>
      <c r="P21" s="312"/>
      <c r="Q21" s="311"/>
      <c r="R21" s="304"/>
      <c r="S21" s="310"/>
      <c r="T21" s="310"/>
      <c r="U21" s="310"/>
      <c r="V21" s="310"/>
      <c r="W21" s="310"/>
      <c r="X21" s="310"/>
      <c r="Y21" s="310"/>
      <c r="Z21" s="293"/>
      <c r="AA21" s="27"/>
      <c r="AB21" s="293"/>
      <c r="AC21" s="293"/>
      <c r="AD21" s="293"/>
      <c r="AE21" s="293"/>
      <c r="AF21" s="293"/>
      <c r="AG21" s="293"/>
      <c r="AH21" s="293"/>
      <c r="AI21" s="27"/>
      <c r="AJ21" s="3"/>
      <c r="AK21" s="3"/>
      <c r="AL21" s="3"/>
    </row>
    <row r="22" spans="1:38" ht="22.5" customHeight="1" x14ac:dyDescent="0.3">
      <c r="A22" s="6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6"/>
      <c r="P22" s="306"/>
      <c r="Q22" s="307"/>
      <c r="R22" s="305"/>
      <c r="S22" s="308"/>
      <c r="T22" s="308"/>
      <c r="U22" s="308"/>
      <c r="V22" s="308"/>
      <c r="W22" s="308"/>
      <c r="X22" s="308"/>
      <c r="Y22" s="308"/>
      <c r="Z22" s="309"/>
      <c r="AA22" s="309"/>
      <c r="AB22" s="309"/>
      <c r="AC22" s="309"/>
      <c r="AD22" s="309"/>
      <c r="AE22" s="309"/>
      <c r="AF22" s="309"/>
      <c r="AG22" s="309"/>
      <c r="AH22" s="309"/>
      <c r="AI22" s="309"/>
      <c r="AJ22" s="309"/>
      <c r="AK22" s="318"/>
      <c r="AL22" s="3"/>
    </row>
    <row r="23" spans="1:38" ht="15.75" customHeight="1" x14ac:dyDescent="0.3">
      <c r="A23" s="114"/>
      <c r="B23" s="56">
        <v>42812</v>
      </c>
      <c r="C23" s="52" t="s">
        <v>102</v>
      </c>
      <c r="D23" s="269"/>
      <c r="E23" s="270" t="str">
        <f>+'GRUPO B'!E23:E24</f>
        <v>CLUB CAMPESTRE IBAGUE</v>
      </c>
      <c r="F23" s="271" t="str">
        <f>IF(AND(G23&lt;&gt;"",I23&lt;&gt;""),IF(G23=I23,"E",IF(G23&gt;I23,"G","P")),"")</f>
        <v>G</v>
      </c>
      <c r="G23" s="272">
        <v>3</v>
      </c>
      <c r="H23" s="274" t="s">
        <v>15</v>
      </c>
      <c r="I23" s="272">
        <v>1</v>
      </c>
      <c r="J23" s="271" t="str">
        <f>IF(AND(I23&lt;&gt;"",G23&lt;&gt;""),IF(I23=G23,"E",IF(I23&gt;G23,"G","P")),"")</f>
        <v>P</v>
      </c>
      <c r="K23" s="270" t="str">
        <f>+'GRUPOS INFANTIL'!F9</f>
        <v>CENTAUROS DEL ARIARI</v>
      </c>
      <c r="L23" s="275"/>
      <c r="M23" s="112" t="s">
        <v>80</v>
      </c>
      <c r="N23" s="116"/>
      <c r="O23" s="67"/>
      <c r="P23" s="306"/>
      <c r="Q23" s="307"/>
      <c r="R23" s="305"/>
      <c r="S23" s="308"/>
      <c r="T23" s="308"/>
      <c r="U23" s="308"/>
      <c r="V23" s="308"/>
      <c r="W23" s="308"/>
      <c r="X23" s="308"/>
      <c r="Y23" s="308"/>
      <c r="Z23" s="309"/>
      <c r="AA23" s="309"/>
      <c r="AB23" s="309"/>
      <c r="AC23" s="309"/>
      <c r="AD23" s="309"/>
      <c r="AE23" s="309"/>
      <c r="AF23" s="309"/>
      <c r="AG23" s="309"/>
      <c r="AH23" s="309"/>
      <c r="AI23" s="309"/>
      <c r="AJ23" s="309"/>
      <c r="AK23" s="318"/>
      <c r="AL23" s="3"/>
    </row>
    <row r="24" spans="1:38" ht="15.75" customHeight="1" x14ac:dyDescent="0.3">
      <c r="A24" s="65"/>
      <c r="B24" s="56"/>
      <c r="C24" s="52"/>
      <c r="D24" s="269"/>
      <c r="E24" s="270"/>
      <c r="F24" s="271"/>
      <c r="G24" s="273"/>
      <c r="H24" s="274"/>
      <c r="I24" s="273"/>
      <c r="J24" s="271"/>
      <c r="K24" s="270"/>
      <c r="L24" s="275"/>
      <c r="M24" s="54"/>
      <c r="N24" s="66"/>
      <c r="O24" s="66"/>
      <c r="P24" s="306"/>
      <c r="Q24" s="307"/>
      <c r="R24" s="305"/>
      <c r="S24" s="308"/>
      <c r="T24" s="308"/>
      <c r="U24" s="308"/>
      <c r="V24" s="308"/>
      <c r="W24" s="308"/>
      <c r="X24" s="308"/>
      <c r="Y24" s="308"/>
      <c r="Z24" s="309"/>
      <c r="AA24" s="309"/>
      <c r="AB24" s="309"/>
      <c r="AC24" s="309"/>
      <c r="AD24" s="309"/>
      <c r="AE24" s="309"/>
      <c r="AF24" s="309"/>
      <c r="AG24" s="309"/>
      <c r="AH24" s="309"/>
      <c r="AI24" s="309"/>
      <c r="AJ24" s="309"/>
      <c r="AK24" s="318"/>
      <c r="AL24" s="3"/>
    </row>
    <row r="25" spans="1:38" ht="22.5" customHeight="1" x14ac:dyDescent="0.3">
      <c r="A25" s="6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66"/>
      <c r="P25" s="306"/>
      <c r="Q25" s="307"/>
      <c r="R25" s="305"/>
      <c r="S25" s="308"/>
      <c r="T25" s="308"/>
      <c r="U25" s="308"/>
      <c r="V25" s="308"/>
      <c r="W25" s="308"/>
      <c r="X25" s="308"/>
      <c r="Y25" s="308"/>
      <c r="Z25" s="309"/>
      <c r="AA25" s="309"/>
      <c r="AB25" s="309"/>
      <c r="AC25" s="309"/>
      <c r="AD25" s="309"/>
      <c r="AE25" s="309"/>
      <c r="AF25" s="309"/>
      <c r="AG25" s="309"/>
      <c r="AH25" s="309"/>
      <c r="AI25" s="309"/>
      <c r="AJ25" s="309"/>
      <c r="AK25" s="318"/>
      <c r="AL25" s="3"/>
    </row>
    <row r="26" spans="1:38" ht="15" customHeight="1" x14ac:dyDescent="0.3">
      <c r="A26" s="113"/>
      <c r="B26" s="55">
        <v>42812</v>
      </c>
      <c r="C26" s="51" t="s">
        <v>78</v>
      </c>
      <c r="D26" s="286"/>
      <c r="E26" s="287" t="str">
        <f>+'GRUPOS INFANTIL'!F7</f>
        <v>BLUEMARTIN F.C .</v>
      </c>
      <c r="F26" s="271" t="str">
        <f>IF(AND(G26&lt;&gt;"",I26&lt;&gt;""),IF(G26=I26,"E",IF(G26&gt;I26,"G","P")),"")</f>
        <v>G</v>
      </c>
      <c r="G26" s="272">
        <v>2</v>
      </c>
      <c r="H26" s="274" t="s">
        <v>15</v>
      </c>
      <c r="I26" s="272">
        <v>0</v>
      </c>
      <c r="J26" s="271" t="str">
        <f>IF(AND(I26&lt;&gt;"",G26&lt;&gt;""),IF(I26=G26,"E",IF(I26&gt;G26,"G","P")),"")</f>
        <v>P</v>
      </c>
      <c r="K26" s="287" t="str">
        <f>+'GRUPOS INFANTIL'!F9</f>
        <v>CENTAUROS DEL ARIARI</v>
      </c>
      <c r="L26" s="288"/>
      <c r="M26" s="111" t="s">
        <v>80</v>
      </c>
      <c r="N26" s="115"/>
      <c r="O26" s="67"/>
      <c r="P26" s="306"/>
      <c r="Q26" s="307"/>
      <c r="R26" s="305"/>
      <c r="S26" s="308"/>
      <c r="T26" s="308"/>
      <c r="U26" s="308"/>
      <c r="V26" s="308"/>
      <c r="W26" s="308"/>
      <c r="X26" s="308"/>
      <c r="Y26" s="308"/>
      <c r="Z26" s="309"/>
      <c r="AA26" s="309"/>
      <c r="AB26" s="309"/>
      <c r="AC26" s="309"/>
      <c r="AD26" s="309"/>
      <c r="AE26" s="309"/>
      <c r="AF26" s="309"/>
      <c r="AG26" s="309"/>
      <c r="AH26" s="309"/>
      <c r="AI26" s="309"/>
      <c r="AJ26" s="309"/>
      <c r="AK26" s="318"/>
      <c r="AL26" s="3"/>
    </row>
    <row r="27" spans="1:38" ht="15" customHeight="1" x14ac:dyDescent="0.3">
      <c r="A27" s="65"/>
      <c r="B27" s="55"/>
      <c r="C27" s="51"/>
      <c r="D27" s="286"/>
      <c r="E27" s="287"/>
      <c r="F27" s="271"/>
      <c r="G27" s="273"/>
      <c r="H27" s="274"/>
      <c r="I27" s="273"/>
      <c r="J27" s="271"/>
      <c r="K27" s="287"/>
      <c r="L27" s="288"/>
      <c r="M27" s="53"/>
      <c r="N27" s="66"/>
      <c r="O27" s="66"/>
      <c r="P27" s="306"/>
      <c r="Q27" s="307"/>
      <c r="R27" s="305"/>
      <c r="S27" s="308"/>
      <c r="T27" s="308"/>
      <c r="U27" s="308"/>
      <c r="V27" s="308"/>
      <c r="W27" s="308"/>
      <c r="X27" s="308"/>
      <c r="Y27" s="308"/>
      <c r="Z27" s="309"/>
      <c r="AA27" s="309"/>
      <c r="AB27" s="309"/>
      <c r="AC27" s="309"/>
      <c r="AD27" s="309"/>
      <c r="AE27" s="309"/>
      <c r="AF27" s="309"/>
      <c r="AG27" s="309"/>
      <c r="AH27" s="309"/>
      <c r="AI27" s="309"/>
      <c r="AJ27" s="309"/>
      <c r="AK27" s="318"/>
      <c r="AL27" s="3"/>
    </row>
    <row r="28" spans="1:38" ht="21.75" customHeigh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66"/>
      <c r="P28" s="306"/>
      <c r="Q28" s="307"/>
      <c r="R28" s="305"/>
      <c r="S28" s="308"/>
      <c r="T28" s="308"/>
      <c r="U28" s="308"/>
      <c r="V28" s="308"/>
      <c r="W28" s="308"/>
      <c r="X28" s="308"/>
      <c r="Y28" s="308"/>
      <c r="Z28" s="309"/>
      <c r="AA28" s="309"/>
      <c r="AB28" s="309"/>
      <c r="AC28" s="309"/>
      <c r="AD28" s="309"/>
      <c r="AE28" s="309"/>
      <c r="AF28" s="309"/>
      <c r="AG28" s="309"/>
      <c r="AH28" s="309"/>
      <c r="AI28" s="309"/>
      <c r="AJ28" s="309"/>
      <c r="AK28" s="318"/>
      <c r="AL28" s="3"/>
    </row>
    <row r="29" spans="1:38" ht="15" customHeight="1" x14ac:dyDescent="0.3">
      <c r="A29" s="114"/>
      <c r="B29" s="56">
        <v>42812</v>
      </c>
      <c r="C29" s="52" t="s">
        <v>97</v>
      </c>
      <c r="D29" s="269"/>
      <c r="E29" s="270" t="str">
        <f>+'GRUPO B'!E29:E30</f>
        <v>TEMPLO DEL FÚTBOL</v>
      </c>
      <c r="F29" s="271" t="str">
        <f>IF(AND(G29&lt;&gt;"",I29&lt;&gt;""),IF(G29=I29,"E",IF(G29&gt;I29,"G","P")),"")</f>
        <v>G</v>
      </c>
      <c r="G29" s="272">
        <v>6</v>
      </c>
      <c r="H29" s="274" t="s">
        <v>15</v>
      </c>
      <c r="I29" s="272">
        <v>1</v>
      </c>
      <c r="J29" s="271" t="str">
        <f>IF(AND(I29&lt;&gt;"",G29&lt;&gt;""),IF(I29=G29,"E",IF(I29&gt;G29,"G","P")),"")</f>
        <v>P</v>
      </c>
      <c r="K29" s="270" t="str">
        <f>+'GRUPOS INFANTIL'!F8</f>
        <v>EIFD TESOROS SPORTS</v>
      </c>
      <c r="L29" s="275"/>
      <c r="M29" s="112" t="s">
        <v>80</v>
      </c>
      <c r="N29" s="116"/>
      <c r="O29" s="67"/>
      <c r="P29" s="306"/>
      <c r="Q29" s="307"/>
      <c r="R29" s="305"/>
      <c r="S29" s="308"/>
      <c r="T29" s="308"/>
      <c r="U29" s="308"/>
      <c r="V29" s="308"/>
      <c r="W29" s="308"/>
      <c r="X29" s="308"/>
      <c r="Y29" s="308"/>
      <c r="Z29" s="309"/>
      <c r="AA29" s="309"/>
      <c r="AB29" s="309"/>
      <c r="AC29" s="309"/>
      <c r="AD29" s="309"/>
      <c r="AE29" s="309"/>
      <c r="AF29" s="309"/>
      <c r="AG29" s="309"/>
      <c r="AH29" s="309"/>
      <c r="AI29" s="309"/>
      <c r="AJ29" s="309"/>
      <c r="AK29" s="318"/>
      <c r="AL29" s="3"/>
    </row>
    <row r="30" spans="1:38" ht="15" customHeight="1" x14ac:dyDescent="0.3">
      <c r="A30" s="65"/>
      <c r="B30" s="56"/>
      <c r="C30" s="52"/>
      <c r="D30" s="269"/>
      <c r="E30" s="270"/>
      <c r="F30" s="271"/>
      <c r="G30" s="273"/>
      <c r="H30" s="274"/>
      <c r="I30" s="273"/>
      <c r="J30" s="271"/>
      <c r="K30" s="270"/>
      <c r="L30" s="275"/>
      <c r="M30" s="54"/>
      <c r="N30" s="66"/>
      <c r="O30" s="66"/>
      <c r="P30" s="77"/>
      <c r="Q30" s="74"/>
      <c r="R30" s="74"/>
      <c r="S30" s="75"/>
      <c r="T30" s="75"/>
      <c r="U30" s="75"/>
      <c r="V30" s="75"/>
      <c r="W30" s="75"/>
      <c r="X30" s="75"/>
      <c r="Y30" s="75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27"/>
    </row>
    <row r="31" spans="1:38" ht="22.5" customHeight="1" x14ac:dyDescent="0.3">
      <c r="A31" s="6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6"/>
      <c r="P31" s="73"/>
      <c r="Q31" s="74"/>
      <c r="R31" s="74"/>
      <c r="S31" s="75"/>
      <c r="T31" s="75"/>
      <c r="U31" s="75"/>
      <c r="V31" s="75"/>
      <c r="W31" s="75"/>
      <c r="X31" s="75"/>
      <c r="Y31" s="75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27"/>
    </row>
    <row r="32" spans="1:38" ht="15" customHeight="1" x14ac:dyDescent="0.3">
      <c r="A32" s="113"/>
      <c r="B32" s="55">
        <v>42813</v>
      </c>
      <c r="C32" s="51" t="s">
        <v>107</v>
      </c>
      <c r="D32" s="286"/>
      <c r="E32" s="287" t="str">
        <f>+'GRUPOS INFANTIL'!F8</f>
        <v>EIFD TESOROS SPORTS</v>
      </c>
      <c r="F32" s="271" t="str">
        <f>IF(AND(G32&lt;&gt;"",I32&lt;&gt;""),IF(G32=I32,"E",IF(G32&gt;I32,"G","P")),"")</f>
        <v>P</v>
      </c>
      <c r="G32" s="272">
        <v>2</v>
      </c>
      <c r="H32" s="274" t="s">
        <v>15</v>
      </c>
      <c r="I32" s="272">
        <v>4</v>
      </c>
      <c r="J32" s="271" t="str">
        <f>IF(AND(I32&lt;&gt;"",G32&lt;&gt;""),IF(I32=G32,"E",IF(I32&gt;G32,"G","P")),"")</f>
        <v>G</v>
      </c>
      <c r="K32" s="287" t="str">
        <f>+'GRUPOS INFANTIL'!F9</f>
        <v>CENTAUROS DEL ARIARI</v>
      </c>
      <c r="L32" s="288"/>
      <c r="M32" s="111" t="s">
        <v>38</v>
      </c>
      <c r="N32" s="115"/>
      <c r="O32" s="67"/>
      <c r="P32" s="77"/>
      <c r="Q32" s="74"/>
      <c r="R32" s="74"/>
      <c r="S32" s="75"/>
      <c r="T32" s="75"/>
      <c r="U32" s="75"/>
      <c r="V32" s="75"/>
      <c r="W32" s="75"/>
      <c r="X32" s="75"/>
      <c r="Y32" s="75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27"/>
    </row>
    <row r="33" spans="1:38" ht="15" customHeight="1" x14ac:dyDescent="0.3">
      <c r="A33" s="65"/>
      <c r="B33" s="55"/>
      <c r="C33" s="51"/>
      <c r="D33" s="286"/>
      <c r="E33" s="287"/>
      <c r="F33" s="271"/>
      <c r="G33" s="273"/>
      <c r="H33" s="274"/>
      <c r="I33" s="273"/>
      <c r="J33" s="271"/>
      <c r="K33" s="287"/>
      <c r="L33" s="288"/>
      <c r="M33" s="53"/>
      <c r="N33" s="66"/>
      <c r="O33" s="66"/>
      <c r="P33" s="303"/>
      <c r="Q33" s="303"/>
      <c r="R33" s="303"/>
      <c r="S33" s="303"/>
      <c r="T33" s="303"/>
      <c r="U33" s="27"/>
      <c r="V33" s="27"/>
      <c r="W33" s="27"/>
      <c r="X33" s="27"/>
      <c r="Y33" s="27"/>
      <c r="Z33" s="76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</row>
    <row r="34" spans="1:38" ht="22.5" customHeight="1" x14ac:dyDescent="0.3">
      <c r="A34" s="6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65"/>
      <c r="P34" s="27"/>
      <c r="Q34" s="27"/>
      <c r="R34" s="27"/>
      <c r="S34" s="27"/>
      <c r="T34" s="27"/>
      <c r="U34" s="27"/>
      <c r="V34" s="27"/>
      <c r="W34" s="27" t="e">
        <f>IF(AJ8=1,IF(P33="","",P33),IF(SUM(Q10:Q17)&gt;0,VLOOKUP(1,Z10:AA17,2,0),""))</f>
        <v>#N/A</v>
      </c>
      <c r="X34" s="27"/>
      <c r="Y34" s="27"/>
      <c r="Z34" s="76"/>
      <c r="AA34" s="27"/>
      <c r="AB34" s="27"/>
      <c r="AC34" s="76"/>
      <c r="AD34" s="76"/>
      <c r="AE34" s="76"/>
      <c r="AF34" s="76"/>
      <c r="AG34" s="76"/>
      <c r="AH34" s="76"/>
      <c r="AI34" s="27"/>
      <c r="AJ34" s="76"/>
      <c r="AK34" s="76"/>
      <c r="AL34" s="27"/>
    </row>
    <row r="35" spans="1:38" ht="15" customHeight="1" x14ac:dyDescent="0.3">
      <c r="A35" s="114"/>
      <c r="B35" s="56">
        <v>42813</v>
      </c>
      <c r="C35" s="52" t="s">
        <v>106</v>
      </c>
      <c r="D35" s="269"/>
      <c r="E35" s="270" t="str">
        <f>+'GRUPO B'!E32</f>
        <v>ESCUELA DEPORTIVA FÚTBOL RAQUIRA</v>
      </c>
      <c r="F35" s="271" t="str">
        <f>IF(AND(G35&lt;&gt;"",I35&lt;&gt;""),IF(G35=I35,"E",IF(G35&gt;I35,"G","P")),"")</f>
        <v>P</v>
      </c>
      <c r="G35" s="272">
        <v>0</v>
      </c>
      <c r="H35" s="274" t="s">
        <v>15</v>
      </c>
      <c r="I35" s="272">
        <v>1</v>
      </c>
      <c r="J35" s="271" t="str">
        <f>IF(AND(I35&lt;&gt;"",G35&lt;&gt;""),IF(I35=G35,"E",IF(I35&gt;G35,"G","P")),"")</f>
        <v>G</v>
      </c>
      <c r="K35" s="270" t="str">
        <f>+'GRUPOS INFANTIL'!F7</f>
        <v>BLUEMARTIN F.C .</v>
      </c>
      <c r="L35" s="275"/>
      <c r="M35" s="112" t="s">
        <v>37</v>
      </c>
      <c r="N35" s="116"/>
      <c r="O35" s="67"/>
      <c r="P35" s="27"/>
      <c r="Q35" s="27"/>
      <c r="R35" s="27"/>
      <c r="S35" s="27"/>
      <c r="T35" s="27"/>
      <c r="U35" s="27"/>
      <c r="V35" s="27"/>
      <c r="W35" s="27" t="e">
        <f>IF(AJ8=1,IF(P36="","",P36),IF(SUM(Q10:Q17)&gt;0,VLOOKUP(2,Z10:AA17,2,0),""))</f>
        <v>#N/A</v>
      </c>
      <c r="X35" s="27"/>
      <c r="Y35" s="27"/>
      <c r="Z35" s="76"/>
      <c r="AA35" s="27"/>
      <c r="AB35" s="27"/>
      <c r="AC35" s="76"/>
      <c r="AD35" s="76"/>
      <c r="AE35" s="76"/>
      <c r="AF35" s="76"/>
      <c r="AG35" s="76"/>
      <c r="AH35" s="76"/>
      <c r="AI35" s="27"/>
      <c r="AJ35" s="76"/>
      <c r="AK35" s="76"/>
      <c r="AL35" s="27"/>
    </row>
    <row r="36" spans="1:38" ht="15" customHeight="1" x14ac:dyDescent="0.3">
      <c r="A36" s="65"/>
      <c r="B36" s="56"/>
      <c r="C36" s="52"/>
      <c r="D36" s="269"/>
      <c r="E36" s="270"/>
      <c r="F36" s="271"/>
      <c r="G36" s="273"/>
      <c r="H36" s="274"/>
      <c r="I36" s="273"/>
      <c r="J36" s="271"/>
      <c r="K36" s="270"/>
      <c r="L36" s="275"/>
      <c r="M36" s="54"/>
      <c r="N36" s="66"/>
      <c r="O36" s="66"/>
      <c r="P36" s="303"/>
      <c r="Q36" s="303"/>
      <c r="R36" s="303"/>
      <c r="S36" s="303"/>
      <c r="T36" s="303"/>
      <c r="U36" s="27"/>
      <c r="V36" s="27"/>
      <c r="W36" s="27"/>
      <c r="X36" s="27"/>
      <c r="Y36" s="27"/>
      <c r="Z36" s="76"/>
      <c r="AA36" s="27"/>
      <c r="AB36" s="27"/>
      <c r="AC36" s="76"/>
      <c r="AD36" s="76"/>
      <c r="AE36" s="76"/>
      <c r="AF36" s="76"/>
      <c r="AG36" s="76"/>
      <c r="AH36" s="76"/>
      <c r="AI36" s="27"/>
      <c r="AJ36" s="76"/>
      <c r="AK36" s="76"/>
      <c r="AL36" s="27"/>
    </row>
    <row r="37" spans="1:38" x14ac:dyDescent="0.3">
      <c r="A37" s="6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9"/>
      <c r="O37" s="15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76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</row>
    <row r="38" spans="1:38" x14ac:dyDescent="0.3">
      <c r="A38" s="66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</row>
    <row r="39" spans="1:38" x14ac:dyDescent="0.3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27"/>
      <c r="Q39" s="78"/>
      <c r="R39" s="78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</row>
    <row r="40" spans="1:38" x14ac:dyDescent="0.3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15"/>
      <c r="AD40" s="15"/>
      <c r="AE40" s="15"/>
      <c r="AF40" s="15"/>
      <c r="AG40" s="15"/>
      <c r="AH40" s="15"/>
      <c r="AI40" s="15"/>
      <c r="AJ40" s="15"/>
      <c r="AK40" s="15"/>
      <c r="AL40" s="28"/>
    </row>
    <row r="41" spans="1:38" x14ac:dyDescent="0.3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15"/>
      <c r="AD41" s="15"/>
      <c r="AE41" s="15"/>
      <c r="AF41" s="15"/>
      <c r="AG41" s="15"/>
      <c r="AH41" s="15"/>
      <c r="AI41" s="15"/>
      <c r="AJ41" s="15"/>
      <c r="AK41" s="15"/>
      <c r="AL41" s="28"/>
    </row>
    <row r="42" spans="1:38" x14ac:dyDescent="0.3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15"/>
      <c r="AD42" s="15"/>
      <c r="AE42" s="15"/>
      <c r="AF42" s="15"/>
      <c r="AG42" s="15"/>
      <c r="AH42" s="15"/>
      <c r="AI42" s="15"/>
      <c r="AJ42" s="15"/>
      <c r="AK42" s="15"/>
      <c r="AL42" s="28"/>
    </row>
    <row r="43" spans="1:38" x14ac:dyDescent="0.3">
      <c r="B43" s="15"/>
      <c r="C43" s="15"/>
      <c r="D43" s="15"/>
      <c r="E43" s="15"/>
      <c r="F43" s="15"/>
      <c r="G43" s="15"/>
      <c r="H43" s="15"/>
      <c r="I43" s="15"/>
      <c r="J43" s="25" t="str">
        <f>IF(AG20=1,"Indique el primero y segundo equipos clasificados de la serie:","")</f>
        <v/>
      </c>
      <c r="K43" s="15"/>
      <c r="L43" s="25" t="str">
        <f>IF(AG20=1,"Primero:","")</f>
        <v/>
      </c>
      <c r="M43" s="15"/>
      <c r="N43" s="24"/>
      <c r="O43" s="24"/>
      <c r="P43" s="79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15"/>
      <c r="AD43" s="15"/>
      <c r="AE43" s="15"/>
      <c r="AF43" s="15"/>
      <c r="AG43" s="15"/>
      <c r="AH43" s="15"/>
      <c r="AI43" s="15"/>
      <c r="AJ43" s="15"/>
      <c r="AK43" s="15"/>
      <c r="AL43" s="28"/>
    </row>
    <row r="44" spans="1:38" x14ac:dyDescent="0.3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2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28"/>
    </row>
    <row r="45" spans="1:38" x14ac:dyDescent="0.3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2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28"/>
    </row>
    <row r="46" spans="1:38" x14ac:dyDescent="0.3">
      <c r="B46" s="15"/>
      <c r="C46" s="15"/>
      <c r="D46" s="15"/>
      <c r="E46" s="15"/>
      <c r="F46" s="15"/>
      <c r="G46" s="15"/>
      <c r="H46" s="15"/>
      <c r="I46" s="15"/>
      <c r="J46" s="26" t="str">
        <f>IF(AG20=1,"(Debido a la paridad de los resultados, no pueden deducirse de forma automática.)","")</f>
        <v/>
      </c>
      <c r="K46" s="15"/>
      <c r="L46" s="25" t="str">
        <f>IF(AG20=1,"Segundo:","")</f>
        <v/>
      </c>
      <c r="M46" s="15"/>
      <c r="N46" s="24"/>
      <c r="O46" s="24"/>
      <c r="P46" s="24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8"/>
    </row>
    <row r="58" spans="16:20" x14ac:dyDescent="0.3">
      <c r="P58" s="134" t="str">
        <f>+'GRUPOS INFANTIL'!F7</f>
        <v>BLUEMARTIN F.C .</v>
      </c>
      <c r="Q58" s="133" t="str">
        <f>+F8</f>
        <v/>
      </c>
      <c r="R58" s="133" t="str">
        <f>+F20</f>
        <v>G</v>
      </c>
      <c r="S58" s="133" t="str">
        <f>+F26</f>
        <v>G</v>
      </c>
      <c r="T58" s="133" t="str">
        <f>+J35</f>
        <v>G</v>
      </c>
    </row>
    <row r="59" spans="16:20" x14ac:dyDescent="0.3">
      <c r="P59" s="134" t="str">
        <f>+'GRUPOS INFANTIL'!F8</f>
        <v>EIFD TESOROS SPORTS</v>
      </c>
      <c r="Q59" s="133" t="str">
        <f>+F11</f>
        <v/>
      </c>
      <c r="R59" s="133" t="str">
        <f>+J20</f>
        <v>P</v>
      </c>
      <c r="S59" s="133" t="str">
        <f>+J29</f>
        <v>P</v>
      </c>
      <c r="T59" s="133" t="str">
        <f>+F32</f>
        <v>P</v>
      </c>
    </row>
    <row r="60" spans="16:20" x14ac:dyDescent="0.3">
      <c r="P60" s="134" t="str">
        <f>+'GRUPOS INFANTIL'!F9</f>
        <v>CENTAUROS DEL ARIARI</v>
      </c>
      <c r="Q60" s="133" t="str">
        <f>+F14</f>
        <v/>
      </c>
      <c r="R60" s="133" t="str">
        <f>+J23</f>
        <v>P</v>
      </c>
      <c r="S60" s="133" t="str">
        <f>+J26</f>
        <v>P</v>
      </c>
      <c r="T60" s="133" t="str">
        <f>+J32</f>
        <v>G</v>
      </c>
    </row>
    <row r="61" spans="16:20" x14ac:dyDescent="0.3">
      <c r="P61" s="134">
        <f>+'GRUPOS INFANTIL'!F10</f>
        <v>0</v>
      </c>
      <c r="Q61" s="133" t="str">
        <f>+F17</f>
        <v/>
      </c>
      <c r="R61" s="133" t="str">
        <f>+J23</f>
        <v>P</v>
      </c>
      <c r="S61" s="133" t="str">
        <f>+J29</f>
        <v>P</v>
      </c>
      <c r="T61" s="133" t="str">
        <f>+J35</f>
        <v>G</v>
      </c>
    </row>
  </sheetData>
  <mergeCells count="290">
    <mergeCell ref="J35:J36"/>
    <mergeCell ref="K35:K36"/>
    <mergeCell ref="L35:L36"/>
    <mergeCell ref="P36:T36"/>
    <mergeCell ref="J32:J33"/>
    <mergeCell ref="K32:K33"/>
    <mergeCell ref="L32:L33"/>
    <mergeCell ref="P33:T33"/>
    <mergeCell ref="D35:D36"/>
    <mergeCell ref="E35:E36"/>
    <mergeCell ref="F35:F36"/>
    <mergeCell ref="G35:G36"/>
    <mergeCell ref="H35:H36"/>
    <mergeCell ref="I35:I36"/>
    <mergeCell ref="D32:D33"/>
    <mergeCell ref="E32:E33"/>
    <mergeCell ref="F32:F33"/>
    <mergeCell ref="G32:G33"/>
    <mergeCell ref="H32:H33"/>
    <mergeCell ref="I32:I33"/>
    <mergeCell ref="AK28:AK29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AE28:AE29"/>
    <mergeCell ref="AF28:AF29"/>
    <mergeCell ref="AG28:AG29"/>
    <mergeCell ref="AH28:AH29"/>
    <mergeCell ref="AI28:AI29"/>
    <mergeCell ref="AJ28:AJ29"/>
    <mergeCell ref="Y28:Y29"/>
    <mergeCell ref="Z28:Z29"/>
    <mergeCell ref="AA28:AA29"/>
    <mergeCell ref="AB28:AB29"/>
    <mergeCell ref="AC28:AC29"/>
    <mergeCell ref="AD28:AD29"/>
    <mergeCell ref="AK26:AK27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AE26:AE27"/>
    <mergeCell ref="AF26:AF27"/>
    <mergeCell ref="AG26:AG27"/>
    <mergeCell ref="AH26:AH27"/>
    <mergeCell ref="AI26:AI27"/>
    <mergeCell ref="AJ26:AJ27"/>
    <mergeCell ref="Y26:Y27"/>
    <mergeCell ref="Z26:Z27"/>
    <mergeCell ref="AA26:AA27"/>
    <mergeCell ref="AB26:AB27"/>
    <mergeCell ref="AC26:AC27"/>
    <mergeCell ref="AD26:AD27"/>
    <mergeCell ref="S26:S27"/>
    <mergeCell ref="T26:T27"/>
    <mergeCell ref="P24:P25"/>
    <mergeCell ref="Q24:Q25"/>
    <mergeCell ref="R24:R25"/>
    <mergeCell ref="S24:S25"/>
    <mergeCell ref="U26:U27"/>
    <mergeCell ref="V26:V27"/>
    <mergeCell ref="W26:W27"/>
    <mergeCell ref="X26:X27"/>
    <mergeCell ref="J26:J27"/>
    <mergeCell ref="K26:K27"/>
    <mergeCell ref="L26:L27"/>
    <mergeCell ref="P26:P27"/>
    <mergeCell ref="Q26:Q27"/>
    <mergeCell ref="R26:R27"/>
    <mergeCell ref="AK24:AK25"/>
    <mergeCell ref="Z24:Z25"/>
    <mergeCell ref="AA24:AA25"/>
    <mergeCell ref="AB24:AB25"/>
    <mergeCell ref="AC24:AC25"/>
    <mergeCell ref="AD24:AD25"/>
    <mergeCell ref="AE24:AE25"/>
    <mergeCell ref="D26:D27"/>
    <mergeCell ref="E26:E27"/>
    <mergeCell ref="F26:F27"/>
    <mergeCell ref="G26:G27"/>
    <mergeCell ref="H26:H27"/>
    <mergeCell ref="I26:I27"/>
    <mergeCell ref="AF24:AF25"/>
    <mergeCell ref="AG24:AG25"/>
    <mergeCell ref="AH24:AH25"/>
    <mergeCell ref="T24:T25"/>
    <mergeCell ref="U24:U25"/>
    <mergeCell ref="V24:V25"/>
    <mergeCell ref="W24:W25"/>
    <mergeCell ref="X24:X25"/>
    <mergeCell ref="Y24:Y25"/>
    <mergeCell ref="K23:K24"/>
    <mergeCell ref="L23:L24"/>
    <mergeCell ref="AI22:AI23"/>
    <mergeCell ref="AJ22:AJ23"/>
    <mergeCell ref="AK22:AK23"/>
    <mergeCell ref="D23:D24"/>
    <mergeCell ref="E23:E24"/>
    <mergeCell ref="F23:F24"/>
    <mergeCell ref="G23:G24"/>
    <mergeCell ref="H23:H24"/>
    <mergeCell ref="I23:I24"/>
    <mergeCell ref="J23:J24"/>
    <mergeCell ref="AC22:AC23"/>
    <mergeCell ref="AD22:AD23"/>
    <mergeCell ref="AE22:AE23"/>
    <mergeCell ref="AF22:AF23"/>
    <mergeCell ref="AG22:AG23"/>
    <mergeCell ref="AH22:AH23"/>
    <mergeCell ref="W22:W23"/>
    <mergeCell ref="X22:X23"/>
    <mergeCell ref="Y22:Y23"/>
    <mergeCell ref="Z22:Z23"/>
    <mergeCell ref="AA22:AA23"/>
    <mergeCell ref="AB22:AB23"/>
    <mergeCell ref="AI24:AI25"/>
    <mergeCell ref="AJ24:AJ25"/>
    <mergeCell ref="AF20:AF21"/>
    <mergeCell ref="AG20:AG21"/>
    <mergeCell ref="AH20:AH21"/>
    <mergeCell ref="P22:P23"/>
    <mergeCell ref="Q22:Q23"/>
    <mergeCell ref="R22:R23"/>
    <mergeCell ref="S22:S23"/>
    <mergeCell ref="T22:T23"/>
    <mergeCell ref="U22:U23"/>
    <mergeCell ref="V22:V23"/>
    <mergeCell ref="Y20:Y21"/>
    <mergeCell ref="Z20:Z21"/>
    <mergeCell ref="AB20:AB21"/>
    <mergeCell ref="AC20:AC21"/>
    <mergeCell ref="AD20:AD21"/>
    <mergeCell ref="AE20:AE21"/>
    <mergeCell ref="S20:S21"/>
    <mergeCell ref="T20:T21"/>
    <mergeCell ref="U20:U21"/>
    <mergeCell ref="V20:V21"/>
    <mergeCell ref="W20:W21"/>
    <mergeCell ref="X20:X21"/>
    <mergeCell ref="J20:J21"/>
    <mergeCell ref="K20:K21"/>
    <mergeCell ref="L20:L21"/>
    <mergeCell ref="P20:P21"/>
    <mergeCell ref="Q20:Q21"/>
    <mergeCell ref="R20:R21"/>
    <mergeCell ref="D20:D21"/>
    <mergeCell ref="E20:E21"/>
    <mergeCell ref="F20:F21"/>
    <mergeCell ref="G20:G21"/>
    <mergeCell ref="H20:H21"/>
    <mergeCell ref="I20:I21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AK14:AK15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S14:S15"/>
    <mergeCell ref="T14:T15"/>
    <mergeCell ref="U14:U15"/>
    <mergeCell ref="V14:V15"/>
    <mergeCell ref="W14:W15"/>
    <mergeCell ref="X14:X15"/>
    <mergeCell ref="J14:J15"/>
    <mergeCell ref="K14:K15"/>
    <mergeCell ref="L14:L15"/>
    <mergeCell ref="P14:P15"/>
    <mergeCell ref="Q14:Q15"/>
    <mergeCell ref="R14:R15"/>
    <mergeCell ref="AH12:AH13"/>
    <mergeCell ref="AI12:AI13"/>
    <mergeCell ref="AJ12:AJ13"/>
    <mergeCell ref="AK12:AK13"/>
    <mergeCell ref="D14:D15"/>
    <mergeCell ref="E14:E15"/>
    <mergeCell ref="F14:F15"/>
    <mergeCell ref="G14:G15"/>
    <mergeCell ref="H14:H15"/>
    <mergeCell ref="I14:I15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P12:P13"/>
    <mergeCell ref="Q12:Q13"/>
    <mergeCell ref="R12:R13"/>
    <mergeCell ref="S12:S13"/>
    <mergeCell ref="T12:T13"/>
    <mergeCell ref="U12:U13"/>
    <mergeCell ref="AK10:AK11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AE10:AE11"/>
    <mergeCell ref="AF10:AF11"/>
    <mergeCell ref="AG10:AG11"/>
    <mergeCell ref="AH10:AH11"/>
    <mergeCell ref="AI10:AI11"/>
    <mergeCell ref="AJ10:AJ11"/>
    <mergeCell ref="Y10:Y11"/>
    <mergeCell ref="Z10:Z11"/>
    <mergeCell ref="AA10:AA11"/>
    <mergeCell ref="AB10:AB11"/>
    <mergeCell ref="AC10:AC11"/>
    <mergeCell ref="AD10:AD11"/>
    <mergeCell ref="AJ8:AJ9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AC8:AC9"/>
    <mergeCell ref="AD8:AD9"/>
    <mergeCell ref="AE8:AE9"/>
    <mergeCell ref="AF8:AF9"/>
    <mergeCell ref="AG8:AG9"/>
    <mergeCell ref="AH8:AH9"/>
    <mergeCell ref="V8:V9"/>
    <mergeCell ref="W8:W9"/>
    <mergeCell ref="X8:X9"/>
    <mergeCell ref="Y8:Y9"/>
    <mergeCell ref="Z8:Z9"/>
    <mergeCell ref="AB8:AB9"/>
    <mergeCell ref="S8:S9"/>
    <mergeCell ref="T8:T9"/>
    <mergeCell ref="U8:U9"/>
    <mergeCell ref="P6:Y6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1:N1"/>
    <mergeCell ref="A2:N2"/>
    <mergeCell ref="B3:E3"/>
    <mergeCell ref="F3:K3"/>
    <mergeCell ref="B4:M5"/>
    <mergeCell ref="B6:M6"/>
    <mergeCell ref="P8:P9"/>
    <mergeCell ref="Q8:Q9"/>
    <mergeCell ref="R8:R9"/>
  </mergeCells>
  <conditionalFormatting sqref="G8:G9">
    <cfRule type="expression" dxfId="335" priority="22" stopIfTrue="1">
      <formula>F8="P"</formula>
    </cfRule>
    <cfRule type="expression" dxfId="334" priority="23" stopIfTrue="1">
      <formula>F8="E"</formula>
    </cfRule>
    <cfRule type="expression" dxfId="333" priority="24" stopIfTrue="1">
      <formula>F8="G"</formula>
    </cfRule>
  </conditionalFormatting>
  <conditionalFormatting sqref="G11:G12">
    <cfRule type="expression" dxfId="332" priority="8" stopIfTrue="1">
      <formula>F11="E"</formula>
    </cfRule>
    <cfRule type="expression" dxfId="331" priority="7" stopIfTrue="1">
      <formula>F11="P"</formula>
    </cfRule>
    <cfRule type="expression" dxfId="330" priority="9" stopIfTrue="1">
      <formula>F11="G"</formula>
    </cfRule>
  </conditionalFormatting>
  <conditionalFormatting sqref="G14:G15">
    <cfRule type="expression" dxfId="329" priority="4" stopIfTrue="1">
      <formula>F14="P"</formula>
    </cfRule>
    <cfRule type="expression" dxfId="328" priority="5" stopIfTrue="1">
      <formula>F14="E"</formula>
    </cfRule>
    <cfRule type="expression" dxfId="327" priority="6" stopIfTrue="1">
      <formula>F14="G"</formula>
    </cfRule>
  </conditionalFormatting>
  <conditionalFormatting sqref="G17:G18">
    <cfRule type="expression" dxfId="326" priority="2" stopIfTrue="1">
      <formula>F17="E"</formula>
    </cfRule>
    <cfRule type="expression" dxfId="325" priority="3" stopIfTrue="1">
      <formula>F17="G"</formula>
    </cfRule>
    <cfRule type="expression" dxfId="324" priority="1" stopIfTrue="1">
      <formula>F17="P"</formula>
    </cfRule>
  </conditionalFormatting>
  <conditionalFormatting sqref="G20:G21">
    <cfRule type="expression" dxfId="323" priority="59" stopIfTrue="1">
      <formula>F20="E"</formula>
    </cfRule>
    <cfRule type="expression" dxfId="322" priority="58" stopIfTrue="1">
      <formula>F20="P"</formula>
    </cfRule>
    <cfRule type="expression" dxfId="321" priority="60" stopIfTrue="1">
      <formula>F20="G"</formula>
    </cfRule>
  </conditionalFormatting>
  <conditionalFormatting sqref="G23:G24">
    <cfRule type="expression" dxfId="320" priority="38" stopIfTrue="1">
      <formula>F23="E"</formula>
    </cfRule>
    <cfRule type="expression" dxfId="319" priority="37" stopIfTrue="1">
      <formula>F23="P"</formula>
    </cfRule>
    <cfRule type="expression" dxfId="318" priority="39" stopIfTrue="1">
      <formula>F23="G"</formula>
    </cfRule>
  </conditionalFormatting>
  <conditionalFormatting sqref="G26:G27">
    <cfRule type="expression" dxfId="317" priority="34" stopIfTrue="1">
      <formula>F26="P"</formula>
    </cfRule>
    <cfRule type="expression" dxfId="316" priority="35" stopIfTrue="1">
      <formula>F26="E"</formula>
    </cfRule>
    <cfRule type="expression" dxfId="315" priority="36" stopIfTrue="1">
      <formula>F26="G"</formula>
    </cfRule>
  </conditionalFormatting>
  <conditionalFormatting sqref="G29:G30">
    <cfRule type="expression" dxfId="314" priority="32" stopIfTrue="1">
      <formula>F29="E"</formula>
    </cfRule>
    <cfRule type="expression" dxfId="313" priority="31" stopIfTrue="1">
      <formula>F29="P"</formula>
    </cfRule>
    <cfRule type="expression" dxfId="312" priority="33" stopIfTrue="1">
      <formula>F29="G"</formula>
    </cfRule>
  </conditionalFormatting>
  <conditionalFormatting sqref="G32:G33">
    <cfRule type="expression" dxfId="311" priority="30" stopIfTrue="1">
      <formula>F32="G"</formula>
    </cfRule>
    <cfRule type="expression" dxfId="310" priority="29" stopIfTrue="1">
      <formula>F32="E"</formula>
    </cfRule>
    <cfRule type="expression" dxfId="309" priority="28" stopIfTrue="1">
      <formula>F32="P"</formula>
    </cfRule>
  </conditionalFormatting>
  <conditionalFormatting sqref="G35:G36">
    <cfRule type="expression" dxfId="308" priority="25" stopIfTrue="1">
      <formula>F35="P"</formula>
    </cfRule>
    <cfRule type="expression" dxfId="307" priority="26" stopIfTrue="1">
      <formula>F35="E"</formula>
    </cfRule>
    <cfRule type="expression" dxfId="306" priority="27" stopIfTrue="1">
      <formula>F35="G"</formula>
    </cfRule>
  </conditionalFormatting>
  <conditionalFormatting sqref="I8:I9">
    <cfRule type="expression" dxfId="305" priority="10" stopIfTrue="1">
      <formula>J8="P"</formula>
    </cfRule>
    <cfRule type="expression" dxfId="304" priority="11" stopIfTrue="1">
      <formula>J8="E"</formula>
    </cfRule>
    <cfRule type="expression" dxfId="303" priority="12" stopIfTrue="1">
      <formula>J8="G"</formula>
    </cfRule>
  </conditionalFormatting>
  <conditionalFormatting sqref="I11:I12">
    <cfRule type="expression" dxfId="302" priority="13" stopIfTrue="1">
      <formula>J11="P"</formula>
    </cfRule>
    <cfRule type="expression" dxfId="301" priority="14" stopIfTrue="1">
      <formula>J11="E"</formula>
    </cfRule>
    <cfRule type="expression" dxfId="300" priority="15" stopIfTrue="1">
      <formula>J11="G"</formula>
    </cfRule>
  </conditionalFormatting>
  <conditionalFormatting sqref="I14:I15">
    <cfRule type="expression" dxfId="299" priority="16" stopIfTrue="1">
      <formula>J14="P"</formula>
    </cfRule>
    <cfRule type="expression" dxfId="298" priority="17" stopIfTrue="1">
      <formula>J14="E"</formula>
    </cfRule>
    <cfRule type="expression" dxfId="297" priority="18" stopIfTrue="1">
      <formula>J14="G"</formula>
    </cfRule>
  </conditionalFormatting>
  <conditionalFormatting sqref="I17:I18">
    <cfRule type="expression" dxfId="296" priority="19" stopIfTrue="1">
      <formula>J17="P"</formula>
    </cfRule>
    <cfRule type="expression" dxfId="295" priority="20" stopIfTrue="1">
      <formula>J17="E"</formula>
    </cfRule>
    <cfRule type="expression" dxfId="294" priority="21" stopIfTrue="1">
      <formula>J17="G"</formula>
    </cfRule>
  </conditionalFormatting>
  <conditionalFormatting sqref="I20:I21">
    <cfRule type="expression" dxfId="293" priority="45" stopIfTrue="1">
      <formula>J20="G"</formula>
    </cfRule>
    <cfRule type="expression" dxfId="292" priority="43" stopIfTrue="1">
      <formula>J20="P"</formula>
    </cfRule>
    <cfRule type="expression" dxfId="291" priority="44" stopIfTrue="1">
      <formula>J20="E"</formula>
    </cfRule>
  </conditionalFormatting>
  <conditionalFormatting sqref="I23:I24">
    <cfRule type="expression" dxfId="290" priority="47" stopIfTrue="1">
      <formula>J23="E"</formula>
    </cfRule>
    <cfRule type="expression" dxfId="289" priority="48" stopIfTrue="1">
      <formula>J23="G"</formula>
    </cfRule>
    <cfRule type="expression" dxfId="288" priority="46" stopIfTrue="1">
      <formula>J23="P"</formula>
    </cfRule>
  </conditionalFormatting>
  <conditionalFormatting sqref="I26:I27">
    <cfRule type="expression" dxfId="287" priority="49" stopIfTrue="1">
      <formula>J26="P"</formula>
    </cfRule>
    <cfRule type="expression" dxfId="286" priority="50" stopIfTrue="1">
      <formula>J26="E"</formula>
    </cfRule>
    <cfRule type="expression" dxfId="285" priority="51" stopIfTrue="1">
      <formula>J26="G"</formula>
    </cfRule>
  </conditionalFormatting>
  <conditionalFormatting sqref="I29:I30">
    <cfRule type="expression" dxfId="284" priority="52" stopIfTrue="1">
      <formula>J29="P"</formula>
    </cfRule>
    <cfRule type="expression" dxfId="283" priority="54" stopIfTrue="1">
      <formula>J29="G"</formula>
    </cfRule>
    <cfRule type="expression" dxfId="282" priority="53" stopIfTrue="1">
      <formula>J29="E"</formula>
    </cfRule>
  </conditionalFormatting>
  <conditionalFormatting sqref="I32:I33">
    <cfRule type="expression" dxfId="281" priority="56" stopIfTrue="1">
      <formula>J32="E"</formula>
    </cfRule>
    <cfRule type="expression" dxfId="280" priority="57" stopIfTrue="1">
      <formula>J32="G"</formula>
    </cfRule>
    <cfRule type="expression" dxfId="279" priority="55" stopIfTrue="1">
      <formula>J32="P"</formula>
    </cfRule>
  </conditionalFormatting>
  <conditionalFormatting sqref="I35:I36">
    <cfRule type="expression" dxfId="278" priority="41" stopIfTrue="1">
      <formula>J35="E"</formula>
    </cfRule>
    <cfRule type="expression" dxfId="277" priority="42" stopIfTrue="1">
      <formula>J35="G"</formula>
    </cfRule>
    <cfRule type="expression" dxfId="276" priority="40" stopIfTrue="1">
      <formula>J35="P"</formula>
    </cfRule>
  </conditionalFormatting>
  <printOptions verticalCentered="1"/>
  <pageMargins left="0.70866141732283472" right="0.70866141732283472" top="0.74803149606299213" bottom="0.74803149606299213" header="0.31496062992125984" footer="0.31496062992125984"/>
  <pageSetup scale="55" fitToWidth="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249977111117893"/>
  </sheetPr>
  <dimension ref="A1:AL61"/>
  <sheetViews>
    <sheetView topLeftCell="A14" zoomScale="90" zoomScaleNormal="90" workbookViewId="0">
      <selection activeCell="H31" sqref="H31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4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customWidth="1"/>
    <col min="16" max="16" width="28.5546875" customWidth="1"/>
    <col min="17" max="25" width="5.6640625" customWidth="1"/>
    <col min="26" max="37" width="11.44140625" customWidth="1"/>
    <col min="38" max="38" width="3.33203125" customWidth="1"/>
  </cols>
  <sheetData>
    <row r="1" spans="1:38" s="3" customFormat="1" ht="34.799999999999997" x14ac:dyDescent="0.3">
      <c r="A1" s="313" t="str">
        <f>+'GRUPOS INFANTIL'!B1</f>
        <v>XVIII Festival Nacional de Fútbol Infantil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</row>
    <row r="2" spans="1:38" s="3" customFormat="1" ht="24.6" x14ac:dyDescent="0.3">
      <c r="A2" s="314" t="s">
        <v>6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</row>
    <row r="3" spans="1:38" s="3" customFormat="1" ht="34.799999999999997" x14ac:dyDescent="0.65">
      <c r="B3" s="315" t="str">
        <f>+'GRUPOS INFANTIL'!B3</f>
        <v>NACIDOS 2014 2015</v>
      </c>
      <c r="C3" s="315"/>
      <c r="D3" s="315"/>
      <c r="E3" s="315"/>
      <c r="F3" s="263" t="str">
        <f>+'GRUPOS INFANTIL'!B4</f>
        <v>SEPTIEMBRE 28 Y 29 DEL 2024</v>
      </c>
      <c r="G3" s="263"/>
      <c r="H3" s="263"/>
      <c r="I3" s="263"/>
      <c r="J3" s="263"/>
      <c r="K3" s="263"/>
      <c r="Y3" s="45"/>
    </row>
    <row r="4" spans="1:38" s="3" customFormat="1" ht="30.75" customHeight="1" x14ac:dyDescent="0.3">
      <c r="B4" s="355" t="str">
        <f>+'GRUPOS INFANTIL'!H6</f>
        <v>GRUPO D</v>
      </c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Y4" s="46"/>
    </row>
    <row r="5" spans="1:38" s="3" customFormat="1" ht="15" customHeight="1" x14ac:dyDescent="0.3">
      <c r="B5" s="356"/>
      <c r="C5" s="356"/>
      <c r="D5" s="356"/>
      <c r="E5" s="356"/>
      <c r="F5" s="356"/>
      <c r="G5" s="356"/>
      <c r="H5" s="356"/>
      <c r="I5" s="356"/>
      <c r="J5" s="356"/>
      <c r="K5" s="356"/>
      <c r="L5" s="356"/>
      <c r="M5" s="356"/>
      <c r="N5" s="15"/>
      <c r="O5" s="15"/>
      <c r="S5" s="1"/>
    </row>
    <row r="6" spans="1:38" ht="21.75" customHeight="1" x14ac:dyDescent="0.45">
      <c r="A6" s="1"/>
      <c r="B6" s="319" t="s">
        <v>4</v>
      </c>
      <c r="C6" s="320"/>
      <c r="D6" s="320"/>
      <c r="E6" s="320"/>
      <c r="F6" s="320"/>
      <c r="G6" s="320"/>
      <c r="H6" s="320"/>
      <c r="I6" s="320"/>
      <c r="J6" s="320"/>
      <c r="K6" s="320"/>
      <c r="L6" s="320"/>
      <c r="M6" s="320"/>
      <c r="N6" s="18"/>
      <c r="O6" s="18"/>
      <c r="P6" s="316" t="s">
        <v>14</v>
      </c>
      <c r="Q6" s="317"/>
      <c r="R6" s="317"/>
      <c r="S6" s="317"/>
      <c r="T6" s="317"/>
      <c r="U6" s="317"/>
      <c r="V6" s="317"/>
      <c r="W6" s="317"/>
      <c r="X6" s="317"/>
      <c r="Y6" s="317"/>
      <c r="Z6" s="3"/>
      <c r="AA6" s="3"/>
      <c r="AB6" s="3"/>
      <c r="AC6" s="3"/>
      <c r="AD6" s="3"/>
      <c r="AE6" s="3"/>
      <c r="AF6" s="3"/>
      <c r="AG6" s="3"/>
      <c r="AH6" s="3"/>
      <c r="AI6" s="3"/>
      <c r="AJ6" s="5">
        <f>COUNT(G8,I8,G11,I11,G14,I14,G17,I17,G20,I20,G23,I23,G26,I26,G29,I29,G32,I32,G35,I35)</f>
        <v>12</v>
      </c>
      <c r="AK6" s="3"/>
      <c r="AL6" s="3"/>
    </row>
    <row r="7" spans="1:38" ht="15" customHeight="1" x14ac:dyDescent="0.3">
      <c r="A7" s="68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8" t="s">
        <v>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13"/>
      <c r="B8" s="55"/>
      <c r="C8" s="51"/>
      <c r="D8" s="286"/>
      <c r="E8" s="287"/>
      <c r="F8" s="271" t="str">
        <f>IF(AND(G8&lt;&gt;"",I8&lt;&gt;""),IF(G8=I8,"E",IF(G8&gt;I8,"G","P")),"")</f>
        <v/>
      </c>
      <c r="G8" s="272"/>
      <c r="H8" s="274" t="s">
        <v>15</v>
      </c>
      <c r="I8" s="272"/>
      <c r="J8" s="271" t="str">
        <f>IF(AND(I8&lt;&gt;"",G8&lt;&gt;""),IF(I8=G8,"E",IF(I8&gt;G8,"G","P")),"")</f>
        <v/>
      </c>
      <c r="K8" s="287"/>
      <c r="L8" s="288"/>
      <c r="M8" s="111"/>
      <c r="N8" s="115"/>
      <c r="O8" s="67"/>
      <c r="P8" s="295"/>
      <c r="Q8" s="297" t="s">
        <v>7</v>
      </c>
      <c r="R8" s="299" t="s">
        <v>16</v>
      </c>
      <c r="S8" s="289" t="s">
        <v>8</v>
      </c>
      <c r="T8" s="289" t="s">
        <v>9</v>
      </c>
      <c r="U8" s="289" t="s">
        <v>10</v>
      </c>
      <c r="V8" s="289" t="s">
        <v>11</v>
      </c>
      <c r="W8" s="289" t="s">
        <v>12</v>
      </c>
      <c r="X8" s="289" t="s">
        <v>13</v>
      </c>
      <c r="Y8" s="289" t="s">
        <v>35</v>
      </c>
      <c r="Z8" s="291"/>
      <c r="AA8" s="27"/>
      <c r="AB8" s="293"/>
      <c r="AC8" s="293"/>
      <c r="AD8" s="293"/>
      <c r="AE8" s="293"/>
      <c r="AF8" s="293"/>
      <c r="AG8" s="293"/>
      <c r="AH8" s="293"/>
      <c r="AI8" s="27"/>
      <c r="AJ8" s="293" t="e">
        <f>IF(AJ6=12,IF(INDEX(Z22:AK29,MATCH(2,Z22:Z29,0),11)=INDEX(Z22:AK29,MATCH(1,Z22:Z29,0),11),1,0),0)</f>
        <v>#N/A</v>
      </c>
      <c r="AK8" s="3"/>
      <c r="AL8" s="3"/>
    </row>
    <row r="9" spans="1:38" ht="15" customHeight="1" x14ac:dyDescent="0.3">
      <c r="A9" s="65"/>
      <c r="B9" s="55"/>
      <c r="C9" s="51"/>
      <c r="D9" s="286"/>
      <c r="E9" s="287"/>
      <c r="F9" s="271"/>
      <c r="G9" s="273"/>
      <c r="H9" s="274"/>
      <c r="I9" s="273"/>
      <c r="J9" s="271"/>
      <c r="K9" s="287"/>
      <c r="L9" s="288"/>
      <c r="M9" s="53"/>
      <c r="N9" s="66"/>
      <c r="O9" s="66"/>
      <c r="P9" s="296"/>
      <c r="Q9" s="298"/>
      <c r="R9" s="300"/>
      <c r="S9" s="290"/>
      <c r="T9" s="290"/>
      <c r="U9" s="290"/>
      <c r="V9" s="290"/>
      <c r="W9" s="290"/>
      <c r="X9" s="290"/>
      <c r="Y9" s="290"/>
      <c r="Z9" s="292"/>
      <c r="AA9" s="27"/>
      <c r="AB9" s="294"/>
      <c r="AC9" s="294"/>
      <c r="AD9" s="294"/>
      <c r="AE9" s="294"/>
      <c r="AF9" s="294"/>
      <c r="AG9" s="294"/>
      <c r="AH9" s="294"/>
      <c r="AI9" s="27"/>
      <c r="AJ9" s="293"/>
      <c r="AK9" s="3"/>
      <c r="AL9" s="3"/>
    </row>
    <row r="10" spans="1:38" ht="22.5" customHeight="1" x14ac:dyDescent="0.3">
      <c r="A10" s="6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6"/>
      <c r="P10" s="276" t="str">
        <f>"  1)  " &amp; VLOOKUP(1,$Z$10:$AI$17,2,0)</f>
        <v xml:space="preserve">  1)  ACADEMIA IGUARAN F. C.</v>
      </c>
      <c r="Q10" s="278">
        <f>VLOOKUP(1,$Z$10:$AI$17,3,0)</f>
        <v>9</v>
      </c>
      <c r="R10" s="280">
        <f>+SUM(S10:U11)</f>
        <v>3</v>
      </c>
      <c r="S10" s="282">
        <f>VLOOKUP(1,$Z$10:$AI$17,4,0)</f>
        <v>3</v>
      </c>
      <c r="T10" s="282">
        <f>VLOOKUP(1,$Z$10:$AI$17,5,0)</f>
        <v>0</v>
      </c>
      <c r="U10" s="282">
        <f>VLOOKUP(1,$Z$10:$AI$17,6,0)</f>
        <v>0</v>
      </c>
      <c r="V10" s="282">
        <f>VLOOKUP(1,$Z$10:$AI$17,7,0)</f>
        <v>15</v>
      </c>
      <c r="W10" s="282">
        <f>VLOOKUP(1,$Z$10:$AI$17,8,0)</f>
        <v>3</v>
      </c>
      <c r="X10" s="282">
        <f>VLOOKUP(1,$Z$10:$AH$17,9,0)</f>
        <v>12</v>
      </c>
      <c r="Y10" s="282">
        <f>VLOOKUP(1,$Z$10:$AI$17,10,0)</f>
        <v>0</v>
      </c>
      <c r="Z10" s="284">
        <f>RANK(AJ10,$AJ$10:$AJ$17,0)</f>
        <v>1</v>
      </c>
      <c r="AA10" s="264" t="str">
        <f>+'GRUPOS INFANTIL'!H7</f>
        <v>ACADEMIA IGUARAN F. C.</v>
      </c>
      <c r="AB10" s="264">
        <f>(AC10*3)+AD10</f>
        <v>9</v>
      </c>
      <c r="AC10" s="264">
        <f>COUNTIF(Q58:T58,"G")</f>
        <v>3</v>
      </c>
      <c r="AD10" s="264">
        <f>COUNTIF(Q58:T58,"E")</f>
        <v>0</v>
      </c>
      <c r="AE10" s="264">
        <f>COUNTIF(Q58:T58,"P")</f>
        <v>0</v>
      </c>
      <c r="AF10" s="264">
        <f>+G8+G20+G26+G35</f>
        <v>15</v>
      </c>
      <c r="AG10" s="264">
        <f>+I8+I20+I26+I35</f>
        <v>3</v>
      </c>
      <c r="AH10" s="264">
        <f>AF10-AG10</f>
        <v>12</v>
      </c>
      <c r="AI10" s="266">
        <f>+A8+A20+A26+A35</f>
        <v>0</v>
      </c>
      <c r="AJ10" s="264">
        <f>(AB10*1000)+(AH10*100)+(AF10*10)-AI10+0.1</f>
        <v>10350.1</v>
      </c>
      <c r="AK10" s="267">
        <f>AJ10+X10</f>
        <v>10362.1</v>
      </c>
      <c r="AL10" s="3"/>
    </row>
    <row r="11" spans="1:38" ht="15.75" customHeight="1" x14ac:dyDescent="0.3">
      <c r="A11" s="114"/>
      <c r="B11" s="56"/>
      <c r="C11" s="52"/>
      <c r="D11" s="269"/>
      <c r="E11" s="270"/>
      <c r="F11" s="271" t="str">
        <f>IF(AND(G11&lt;&gt;"",I11&lt;&gt;""),IF(G11=I11,"E",IF(G11&gt;I11,"G","P")),"")</f>
        <v/>
      </c>
      <c r="G11" s="272"/>
      <c r="H11" s="274" t="s">
        <v>15</v>
      </c>
      <c r="I11" s="272"/>
      <c r="J11" s="271" t="str">
        <f>IF(AND(I11&lt;&gt;"",G11&lt;&gt;""),IF(I11=G11,"E",IF(I11&gt;G11,"G","P")),"")</f>
        <v/>
      </c>
      <c r="K11" s="270"/>
      <c r="L11" s="275"/>
      <c r="M11" s="112"/>
      <c r="N11" s="116"/>
      <c r="O11" s="67"/>
      <c r="P11" s="277"/>
      <c r="Q11" s="279"/>
      <c r="R11" s="281"/>
      <c r="S11" s="283"/>
      <c r="T11" s="283"/>
      <c r="U11" s="283"/>
      <c r="V11" s="283"/>
      <c r="W11" s="283"/>
      <c r="X11" s="283"/>
      <c r="Y11" s="283"/>
      <c r="Z11" s="285"/>
      <c r="AA11" s="265"/>
      <c r="AB11" s="265"/>
      <c r="AC11" s="265"/>
      <c r="AD11" s="265"/>
      <c r="AE11" s="265"/>
      <c r="AF11" s="265"/>
      <c r="AG11" s="265"/>
      <c r="AH11" s="265"/>
      <c r="AI11" s="265"/>
      <c r="AJ11" s="265"/>
      <c r="AK11" s="268"/>
      <c r="AL11" s="3"/>
    </row>
    <row r="12" spans="1:38" ht="15.75" customHeight="1" x14ac:dyDescent="0.3">
      <c r="A12" s="65"/>
      <c r="B12" s="56"/>
      <c r="C12" s="52"/>
      <c r="D12" s="269"/>
      <c r="E12" s="270"/>
      <c r="F12" s="271"/>
      <c r="G12" s="273"/>
      <c r="H12" s="274"/>
      <c r="I12" s="273"/>
      <c r="J12" s="271"/>
      <c r="K12" s="270"/>
      <c r="L12" s="275"/>
      <c r="M12" s="54"/>
      <c r="N12" s="66"/>
      <c r="O12" s="66"/>
      <c r="P12" s="276" t="str">
        <f>"  2)  " &amp; VLOOKUP(2,$Z$10:$AI$17,2,0)</f>
        <v xml:space="preserve">  2)  GRAMA F. C.</v>
      </c>
      <c r="Q12" s="278">
        <f>VLOOKUP(2,$Z$10:$AI$17,3,0)</f>
        <v>4</v>
      </c>
      <c r="R12" s="280">
        <f>+SUM(S12:U13)</f>
        <v>3</v>
      </c>
      <c r="S12" s="282">
        <f>VLOOKUP(2,$Z$10:$AI$17,4,0)</f>
        <v>1</v>
      </c>
      <c r="T12" s="282">
        <f>VLOOKUP(2,$Z$10:$AI$17,5,0)</f>
        <v>1</v>
      </c>
      <c r="U12" s="282">
        <f>VLOOKUP(2,$Z$10:$AI$17,6,0)</f>
        <v>1</v>
      </c>
      <c r="V12" s="282">
        <f>VLOOKUP(2,$Z$10:$AI$17,7,0)</f>
        <v>13</v>
      </c>
      <c r="W12" s="282">
        <f>VLOOKUP(2,$Z$10:$AI$17,8,0)</f>
        <v>9</v>
      </c>
      <c r="X12" s="282">
        <f>VLOOKUP(2,$Z$10:$AH$17,9,0)</f>
        <v>4</v>
      </c>
      <c r="Y12" s="282">
        <f>VLOOKUP(2,$Z$10:$AI$17,10,0)</f>
        <v>0</v>
      </c>
      <c r="Z12" s="284">
        <f>RANK(AJ12,$AJ$10:$AJ$17,0)</f>
        <v>4</v>
      </c>
      <c r="AA12" s="264" t="str">
        <f>+'GRUPOS INFANTIL'!H8</f>
        <v>COLEGIO NEIL ARMSTRONG</v>
      </c>
      <c r="AB12" s="264">
        <f>(AC12*3)+AD12</f>
        <v>0</v>
      </c>
      <c r="AC12" s="264">
        <f>COUNTIF(Q59:T59,"G")</f>
        <v>0</v>
      </c>
      <c r="AD12" s="264">
        <f>COUNTIF(Q59:T59,"E")</f>
        <v>0</v>
      </c>
      <c r="AE12" s="264">
        <f>COUNTIF(Q59:T59,"P")</f>
        <v>3</v>
      </c>
      <c r="AF12" s="264">
        <f>+G11+I20+G29+G32</f>
        <v>5</v>
      </c>
      <c r="AG12" s="264">
        <f>+I11+I29+G20+I32</f>
        <v>16</v>
      </c>
      <c r="AH12" s="264">
        <f>AF12-AG12</f>
        <v>-11</v>
      </c>
      <c r="AI12" s="266">
        <f>+A29+A11+N20+A32</f>
        <v>0</v>
      </c>
      <c r="AJ12" s="264">
        <f>(AB12*1000)+(AH12*100)+(AF12*10)-AI12+0.2</f>
        <v>-1049.8</v>
      </c>
      <c r="AK12" s="267">
        <f>AJ12+X12</f>
        <v>-1045.8</v>
      </c>
      <c r="AL12" s="3"/>
    </row>
    <row r="13" spans="1:38" ht="22.5" customHeight="1" x14ac:dyDescent="0.3">
      <c r="A13" s="6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66"/>
      <c r="P13" s="277"/>
      <c r="Q13" s="279"/>
      <c r="R13" s="281"/>
      <c r="S13" s="283"/>
      <c r="T13" s="283"/>
      <c r="U13" s="283"/>
      <c r="V13" s="283"/>
      <c r="W13" s="283"/>
      <c r="X13" s="283"/>
      <c r="Y13" s="283"/>
      <c r="Z13" s="285"/>
      <c r="AA13" s="265"/>
      <c r="AB13" s="265"/>
      <c r="AC13" s="265"/>
      <c r="AD13" s="265"/>
      <c r="AE13" s="265"/>
      <c r="AF13" s="265"/>
      <c r="AG13" s="265"/>
      <c r="AH13" s="265"/>
      <c r="AI13" s="265"/>
      <c r="AJ13" s="265"/>
      <c r="AK13" s="268"/>
      <c r="AL13" s="3"/>
    </row>
    <row r="14" spans="1:38" ht="15" customHeight="1" x14ac:dyDescent="0.3">
      <c r="A14" s="113"/>
      <c r="B14" s="55"/>
      <c r="C14" s="51"/>
      <c r="D14" s="286"/>
      <c r="E14" s="287"/>
      <c r="F14" s="271" t="str">
        <f>IF(AND(G14&lt;&gt;"",I14&lt;&gt;""),IF(G14=I14,"E",IF(G14&gt;I14,"G","P")),"")</f>
        <v/>
      </c>
      <c r="G14" s="272"/>
      <c r="H14" s="274" t="s">
        <v>15</v>
      </c>
      <c r="I14" s="272"/>
      <c r="J14" s="271" t="str">
        <f>IF(AND(I14&lt;&gt;"",G14&lt;&gt;""),IF(I14=G14,"E",IF(I14&gt;G14,"G","P")),"")</f>
        <v/>
      </c>
      <c r="K14" s="287"/>
      <c r="L14" s="288"/>
      <c r="M14" s="111"/>
      <c r="N14" s="115"/>
      <c r="O14" s="67"/>
      <c r="P14" s="276" t="str">
        <f>"  3)  " &amp; VLOOKUP(3,$Z$10:$AI$17,2,0)</f>
        <v xml:space="preserve">  3)  CORDOBA Y CERRANO F. C.</v>
      </c>
      <c r="Q14" s="278">
        <f>VLOOKUP(3,$Z$10:$AI$17,3,0)</f>
        <v>4</v>
      </c>
      <c r="R14" s="280">
        <f>+SUM(S14:U15)</f>
        <v>3</v>
      </c>
      <c r="S14" s="282">
        <f>VLOOKUP(3,$Z$10:$AI$17,4,0)</f>
        <v>1</v>
      </c>
      <c r="T14" s="282">
        <f>VLOOKUP(3,$Z$10:$AI$17,5,0)</f>
        <v>1</v>
      </c>
      <c r="U14" s="282">
        <f>VLOOKUP(3,$Z$10:$AI$17,6,0)</f>
        <v>1</v>
      </c>
      <c r="V14" s="282">
        <f>VLOOKUP(3,$Z$10:$AI$17,7,0)</f>
        <v>8</v>
      </c>
      <c r="W14" s="282">
        <f>VLOOKUP(3,$Z$10:$AI$17,8,0)</f>
        <v>13</v>
      </c>
      <c r="X14" s="282">
        <f>VLOOKUP(3,$Z$10:$AI$17,9,0)</f>
        <v>-5</v>
      </c>
      <c r="Y14" s="282">
        <f>VLOOKUP(3,$Z$10:$AI$17,10,0)</f>
        <v>0</v>
      </c>
      <c r="Z14" s="284">
        <f>RANK(AJ14,$AJ$10:$AJ$17,0)</f>
        <v>3</v>
      </c>
      <c r="AA14" s="264" t="str">
        <f>+'GRUPOS INFANTIL'!H9</f>
        <v>CORDOBA Y CERRANO F. C.</v>
      </c>
      <c r="AB14" s="264">
        <f>(AC14*3)+AD14</f>
        <v>4</v>
      </c>
      <c r="AC14" s="264">
        <f>COUNTIF(Q60:T60,"G")</f>
        <v>1</v>
      </c>
      <c r="AD14" s="264">
        <f>COUNTIF(Q60:T60,"E")</f>
        <v>1</v>
      </c>
      <c r="AE14" s="264">
        <f>COUNTIF(Q60:T60,"P")</f>
        <v>1</v>
      </c>
      <c r="AF14" s="264">
        <f>+G14+I26+G23+I32</f>
        <v>8</v>
      </c>
      <c r="AG14" s="264">
        <f>+G26+I14+I23+G32</f>
        <v>13</v>
      </c>
      <c r="AH14" s="264">
        <f>AF14-AG14</f>
        <v>-5</v>
      </c>
      <c r="AI14" s="266">
        <f>+A14+A23+N26+N32</f>
        <v>0</v>
      </c>
      <c r="AJ14" s="264">
        <f>(AB14*1000)+(AH14*100)+(AF14*10)-AI14+0.3</f>
        <v>3580.3</v>
      </c>
      <c r="AK14" s="267">
        <f>+X14</f>
        <v>-5</v>
      </c>
      <c r="AL14" s="3"/>
    </row>
    <row r="15" spans="1:38" ht="15" customHeight="1" x14ac:dyDescent="0.3">
      <c r="A15" s="65"/>
      <c r="B15" s="55"/>
      <c r="C15" s="51"/>
      <c r="D15" s="286"/>
      <c r="E15" s="287"/>
      <c r="F15" s="271"/>
      <c r="G15" s="273"/>
      <c r="H15" s="274"/>
      <c r="I15" s="273"/>
      <c r="J15" s="271"/>
      <c r="K15" s="287"/>
      <c r="L15" s="288"/>
      <c r="M15" s="53"/>
      <c r="N15" s="66"/>
      <c r="O15" s="66"/>
      <c r="P15" s="277"/>
      <c r="Q15" s="279"/>
      <c r="R15" s="281"/>
      <c r="S15" s="283"/>
      <c r="T15" s="283"/>
      <c r="U15" s="283"/>
      <c r="V15" s="283"/>
      <c r="W15" s="283"/>
      <c r="X15" s="283"/>
      <c r="Y15" s="283"/>
      <c r="Z15" s="285"/>
      <c r="AA15" s="265"/>
      <c r="AB15" s="265"/>
      <c r="AC15" s="265"/>
      <c r="AD15" s="265"/>
      <c r="AE15" s="265"/>
      <c r="AF15" s="265"/>
      <c r="AG15" s="265"/>
      <c r="AH15" s="265"/>
      <c r="AI15" s="265"/>
      <c r="AJ15" s="265"/>
      <c r="AK15" s="268"/>
      <c r="AL15" s="3"/>
    </row>
    <row r="16" spans="1:38" ht="21.75" customHeight="1" x14ac:dyDescent="0.3">
      <c r="A16" s="6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66"/>
      <c r="P16" s="276" t="str">
        <f>"  4)  " &amp; VLOOKUP(4,$Z$10:$AI$17,2,0)</f>
        <v xml:space="preserve">  4)  COLEGIO NEIL ARMSTRONG</v>
      </c>
      <c r="Q16" s="278">
        <f>VLOOKUP(4,$Z$10:$AI$17,3,0)</f>
        <v>0</v>
      </c>
      <c r="R16" s="280">
        <f>+SUM(S16:U17)</f>
        <v>3</v>
      </c>
      <c r="S16" s="282">
        <f>VLOOKUP(4,$Z$10:$AI$17,4,0)</f>
        <v>0</v>
      </c>
      <c r="T16" s="282">
        <f>VLOOKUP(4,$Z$10:$AI$17,5,0)</f>
        <v>0</v>
      </c>
      <c r="U16" s="282">
        <f>VLOOKUP(4,$Z$10:$AI$17,6,0)</f>
        <v>3</v>
      </c>
      <c r="V16" s="282">
        <f>VLOOKUP(4,$Z$10:$AI$17,7,0)</f>
        <v>5</v>
      </c>
      <c r="W16" s="282">
        <f>VLOOKUP(4,$Z$10:$AI$17,8,0)</f>
        <v>16</v>
      </c>
      <c r="X16" s="282">
        <f>VLOOKUP(4,$Z$10:$AI$17,9,0)</f>
        <v>-11</v>
      </c>
      <c r="Y16" s="282">
        <f>VLOOKUP(4,$Z$10:$AI$17,10,0)</f>
        <v>0</v>
      </c>
      <c r="Z16" s="284">
        <f>RANK(AJ16,$AJ$10:$AJ$17,0)</f>
        <v>2</v>
      </c>
      <c r="AA16" s="264" t="str">
        <f>+'GRUPOS INFANTIL'!H10</f>
        <v>GRAMA F. C.</v>
      </c>
      <c r="AB16" s="264">
        <f>(AC16*3)+AD16</f>
        <v>4</v>
      </c>
      <c r="AC16" s="264">
        <f>COUNTIF(Q61:T61,"G")</f>
        <v>1</v>
      </c>
      <c r="AD16" s="264">
        <f>COUNTIF(Q61:T61,"E")</f>
        <v>1</v>
      </c>
      <c r="AE16" s="264">
        <f>COUNTIF(Q61:T61,"P")</f>
        <v>1</v>
      </c>
      <c r="AF16" s="264">
        <f>+G17+I29+I23+I35</f>
        <v>13</v>
      </c>
      <c r="AG16" s="264">
        <f>+I17+G29+G23+G35</f>
        <v>9</v>
      </c>
      <c r="AH16" s="264">
        <f>AF16-AG16</f>
        <v>4</v>
      </c>
      <c r="AI16" s="266">
        <f>+A17+N23+N29+N35</f>
        <v>0</v>
      </c>
      <c r="AJ16" s="264">
        <f>(AB16*1000)+(AH16*100)+(AF16*10)-AI16+0.4</f>
        <v>4530.3999999999996</v>
      </c>
      <c r="AK16" s="267">
        <f>+X16</f>
        <v>-11</v>
      </c>
      <c r="AL16" s="3"/>
    </row>
    <row r="17" spans="1:38" ht="15" customHeight="1" x14ac:dyDescent="0.3">
      <c r="A17" s="114"/>
      <c r="B17" s="56"/>
      <c r="C17" s="52"/>
      <c r="D17" s="269"/>
      <c r="E17" s="270"/>
      <c r="F17" s="271" t="str">
        <f>IF(AND(G17&lt;&gt;"",I17&lt;&gt;""),IF(G17=I17,"E",IF(G17&gt;I17,"G","P")),"")</f>
        <v/>
      </c>
      <c r="G17" s="272"/>
      <c r="H17" s="274" t="s">
        <v>15</v>
      </c>
      <c r="I17" s="272"/>
      <c r="J17" s="271" t="str">
        <f>IF(AND(I17&lt;&gt;"",G17&lt;&gt;""),IF(I17=G17,"E",IF(I17&gt;G17,"G","P")),"")</f>
        <v/>
      </c>
      <c r="K17" s="270"/>
      <c r="L17" s="275"/>
      <c r="M17" s="112"/>
      <c r="N17" s="116"/>
      <c r="O17" s="67"/>
      <c r="P17" s="277"/>
      <c r="Q17" s="279"/>
      <c r="R17" s="281"/>
      <c r="S17" s="283"/>
      <c r="T17" s="283"/>
      <c r="U17" s="283"/>
      <c r="V17" s="283"/>
      <c r="W17" s="283"/>
      <c r="X17" s="283"/>
      <c r="Y17" s="283"/>
      <c r="Z17" s="285"/>
      <c r="AA17" s="265"/>
      <c r="AB17" s="265"/>
      <c r="AC17" s="265"/>
      <c r="AD17" s="265"/>
      <c r="AE17" s="265"/>
      <c r="AF17" s="265"/>
      <c r="AG17" s="265"/>
      <c r="AH17" s="265"/>
      <c r="AI17" s="265"/>
      <c r="AJ17" s="265"/>
      <c r="AK17" s="268"/>
      <c r="AL17" s="3"/>
    </row>
    <row r="18" spans="1:38" ht="15" customHeight="1" x14ac:dyDescent="0.3">
      <c r="A18" s="65"/>
      <c r="B18" s="56"/>
      <c r="C18" s="52"/>
      <c r="D18" s="269"/>
      <c r="E18" s="270"/>
      <c r="F18" s="271"/>
      <c r="G18" s="273"/>
      <c r="H18" s="274"/>
      <c r="I18" s="273"/>
      <c r="J18" s="271"/>
      <c r="K18" s="270"/>
      <c r="L18" s="275"/>
      <c r="M18" s="54"/>
      <c r="N18" s="66"/>
      <c r="O18" s="66"/>
      <c r="P18" s="77"/>
      <c r="Q18" s="74"/>
      <c r="R18" s="74"/>
      <c r="S18" s="75"/>
      <c r="T18" s="75"/>
      <c r="U18" s="75"/>
      <c r="V18" s="75"/>
      <c r="W18" s="75"/>
      <c r="X18" s="75"/>
      <c r="Y18" s="75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27"/>
    </row>
    <row r="19" spans="1:38" s="3" customFormat="1" ht="15" customHeight="1" x14ac:dyDescent="0.3">
      <c r="A19" s="65"/>
      <c r="B19" s="198"/>
      <c r="C19" s="199"/>
      <c r="D19" s="200"/>
      <c r="E19" s="201"/>
      <c r="F19" s="202"/>
      <c r="J19" s="202"/>
      <c r="K19" s="201"/>
      <c r="L19" s="203"/>
      <c r="M19" s="182"/>
      <c r="N19" s="66"/>
      <c r="O19" s="66"/>
      <c r="P19" s="77"/>
      <c r="Q19" s="74"/>
      <c r="R19" s="74"/>
      <c r="S19" s="75"/>
      <c r="T19" s="75"/>
      <c r="U19" s="75"/>
      <c r="V19" s="75"/>
      <c r="W19" s="75"/>
      <c r="X19" s="75"/>
      <c r="Y19" s="75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27"/>
    </row>
    <row r="20" spans="1:38" ht="15" customHeight="1" x14ac:dyDescent="0.3">
      <c r="A20" s="113"/>
      <c r="B20" s="55">
        <v>42812</v>
      </c>
      <c r="C20" s="51" t="s">
        <v>101</v>
      </c>
      <c r="D20" s="286"/>
      <c r="E20" s="287" t="str">
        <f>+'GRUPOS INFANTIL'!H7</f>
        <v>ACADEMIA IGUARAN F. C.</v>
      </c>
      <c r="F20" s="271" t="str">
        <f>IF(AND(G20&lt;&gt;"",I20&lt;&gt;""),IF(G20=I20,"E",IF(G20&gt;I20,"G","P")),"")</f>
        <v>G</v>
      </c>
      <c r="G20" s="272">
        <v>4</v>
      </c>
      <c r="H20" s="274" t="s">
        <v>15</v>
      </c>
      <c r="I20" s="272">
        <v>2</v>
      </c>
      <c r="J20" s="271" t="str">
        <f>IF(AND(I20&lt;&gt;"",G20&lt;&gt;""),IF(I20=G20,"E",IF(I20&gt;G20,"G","P")),"")</f>
        <v>P</v>
      </c>
      <c r="K20" s="287" t="str">
        <f>+'GRUPOS INFANTIL'!H8</f>
        <v>COLEGIO NEIL ARMSTRONG</v>
      </c>
      <c r="L20" s="288"/>
      <c r="M20" s="111" t="s">
        <v>38</v>
      </c>
      <c r="N20" s="115"/>
      <c r="O20" s="67"/>
      <c r="P20" s="312"/>
      <c r="Q20" s="311"/>
      <c r="R20" s="304"/>
      <c r="S20" s="310"/>
      <c r="T20" s="310"/>
      <c r="U20" s="310"/>
      <c r="V20" s="310"/>
      <c r="W20" s="310"/>
      <c r="X20" s="310"/>
      <c r="Y20" s="310"/>
      <c r="Z20" s="293"/>
      <c r="AA20" s="27"/>
      <c r="AB20" s="293"/>
      <c r="AC20" s="293"/>
      <c r="AD20" s="293"/>
      <c r="AE20" s="293"/>
      <c r="AF20" s="293"/>
      <c r="AG20" s="293"/>
      <c r="AH20" s="293"/>
      <c r="AI20" s="27"/>
      <c r="AJ20" s="3"/>
      <c r="AK20" s="3"/>
      <c r="AL20" s="3"/>
    </row>
    <row r="21" spans="1:38" ht="15" customHeight="1" x14ac:dyDescent="0.3">
      <c r="A21" s="65"/>
      <c r="B21" s="55"/>
      <c r="C21" s="51"/>
      <c r="D21" s="286"/>
      <c r="E21" s="287"/>
      <c r="F21" s="271"/>
      <c r="G21" s="273"/>
      <c r="H21" s="274"/>
      <c r="I21" s="273"/>
      <c r="J21" s="271"/>
      <c r="K21" s="287"/>
      <c r="L21" s="288"/>
      <c r="M21" s="53"/>
      <c r="N21" s="66"/>
      <c r="O21" s="66"/>
      <c r="P21" s="312"/>
      <c r="Q21" s="311"/>
      <c r="R21" s="304"/>
      <c r="S21" s="310"/>
      <c r="T21" s="310"/>
      <c r="U21" s="310"/>
      <c r="V21" s="310"/>
      <c r="W21" s="310"/>
      <c r="X21" s="310"/>
      <c r="Y21" s="310"/>
      <c r="Z21" s="293"/>
      <c r="AA21" s="27"/>
      <c r="AB21" s="293"/>
      <c r="AC21" s="293"/>
      <c r="AD21" s="293"/>
      <c r="AE21" s="293"/>
      <c r="AF21" s="293"/>
      <c r="AG21" s="293"/>
      <c r="AH21" s="293"/>
      <c r="AI21" s="27"/>
      <c r="AJ21" s="3"/>
      <c r="AK21" s="3"/>
      <c r="AL21" s="3"/>
    </row>
    <row r="22" spans="1:38" ht="22.5" customHeight="1" x14ac:dyDescent="0.3">
      <c r="A22" s="6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6"/>
      <c r="P22" s="306"/>
      <c r="Q22" s="307"/>
      <c r="R22" s="305"/>
      <c r="S22" s="308"/>
      <c r="T22" s="308"/>
      <c r="U22" s="308"/>
      <c r="V22" s="308"/>
      <c r="W22" s="308"/>
      <c r="X22" s="308"/>
      <c r="Y22" s="308"/>
      <c r="Z22" s="309"/>
      <c r="AA22" s="309"/>
      <c r="AB22" s="309"/>
      <c r="AC22" s="309"/>
      <c r="AD22" s="309"/>
      <c r="AE22" s="309"/>
      <c r="AF22" s="309"/>
      <c r="AG22" s="309"/>
      <c r="AH22" s="309"/>
      <c r="AI22" s="309"/>
      <c r="AJ22" s="309"/>
      <c r="AK22" s="318"/>
      <c r="AL22" s="3"/>
    </row>
    <row r="23" spans="1:38" ht="15.75" customHeight="1" x14ac:dyDescent="0.3">
      <c r="A23" s="114"/>
      <c r="B23" s="56">
        <v>42812</v>
      </c>
      <c r="C23" s="52" t="s">
        <v>102</v>
      </c>
      <c r="D23" s="269"/>
      <c r="E23" s="270" t="str">
        <f>+'GRUPOS INFANTIL'!H9</f>
        <v>CORDOBA Y CERRANO F. C.</v>
      </c>
      <c r="F23" s="271" t="str">
        <f>IF(AND(G23&lt;&gt;"",I23&lt;&gt;""),IF(G23=I23,"E",IF(G23&gt;I23,"G","P")),"")</f>
        <v>E</v>
      </c>
      <c r="G23" s="272">
        <v>4</v>
      </c>
      <c r="H23" s="274" t="s">
        <v>15</v>
      </c>
      <c r="I23" s="272">
        <v>4</v>
      </c>
      <c r="J23" s="271" t="str">
        <f>IF(AND(I23&lt;&gt;"",G23&lt;&gt;""),IF(I23=G23,"E",IF(I23&gt;G23,"G","P")),"")</f>
        <v>E</v>
      </c>
      <c r="K23" s="270" t="str">
        <f>+'GRUPOS INFANTIL'!H10</f>
        <v>GRAMA F. C.</v>
      </c>
      <c r="L23" s="275"/>
      <c r="M23" s="112" t="s">
        <v>80</v>
      </c>
      <c r="N23" s="116"/>
      <c r="O23" s="67"/>
      <c r="P23" s="306"/>
      <c r="Q23" s="307"/>
      <c r="R23" s="305"/>
      <c r="S23" s="308"/>
      <c r="T23" s="308"/>
      <c r="U23" s="308"/>
      <c r="V23" s="308"/>
      <c r="W23" s="308"/>
      <c r="X23" s="308"/>
      <c r="Y23" s="308"/>
      <c r="Z23" s="309"/>
      <c r="AA23" s="309"/>
      <c r="AB23" s="309"/>
      <c r="AC23" s="309"/>
      <c r="AD23" s="309"/>
      <c r="AE23" s="309"/>
      <c r="AF23" s="309"/>
      <c r="AG23" s="309"/>
      <c r="AH23" s="309"/>
      <c r="AI23" s="309"/>
      <c r="AJ23" s="309"/>
      <c r="AK23" s="318"/>
      <c r="AL23" s="3"/>
    </row>
    <row r="24" spans="1:38" ht="15.75" customHeight="1" x14ac:dyDescent="0.3">
      <c r="A24" s="65"/>
      <c r="B24" s="56"/>
      <c r="C24" s="52"/>
      <c r="D24" s="269"/>
      <c r="E24" s="270"/>
      <c r="F24" s="271"/>
      <c r="G24" s="273"/>
      <c r="H24" s="274"/>
      <c r="I24" s="273"/>
      <c r="J24" s="271"/>
      <c r="K24" s="270"/>
      <c r="L24" s="275"/>
      <c r="M24" s="54"/>
      <c r="N24" s="66"/>
      <c r="O24" s="66"/>
      <c r="P24" s="306"/>
      <c r="Q24" s="307"/>
      <c r="R24" s="305"/>
      <c r="S24" s="308"/>
      <c r="T24" s="308"/>
      <c r="U24" s="308"/>
      <c r="V24" s="308"/>
      <c r="W24" s="308"/>
      <c r="X24" s="308"/>
      <c r="Y24" s="308"/>
      <c r="Z24" s="309"/>
      <c r="AA24" s="309"/>
      <c r="AB24" s="309"/>
      <c r="AC24" s="309"/>
      <c r="AD24" s="309"/>
      <c r="AE24" s="309"/>
      <c r="AF24" s="309"/>
      <c r="AG24" s="309"/>
      <c r="AH24" s="309"/>
      <c r="AI24" s="309"/>
      <c r="AJ24" s="309"/>
      <c r="AK24" s="318"/>
      <c r="AL24" s="3"/>
    </row>
    <row r="25" spans="1:38" ht="22.5" customHeight="1" x14ac:dyDescent="0.3">
      <c r="A25" s="6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66"/>
      <c r="P25" s="306"/>
      <c r="Q25" s="307"/>
      <c r="R25" s="305"/>
      <c r="S25" s="308"/>
      <c r="T25" s="308"/>
      <c r="U25" s="308"/>
      <c r="V25" s="308"/>
      <c r="W25" s="308"/>
      <c r="X25" s="308"/>
      <c r="Y25" s="308"/>
      <c r="Z25" s="309"/>
      <c r="AA25" s="309"/>
      <c r="AB25" s="309"/>
      <c r="AC25" s="309"/>
      <c r="AD25" s="309"/>
      <c r="AE25" s="309"/>
      <c r="AF25" s="309"/>
      <c r="AG25" s="309"/>
      <c r="AH25" s="309"/>
      <c r="AI25" s="309"/>
      <c r="AJ25" s="309"/>
      <c r="AK25" s="318"/>
      <c r="AL25" s="3"/>
    </row>
    <row r="26" spans="1:38" ht="15" customHeight="1" x14ac:dyDescent="0.3">
      <c r="A26" s="113"/>
      <c r="B26" s="55">
        <v>42812</v>
      </c>
      <c r="C26" s="51" t="s">
        <v>78</v>
      </c>
      <c r="D26" s="286"/>
      <c r="E26" s="287" t="str">
        <f>+'GRUPOS INFANTIL'!H7</f>
        <v>ACADEMIA IGUARAN F. C.</v>
      </c>
      <c r="F26" s="271" t="str">
        <f>IF(AND(G26&lt;&gt;"",I26&lt;&gt;""),IF(G26=I26,"E",IF(G26&gt;I26,"G","P")),"")</f>
        <v>G</v>
      </c>
      <c r="G26" s="272">
        <v>8</v>
      </c>
      <c r="H26" s="274" t="s">
        <v>15</v>
      </c>
      <c r="I26" s="272">
        <v>0</v>
      </c>
      <c r="J26" s="271" t="str">
        <f>IF(AND(I26&lt;&gt;"",G26&lt;&gt;""),IF(I26=G26,"E",IF(I26&gt;G26,"G","P")),"")</f>
        <v>P</v>
      </c>
      <c r="K26" s="287" t="str">
        <f>+'GRUPOS INFANTIL'!H9</f>
        <v>CORDOBA Y CERRANO F. C.</v>
      </c>
      <c r="L26" s="288"/>
      <c r="M26" s="111" t="s">
        <v>80</v>
      </c>
      <c r="N26" s="115"/>
      <c r="O26" s="67"/>
      <c r="P26" s="306"/>
      <c r="Q26" s="307"/>
      <c r="R26" s="305"/>
      <c r="S26" s="308"/>
      <c r="T26" s="308"/>
      <c r="U26" s="308"/>
      <c r="V26" s="308"/>
      <c r="W26" s="308"/>
      <c r="X26" s="308"/>
      <c r="Y26" s="308"/>
      <c r="Z26" s="309"/>
      <c r="AA26" s="309"/>
      <c r="AB26" s="309"/>
      <c r="AC26" s="309"/>
      <c r="AD26" s="309"/>
      <c r="AE26" s="309"/>
      <c r="AF26" s="309"/>
      <c r="AG26" s="309"/>
      <c r="AH26" s="309"/>
      <c r="AI26" s="309"/>
      <c r="AJ26" s="309"/>
      <c r="AK26" s="318"/>
      <c r="AL26" s="3"/>
    </row>
    <row r="27" spans="1:38" ht="15" customHeight="1" x14ac:dyDescent="0.3">
      <c r="A27" s="65"/>
      <c r="B27" s="55"/>
      <c r="C27" s="51"/>
      <c r="D27" s="286"/>
      <c r="E27" s="287"/>
      <c r="F27" s="271"/>
      <c r="G27" s="273"/>
      <c r="H27" s="274"/>
      <c r="I27" s="273"/>
      <c r="J27" s="271"/>
      <c r="K27" s="287"/>
      <c r="L27" s="288"/>
      <c r="M27" s="53"/>
      <c r="N27" s="66"/>
      <c r="O27" s="66"/>
      <c r="P27" s="306"/>
      <c r="Q27" s="307"/>
      <c r="R27" s="305"/>
      <c r="S27" s="308"/>
      <c r="T27" s="308"/>
      <c r="U27" s="308"/>
      <c r="V27" s="308"/>
      <c r="W27" s="308"/>
      <c r="X27" s="308"/>
      <c r="Y27" s="308"/>
      <c r="Z27" s="309"/>
      <c r="AA27" s="309"/>
      <c r="AB27" s="309"/>
      <c r="AC27" s="309"/>
      <c r="AD27" s="309"/>
      <c r="AE27" s="309"/>
      <c r="AF27" s="309"/>
      <c r="AG27" s="309"/>
      <c r="AH27" s="309"/>
      <c r="AI27" s="309"/>
      <c r="AJ27" s="309"/>
      <c r="AK27" s="318"/>
      <c r="AL27" s="3"/>
    </row>
    <row r="28" spans="1:38" ht="21.75" customHeigh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66"/>
      <c r="P28" s="306"/>
      <c r="Q28" s="307"/>
      <c r="R28" s="305"/>
      <c r="S28" s="308"/>
      <c r="T28" s="308"/>
      <c r="U28" s="308"/>
      <c r="V28" s="308"/>
      <c r="W28" s="308"/>
      <c r="X28" s="308"/>
      <c r="Y28" s="308"/>
      <c r="Z28" s="309"/>
      <c r="AA28" s="309"/>
      <c r="AB28" s="309"/>
      <c r="AC28" s="309"/>
      <c r="AD28" s="309"/>
      <c r="AE28" s="309"/>
      <c r="AF28" s="309"/>
      <c r="AG28" s="309"/>
      <c r="AH28" s="309"/>
      <c r="AI28" s="309"/>
      <c r="AJ28" s="309"/>
      <c r="AK28" s="318"/>
      <c r="AL28" s="3"/>
    </row>
    <row r="29" spans="1:38" ht="15" customHeight="1" x14ac:dyDescent="0.3">
      <c r="A29" s="114"/>
      <c r="B29" s="56">
        <v>42812</v>
      </c>
      <c r="C29" s="52" t="s">
        <v>97</v>
      </c>
      <c r="D29" s="269"/>
      <c r="E29" s="270" t="str">
        <f>+'GRUPOS INFANTIL'!H8</f>
        <v>COLEGIO NEIL ARMSTRONG</v>
      </c>
      <c r="F29" s="271" t="str">
        <f>IF(AND(G29&lt;&gt;"",I29&lt;&gt;""),IF(G29=I29,"E",IF(G29&gt;I29,"G","P")),"")</f>
        <v>P</v>
      </c>
      <c r="G29" s="272">
        <v>2</v>
      </c>
      <c r="H29" s="274" t="s">
        <v>15</v>
      </c>
      <c r="I29" s="272">
        <v>8</v>
      </c>
      <c r="J29" s="271" t="str">
        <f>IF(AND(I29&lt;&gt;"",G29&lt;&gt;""),IF(I29=G29,"E",IF(I29&gt;G29,"G","P")),"")</f>
        <v>G</v>
      </c>
      <c r="K29" s="270" t="str">
        <f>+'GRUPOS INFANTIL'!H10</f>
        <v>GRAMA F. C.</v>
      </c>
      <c r="L29" s="275"/>
      <c r="M29" s="112" t="s">
        <v>80</v>
      </c>
      <c r="N29" s="116"/>
      <c r="O29" s="67"/>
      <c r="P29" s="306"/>
      <c r="Q29" s="307"/>
      <c r="R29" s="305"/>
      <c r="S29" s="308"/>
      <c r="T29" s="308"/>
      <c r="U29" s="308"/>
      <c r="V29" s="308"/>
      <c r="W29" s="308"/>
      <c r="X29" s="308"/>
      <c r="Y29" s="308"/>
      <c r="Z29" s="309"/>
      <c r="AA29" s="309"/>
      <c r="AB29" s="309"/>
      <c r="AC29" s="309"/>
      <c r="AD29" s="309"/>
      <c r="AE29" s="309"/>
      <c r="AF29" s="309"/>
      <c r="AG29" s="309"/>
      <c r="AH29" s="309"/>
      <c r="AI29" s="309"/>
      <c r="AJ29" s="309"/>
      <c r="AK29" s="318"/>
      <c r="AL29" s="3"/>
    </row>
    <row r="30" spans="1:38" ht="15" customHeight="1" x14ac:dyDescent="0.3">
      <c r="A30" s="65"/>
      <c r="B30" s="56"/>
      <c r="C30" s="52"/>
      <c r="D30" s="269"/>
      <c r="E30" s="270"/>
      <c r="F30" s="271"/>
      <c r="G30" s="273"/>
      <c r="H30" s="274"/>
      <c r="I30" s="273"/>
      <c r="J30" s="271"/>
      <c r="K30" s="270"/>
      <c r="L30" s="275"/>
      <c r="M30" s="54"/>
      <c r="N30" s="66"/>
      <c r="O30" s="66"/>
      <c r="P30" s="77"/>
      <c r="Q30" s="74"/>
      <c r="R30" s="74"/>
      <c r="S30" s="75"/>
      <c r="T30" s="75"/>
      <c r="U30" s="75"/>
      <c r="V30" s="75"/>
      <c r="W30" s="75"/>
      <c r="X30" s="75"/>
      <c r="Y30" s="75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27"/>
    </row>
    <row r="31" spans="1:38" ht="22.5" customHeight="1" x14ac:dyDescent="0.3">
      <c r="A31" s="6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6"/>
      <c r="P31" s="73"/>
      <c r="Q31" s="74"/>
      <c r="R31" s="74"/>
      <c r="S31" s="75"/>
      <c r="T31" s="75"/>
      <c r="U31" s="75"/>
      <c r="V31" s="75"/>
      <c r="W31" s="75"/>
      <c r="X31" s="75"/>
      <c r="Y31" s="75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27"/>
    </row>
    <row r="32" spans="1:38" ht="15" customHeight="1" x14ac:dyDescent="0.3">
      <c r="A32" s="113"/>
      <c r="B32" s="55">
        <v>42813</v>
      </c>
      <c r="C32" s="51" t="s">
        <v>107</v>
      </c>
      <c r="D32" s="286"/>
      <c r="E32" s="287" t="str">
        <f>+'GRUPOS INFANTIL'!H8</f>
        <v>COLEGIO NEIL ARMSTRONG</v>
      </c>
      <c r="F32" s="271" t="str">
        <f>IF(AND(G32&lt;&gt;"",I32&lt;&gt;""),IF(G32=I32,"E",IF(G32&gt;I32,"G","P")),"")</f>
        <v>P</v>
      </c>
      <c r="G32" s="272">
        <v>1</v>
      </c>
      <c r="H32" s="274" t="s">
        <v>15</v>
      </c>
      <c r="I32" s="272">
        <v>4</v>
      </c>
      <c r="J32" s="271" t="str">
        <f>IF(AND(I32&lt;&gt;"",G32&lt;&gt;""),IF(I32=G32,"E",IF(I32&gt;G32,"G","P")),"")</f>
        <v>G</v>
      </c>
      <c r="K32" s="287" t="str">
        <f>+'GRUPOS INFANTIL'!H9</f>
        <v>CORDOBA Y CERRANO F. C.</v>
      </c>
      <c r="L32" s="288"/>
      <c r="M32" s="111" t="s">
        <v>38</v>
      </c>
      <c r="N32" s="115"/>
      <c r="O32" s="67"/>
      <c r="P32" s="77"/>
      <c r="Q32" s="74"/>
      <c r="R32" s="74"/>
      <c r="S32" s="75"/>
      <c r="T32" s="75"/>
      <c r="U32" s="75"/>
      <c r="V32" s="75"/>
      <c r="W32" s="75"/>
      <c r="X32" s="75"/>
      <c r="Y32" s="75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27"/>
    </row>
    <row r="33" spans="1:38" ht="15" customHeight="1" x14ac:dyDescent="0.3">
      <c r="A33" s="65"/>
      <c r="B33" s="55"/>
      <c r="C33" s="51"/>
      <c r="D33" s="286"/>
      <c r="E33" s="287"/>
      <c r="F33" s="271"/>
      <c r="G33" s="273"/>
      <c r="H33" s="274"/>
      <c r="I33" s="273"/>
      <c r="J33" s="271"/>
      <c r="K33" s="287"/>
      <c r="L33" s="288"/>
      <c r="M33" s="53"/>
      <c r="N33" s="66"/>
      <c r="O33" s="66"/>
      <c r="P33" s="303"/>
      <c r="Q33" s="303"/>
      <c r="R33" s="303"/>
      <c r="S33" s="303"/>
      <c r="T33" s="303"/>
      <c r="U33" s="27"/>
      <c r="V33" s="27"/>
      <c r="W33" s="27"/>
      <c r="X33" s="27"/>
      <c r="Y33" s="27"/>
      <c r="Z33" s="76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</row>
    <row r="34" spans="1:38" ht="22.5" customHeight="1" x14ac:dyDescent="0.3">
      <c r="A34" s="6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65"/>
      <c r="P34" s="27"/>
      <c r="Q34" s="27"/>
      <c r="R34" s="27"/>
      <c r="S34" s="27"/>
      <c r="T34" s="27"/>
      <c r="U34" s="27"/>
      <c r="V34" s="27"/>
      <c r="W34" s="27" t="e">
        <f>IF(AJ8=1,IF(P33="","",P33),IF(SUM(Q10:Q17)&gt;0,VLOOKUP(1,Z10:AA17,2,0),""))</f>
        <v>#N/A</v>
      </c>
      <c r="X34" s="27"/>
      <c r="Y34" s="27"/>
      <c r="Z34" s="76"/>
      <c r="AA34" s="27"/>
      <c r="AB34" s="27"/>
      <c r="AC34" s="76"/>
      <c r="AD34" s="76"/>
      <c r="AE34" s="76"/>
      <c r="AF34" s="76"/>
      <c r="AG34" s="76"/>
      <c r="AH34" s="76"/>
      <c r="AI34" s="27"/>
      <c r="AJ34" s="76"/>
      <c r="AK34" s="76"/>
      <c r="AL34" s="27"/>
    </row>
    <row r="35" spans="1:38" ht="15" customHeight="1" x14ac:dyDescent="0.3">
      <c r="A35" s="114"/>
      <c r="B35" s="56">
        <v>42813</v>
      </c>
      <c r="C35" s="52" t="s">
        <v>106</v>
      </c>
      <c r="D35" s="269"/>
      <c r="E35" s="270" t="str">
        <f>+'GRUPOS INFANTIL'!H7</f>
        <v>ACADEMIA IGUARAN F. C.</v>
      </c>
      <c r="F35" s="271" t="str">
        <f>IF(AND(G35&lt;&gt;"",I35&lt;&gt;""),IF(G35=I35,"E",IF(G35&gt;I35,"G","P")),"")</f>
        <v>G</v>
      </c>
      <c r="G35" s="272">
        <v>3</v>
      </c>
      <c r="H35" s="274" t="s">
        <v>15</v>
      </c>
      <c r="I35" s="272">
        <v>1</v>
      </c>
      <c r="J35" s="271" t="str">
        <f>IF(AND(I35&lt;&gt;"",G35&lt;&gt;""),IF(I35=G35,"E",IF(I35&gt;G35,"G","P")),"")</f>
        <v>P</v>
      </c>
      <c r="K35" s="270" t="str">
        <f>+'GRUPOS INFANTIL'!H10</f>
        <v>GRAMA F. C.</v>
      </c>
      <c r="L35" s="275"/>
      <c r="M35" s="112" t="s">
        <v>37</v>
      </c>
      <c r="N35" s="116"/>
      <c r="O35" s="67"/>
      <c r="P35" s="27"/>
      <c r="Q35" s="27"/>
      <c r="R35" s="27"/>
      <c r="S35" s="27"/>
      <c r="T35" s="27"/>
      <c r="U35" s="27"/>
      <c r="V35" s="27"/>
      <c r="W35" s="27" t="e">
        <f>IF(AJ8=1,IF(P36="","",P36),IF(SUM(Q10:Q17)&gt;0,VLOOKUP(2,Z10:AA17,2,0),""))</f>
        <v>#N/A</v>
      </c>
      <c r="X35" s="27"/>
      <c r="Y35" s="27"/>
      <c r="Z35" s="76"/>
      <c r="AA35" s="27"/>
      <c r="AB35" s="27"/>
      <c r="AC35" s="76"/>
      <c r="AD35" s="76"/>
      <c r="AE35" s="76"/>
      <c r="AF35" s="76"/>
      <c r="AG35" s="76"/>
      <c r="AH35" s="76"/>
      <c r="AI35" s="27"/>
      <c r="AJ35" s="76"/>
      <c r="AK35" s="76"/>
      <c r="AL35" s="27"/>
    </row>
    <row r="36" spans="1:38" ht="15" customHeight="1" x14ac:dyDescent="0.3">
      <c r="A36" s="65"/>
      <c r="B36" s="56"/>
      <c r="C36" s="52"/>
      <c r="D36" s="269"/>
      <c r="E36" s="270"/>
      <c r="F36" s="271"/>
      <c r="G36" s="273"/>
      <c r="H36" s="274"/>
      <c r="I36" s="273"/>
      <c r="J36" s="271"/>
      <c r="K36" s="270"/>
      <c r="L36" s="275"/>
      <c r="M36" s="54"/>
      <c r="N36" s="66"/>
      <c r="O36" s="66"/>
      <c r="P36" s="303"/>
      <c r="Q36" s="303"/>
      <c r="R36" s="303"/>
      <c r="S36" s="303"/>
      <c r="T36" s="303"/>
      <c r="U36" s="27"/>
      <c r="V36" s="27"/>
      <c r="W36" s="27"/>
      <c r="X36" s="27"/>
      <c r="Y36" s="27"/>
      <c r="Z36" s="76"/>
      <c r="AA36" s="27"/>
      <c r="AB36" s="27"/>
      <c r="AC36" s="76"/>
      <c r="AD36" s="76"/>
      <c r="AE36" s="76"/>
      <c r="AF36" s="76"/>
      <c r="AG36" s="76"/>
      <c r="AH36" s="76"/>
      <c r="AI36" s="27"/>
      <c r="AJ36" s="76"/>
      <c r="AK36" s="76"/>
      <c r="AL36" s="27"/>
    </row>
    <row r="37" spans="1:38" x14ac:dyDescent="0.3">
      <c r="A37" s="6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9"/>
      <c r="O37" s="15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76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</row>
    <row r="38" spans="1:38" x14ac:dyDescent="0.3">
      <c r="A38" s="66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</row>
    <row r="39" spans="1:38" x14ac:dyDescent="0.3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27"/>
      <c r="Q39" s="78"/>
      <c r="R39" s="78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</row>
    <row r="40" spans="1:38" x14ac:dyDescent="0.3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15"/>
      <c r="AD40" s="15"/>
      <c r="AE40" s="15"/>
      <c r="AF40" s="15"/>
      <c r="AG40" s="15"/>
      <c r="AH40" s="15"/>
      <c r="AI40" s="15"/>
      <c r="AJ40" s="15"/>
      <c r="AK40" s="15"/>
      <c r="AL40" s="28"/>
    </row>
    <row r="41" spans="1:38" x14ac:dyDescent="0.3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15"/>
      <c r="AD41" s="15"/>
      <c r="AE41" s="15"/>
      <c r="AF41" s="15"/>
      <c r="AG41" s="15"/>
      <c r="AH41" s="15"/>
      <c r="AI41" s="15"/>
      <c r="AJ41" s="15"/>
      <c r="AK41" s="15"/>
      <c r="AL41" s="28"/>
    </row>
    <row r="42" spans="1:38" x14ac:dyDescent="0.3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15"/>
      <c r="AD42" s="15"/>
      <c r="AE42" s="15"/>
      <c r="AF42" s="15"/>
      <c r="AG42" s="15"/>
      <c r="AH42" s="15"/>
      <c r="AI42" s="15"/>
      <c r="AJ42" s="15"/>
      <c r="AK42" s="15"/>
      <c r="AL42" s="28"/>
    </row>
    <row r="43" spans="1:38" x14ac:dyDescent="0.3">
      <c r="B43" s="15"/>
      <c r="C43" s="15"/>
      <c r="D43" s="15"/>
      <c r="E43" s="15"/>
      <c r="F43" s="15"/>
      <c r="G43" s="15"/>
      <c r="H43" s="15"/>
      <c r="I43" s="15"/>
      <c r="J43" s="25" t="str">
        <f>IF(AG20=1,"Indique el primero y segundo equipos clasificados de la serie:","")</f>
        <v/>
      </c>
      <c r="K43" s="15"/>
      <c r="L43" s="25" t="str">
        <f>IF(AG20=1,"Primero:","")</f>
        <v/>
      </c>
      <c r="M43" s="15"/>
      <c r="N43" s="24"/>
      <c r="O43" s="24"/>
      <c r="P43" s="79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15"/>
      <c r="AD43" s="15"/>
      <c r="AE43" s="15"/>
      <c r="AF43" s="15"/>
      <c r="AG43" s="15"/>
      <c r="AH43" s="15"/>
      <c r="AI43" s="15"/>
      <c r="AJ43" s="15"/>
      <c r="AK43" s="15"/>
      <c r="AL43" s="28"/>
    </row>
    <row r="44" spans="1:38" x14ac:dyDescent="0.3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2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28"/>
    </row>
    <row r="45" spans="1:38" x14ac:dyDescent="0.3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2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28"/>
    </row>
    <row r="46" spans="1:38" x14ac:dyDescent="0.3">
      <c r="B46" s="15"/>
      <c r="C46" s="15"/>
      <c r="D46" s="15"/>
      <c r="E46" s="15"/>
      <c r="F46" s="15"/>
      <c r="G46" s="15"/>
      <c r="H46" s="15"/>
      <c r="I46" s="15"/>
      <c r="J46" s="26" t="str">
        <f>IF(AG20=1,"(Debido a la paridad de los resultados, no pueden deducirse de forma automática.)","")</f>
        <v/>
      </c>
      <c r="K46" s="15"/>
      <c r="L46" s="25" t="str">
        <f>IF(AG20=1,"Segundo:","")</f>
        <v/>
      </c>
      <c r="M46" s="15"/>
      <c r="N46" s="24"/>
      <c r="O46" s="24"/>
      <c r="P46" s="24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8"/>
    </row>
    <row r="58" spans="16:20" x14ac:dyDescent="0.3">
      <c r="P58" s="134" t="str">
        <f>+'GRUPOS INFANTIL'!H7</f>
        <v>ACADEMIA IGUARAN F. C.</v>
      </c>
      <c r="Q58" s="133" t="str">
        <f>+F8</f>
        <v/>
      </c>
      <c r="R58" s="133" t="str">
        <f>+F20</f>
        <v>G</v>
      </c>
      <c r="S58" s="133" t="str">
        <f>+F26</f>
        <v>G</v>
      </c>
      <c r="T58" s="133" t="str">
        <f>+F35</f>
        <v>G</v>
      </c>
    </row>
    <row r="59" spans="16:20" x14ac:dyDescent="0.3">
      <c r="P59" s="134" t="str">
        <f>+'GRUPOS INFANTIL'!H8</f>
        <v>COLEGIO NEIL ARMSTRONG</v>
      </c>
      <c r="Q59" s="133" t="str">
        <f>+F11</f>
        <v/>
      </c>
      <c r="R59" s="133" t="str">
        <f>+J20</f>
        <v>P</v>
      </c>
      <c r="S59" s="133" t="str">
        <f>+F29</f>
        <v>P</v>
      </c>
      <c r="T59" s="133" t="str">
        <f>+F32</f>
        <v>P</v>
      </c>
    </row>
    <row r="60" spans="16:20" x14ac:dyDescent="0.3">
      <c r="P60" s="134" t="str">
        <f>+'GRUPOS INFANTIL'!H9</f>
        <v>CORDOBA Y CERRANO F. C.</v>
      </c>
      <c r="Q60" s="133" t="str">
        <f>+F14</f>
        <v/>
      </c>
      <c r="R60" s="133" t="str">
        <f>+F23</f>
        <v>E</v>
      </c>
      <c r="S60" s="133" t="str">
        <f>+J26</f>
        <v>P</v>
      </c>
      <c r="T60" s="133" t="str">
        <f>+J32</f>
        <v>G</v>
      </c>
    </row>
    <row r="61" spans="16:20" x14ac:dyDescent="0.3">
      <c r="P61" s="134" t="str">
        <f>+'GRUPOS INFANTIL'!H10</f>
        <v>GRAMA F. C.</v>
      </c>
      <c r="Q61" s="133" t="str">
        <f>+F17</f>
        <v/>
      </c>
      <c r="R61" s="133" t="str">
        <f>+J23</f>
        <v>E</v>
      </c>
      <c r="S61" s="133" t="str">
        <f>+J29</f>
        <v>G</v>
      </c>
      <c r="T61" s="133" t="str">
        <f>+J35</f>
        <v>P</v>
      </c>
    </row>
  </sheetData>
  <mergeCells count="312">
    <mergeCell ref="J35:J36"/>
    <mergeCell ref="K35:K36"/>
    <mergeCell ref="L35:L36"/>
    <mergeCell ref="P36:T36"/>
    <mergeCell ref="J32:J33"/>
    <mergeCell ref="K32:K33"/>
    <mergeCell ref="L32:L33"/>
    <mergeCell ref="P33:T33"/>
    <mergeCell ref="D35:D36"/>
    <mergeCell ref="E35:E36"/>
    <mergeCell ref="F35:F36"/>
    <mergeCell ref="G35:G36"/>
    <mergeCell ref="H35:H36"/>
    <mergeCell ref="I35:I36"/>
    <mergeCell ref="D32:D33"/>
    <mergeCell ref="E32:E33"/>
    <mergeCell ref="F32:F33"/>
    <mergeCell ref="G32:G33"/>
    <mergeCell ref="H32:H33"/>
    <mergeCell ref="I32:I33"/>
    <mergeCell ref="AK28:AK29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AE28:AE29"/>
    <mergeCell ref="AF28:AF29"/>
    <mergeCell ref="AG28:AG29"/>
    <mergeCell ref="AH28:AH29"/>
    <mergeCell ref="AI28:AI29"/>
    <mergeCell ref="AJ28:AJ29"/>
    <mergeCell ref="Y28:Y29"/>
    <mergeCell ref="Z28:Z29"/>
    <mergeCell ref="AA28:AA29"/>
    <mergeCell ref="AB28:AB29"/>
    <mergeCell ref="AC28:AC29"/>
    <mergeCell ref="AD28:AD29"/>
    <mergeCell ref="AK26:AK27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AE26:AE27"/>
    <mergeCell ref="AF26:AF27"/>
    <mergeCell ref="AG26:AG27"/>
    <mergeCell ref="AH26:AH27"/>
    <mergeCell ref="AI26:AI27"/>
    <mergeCell ref="AJ26:AJ27"/>
    <mergeCell ref="Y26:Y27"/>
    <mergeCell ref="Z26:Z27"/>
    <mergeCell ref="AA26:AA27"/>
    <mergeCell ref="AB26:AB27"/>
    <mergeCell ref="AC26:AC27"/>
    <mergeCell ref="AD26:AD27"/>
    <mergeCell ref="S26:S27"/>
    <mergeCell ref="T26:T27"/>
    <mergeCell ref="P24:P25"/>
    <mergeCell ref="Q24:Q25"/>
    <mergeCell ref="R24:R25"/>
    <mergeCell ref="S24:S25"/>
    <mergeCell ref="U26:U27"/>
    <mergeCell ref="V26:V27"/>
    <mergeCell ref="W26:W27"/>
    <mergeCell ref="X26:X27"/>
    <mergeCell ref="J26:J27"/>
    <mergeCell ref="K26:K27"/>
    <mergeCell ref="L26:L27"/>
    <mergeCell ref="P26:P27"/>
    <mergeCell ref="Q26:Q27"/>
    <mergeCell ref="R26:R27"/>
    <mergeCell ref="AK24:AK25"/>
    <mergeCell ref="Z24:Z25"/>
    <mergeCell ref="AA24:AA25"/>
    <mergeCell ref="AB24:AB25"/>
    <mergeCell ref="AC24:AC25"/>
    <mergeCell ref="AD24:AD25"/>
    <mergeCell ref="AE24:AE25"/>
    <mergeCell ref="D26:D27"/>
    <mergeCell ref="E26:E27"/>
    <mergeCell ref="F26:F27"/>
    <mergeCell ref="G26:G27"/>
    <mergeCell ref="H26:H27"/>
    <mergeCell ref="I26:I27"/>
    <mergeCell ref="AF24:AF25"/>
    <mergeCell ref="AG24:AG25"/>
    <mergeCell ref="AH24:AH25"/>
    <mergeCell ref="T24:T25"/>
    <mergeCell ref="U24:U25"/>
    <mergeCell ref="V24:V25"/>
    <mergeCell ref="W24:W25"/>
    <mergeCell ref="X24:X25"/>
    <mergeCell ref="Y24:Y25"/>
    <mergeCell ref="K23:K24"/>
    <mergeCell ref="L23:L24"/>
    <mergeCell ref="AI22:AI23"/>
    <mergeCell ref="AJ22:AJ23"/>
    <mergeCell ref="AK22:AK23"/>
    <mergeCell ref="D23:D24"/>
    <mergeCell ref="E23:E24"/>
    <mergeCell ref="F23:F24"/>
    <mergeCell ref="G23:G24"/>
    <mergeCell ref="H23:H24"/>
    <mergeCell ref="I23:I24"/>
    <mergeCell ref="J23:J24"/>
    <mergeCell ref="AC22:AC23"/>
    <mergeCell ref="AD22:AD23"/>
    <mergeCell ref="AE22:AE23"/>
    <mergeCell ref="AF22:AF23"/>
    <mergeCell ref="AG22:AG23"/>
    <mergeCell ref="AH22:AH23"/>
    <mergeCell ref="W22:W23"/>
    <mergeCell ref="X22:X23"/>
    <mergeCell ref="Y22:Y23"/>
    <mergeCell ref="Z22:Z23"/>
    <mergeCell ref="AA22:AA23"/>
    <mergeCell ref="AB22:AB23"/>
    <mergeCell ref="AI24:AI25"/>
    <mergeCell ref="AJ24:AJ25"/>
    <mergeCell ref="AF20:AF21"/>
    <mergeCell ref="AG20:AG21"/>
    <mergeCell ref="AH20:AH21"/>
    <mergeCell ref="P22:P23"/>
    <mergeCell ref="Q22:Q23"/>
    <mergeCell ref="R22:R23"/>
    <mergeCell ref="S22:S23"/>
    <mergeCell ref="T22:T23"/>
    <mergeCell ref="U22:U23"/>
    <mergeCell ref="V22:V23"/>
    <mergeCell ref="Y20:Y21"/>
    <mergeCell ref="Z20:Z21"/>
    <mergeCell ref="AB20:AB21"/>
    <mergeCell ref="AC20:AC21"/>
    <mergeCell ref="AD20:AD21"/>
    <mergeCell ref="AE20:AE21"/>
    <mergeCell ref="S20:S21"/>
    <mergeCell ref="T20:T21"/>
    <mergeCell ref="U20:U21"/>
    <mergeCell ref="V20:V21"/>
    <mergeCell ref="W20:W21"/>
    <mergeCell ref="X20:X21"/>
    <mergeCell ref="J20:J21"/>
    <mergeCell ref="K20:K21"/>
    <mergeCell ref="L20:L21"/>
    <mergeCell ref="P20:P21"/>
    <mergeCell ref="Q20:Q21"/>
    <mergeCell ref="R20:R21"/>
    <mergeCell ref="D20:D21"/>
    <mergeCell ref="E20:E21"/>
    <mergeCell ref="F20:F21"/>
    <mergeCell ref="G20:G21"/>
    <mergeCell ref="H20:H21"/>
    <mergeCell ref="I20:I21"/>
    <mergeCell ref="AK16:AK17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AE16:AE17"/>
    <mergeCell ref="AF16:AF17"/>
    <mergeCell ref="AG16:AG17"/>
    <mergeCell ref="AH16:AH17"/>
    <mergeCell ref="AI16:AI17"/>
    <mergeCell ref="AJ16:AJ17"/>
    <mergeCell ref="Y16:Y17"/>
    <mergeCell ref="Z16:Z17"/>
    <mergeCell ref="AA16:AA17"/>
    <mergeCell ref="AB16:AB17"/>
    <mergeCell ref="AC16:AC17"/>
    <mergeCell ref="AD16:AD17"/>
    <mergeCell ref="AK14:AK15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S14:S15"/>
    <mergeCell ref="T14:T15"/>
    <mergeCell ref="U14:U15"/>
    <mergeCell ref="V14:V15"/>
    <mergeCell ref="W14:W15"/>
    <mergeCell ref="X14:X15"/>
    <mergeCell ref="J14:J15"/>
    <mergeCell ref="K14:K15"/>
    <mergeCell ref="L14:L15"/>
    <mergeCell ref="P14:P15"/>
    <mergeCell ref="Q14:Q15"/>
    <mergeCell ref="R14:R15"/>
    <mergeCell ref="AH12:AH13"/>
    <mergeCell ref="AI12:AI13"/>
    <mergeCell ref="AJ12:AJ13"/>
    <mergeCell ref="AK12:AK13"/>
    <mergeCell ref="D14:D15"/>
    <mergeCell ref="E14:E15"/>
    <mergeCell ref="F14:F15"/>
    <mergeCell ref="G14:G15"/>
    <mergeCell ref="H14:H15"/>
    <mergeCell ref="I14:I15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P12:P13"/>
    <mergeCell ref="Q12:Q13"/>
    <mergeCell ref="R12:R13"/>
    <mergeCell ref="S12:S13"/>
    <mergeCell ref="T12:T13"/>
    <mergeCell ref="U12:U13"/>
    <mergeCell ref="AK10:AK11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AE10:AE11"/>
    <mergeCell ref="AF10:AF11"/>
    <mergeCell ref="AG10:AG11"/>
    <mergeCell ref="AH10:AH11"/>
    <mergeCell ref="AI10:AI11"/>
    <mergeCell ref="AJ10:AJ11"/>
    <mergeCell ref="Y10:Y11"/>
    <mergeCell ref="Z10:Z11"/>
    <mergeCell ref="AA10:AA11"/>
    <mergeCell ref="AB10:AB11"/>
    <mergeCell ref="AC10:AC11"/>
    <mergeCell ref="AD10:AD11"/>
    <mergeCell ref="AJ8:AJ9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AC8:AC9"/>
    <mergeCell ref="AD8:AD9"/>
    <mergeCell ref="AE8:AE9"/>
    <mergeCell ref="AF8:AF9"/>
    <mergeCell ref="AG8:AG9"/>
    <mergeCell ref="AH8:AH9"/>
    <mergeCell ref="V8:V9"/>
    <mergeCell ref="W8:W9"/>
    <mergeCell ref="X8:X9"/>
    <mergeCell ref="Y8:Y9"/>
    <mergeCell ref="Z8:Z9"/>
    <mergeCell ref="AB8:AB9"/>
    <mergeCell ref="S8:S9"/>
    <mergeCell ref="T8:T9"/>
    <mergeCell ref="U8:U9"/>
    <mergeCell ref="P6:Y6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1:N1"/>
    <mergeCell ref="A2:N2"/>
    <mergeCell ref="B3:E3"/>
    <mergeCell ref="F3:K3"/>
    <mergeCell ref="B4:M5"/>
    <mergeCell ref="B6:M6"/>
    <mergeCell ref="P8:P9"/>
    <mergeCell ref="Q8:Q9"/>
    <mergeCell ref="R8:R9"/>
  </mergeCells>
  <conditionalFormatting sqref="G8:G9">
    <cfRule type="expression" dxfId="275" priority="22" stopIfTrue="1">
      <formula>F8="P"</formula>
    </cfRule>
    <cfRule type="expression" dxfId="274" priority="23" stopIfTrue="1">
      <formula>F8="E"</formula>
    </cfRule>
    <cfRule type="expression" dxfId="273" priority="24" stopIfTrue="1">
      <formula>F8="G"</formula>
    </cfRule>
  </conditionalFormatting>
  <conditionalFormatting sqref="G11:G12">
    <cfRule type="expression" dxfId="272" priority="8" stopIfTrue="1">
      <formula>F11="E"</formula>
    </cfRule>
    <cfRule type="expression" dxfId="271" priority="7" stopIfTrue="1">
      <formula>F11="P"</formula>
    </cfRule>
    <cfRule type="expression" dxfId="270" priority="9" stopIfTrue="1">
      <formula>F11="G"</formula>
    </cfRule>
  </conditionalFormatting>
  <conditionalFormatting sqref="G14:G15">
    <cfRule type="expression" dxfId="269" priority="4" stopIfTrue="1">
      <formula>F14="P"</formula>
    </cfRule>
    <cfRule type="expression" dxfId="268" priority="5" stopIfTrue="1">
      <formula>F14="E"</formula>
    </cfRule>
    <cfRule type="expression" dxfId="267" priority="6" stopIfTrue="1">
      <formula>F14="G"</formula>
    </cfRule>
  </conditionalFormatting>
  <conditionalFormatting sqref="G17:G18">
    <cfRule type="expression" dxfId="266" priority="2" stopIfTrue="1">
      <formula>F17="E"</formula>
    </cfRule>
    <cfRule type="expression" dxfId="265" priority="3" stopIfTrue="1">
      <formula>F17="G"</formula>
    </cfRule>
    <cfRule type="expression" dxfId="264" priority="1" stopIfTrue="1">
      <formula>F17="P"</formula>
    </cfRule>
  </conditionalFormatting>
  <conditionalFormatting sqref="G20:G21">
    <cfRule type="expression" dxfId="263" priority="59" stopIfTrue="1">
      <formula>F20="E"</formula>
    </cfRule>
    <cfRule type="expression" dxfId="262" priority="58" stopIfTrue="1">
      <formula>F20="P"</formula>
    </cfRule>
    <cfRule type="expression" dxfId="261" priority="60" stopIfTrue="1">
      <formula>F20="G"</formula>
    </cfRule>
  </conditionalFormatting>
  <conditionalFormatting sqref="G23:G24">
    <cfRule type="expression" dxfId="260" priority="38" stopIfTrue="1">
      <formula>F23="E"</formula>
    </cfRule>
    <cfRule type="expression" dxfId="259" priority="37" stopIfTrue="1">
      <formula>F23="P"</formula>
    </cfRule>
    <cfRule type="expression" dxfId="258" priority="39" stopIfTrue="1">
      <formula>F23="G"</formula>
    </cfRule>
  </conditionalFormatting>
  <conditionalFormatting sqref="G26:G27">
    <cfRule type="expression" dxfId="257" priority="34" stopIfTrue="1">
      <formula>F26="P"</formula>
    </cfRule>
    <cfRule type="expression" dxfId="256" priority="35" stopIfTrue="1">
      <formula>F26="E"</formula>
    </cfRule>
    <cfRule type="expression" dxfId="255" priority="36" stopIfTrue="1">
      <formula>F26="G"</formula>
    </cfRule>
  </conditionalFormatting>
  <conditionalFormatting sqref="G29:G30">
    <cfRule type="expression" dxfId="254" priority="32" stopIfTrue="1">
      <formula>F29="E"</formula>
    </cfRule>
    <cfRule type="expression" dxfId="253" priority="31" stopIfTrue="1">
      <formula>F29="P"</formula>
    </cfRule>
    <cfRule type="expression" dxfId="252" priority="33" stopIfTrue="1">
      <formula>F29="G"</formula>
    </cfRule>
  </conditionalFormatting>
  <conditionalFormatting sqref="G32:G33">
    <cfRule type="expression" dxfId="251" priority="30" stopIfTrue="1">
      <formula>F32="G"</formula>
    </cfRule>
    <cfRule type="expression" dxfId="250" priority="29" stopIfTrue="1">
      <formula>F32="E"</formula>
    </cfRule>
    <cfRule type="expression" dxfId="249" priority="28" stopIfTrue="1">
      <formula>F32="P"</formula>
    </cfRule>
  </conditionalFormatting>
  <conditionalFormatting sqref="G35:G36">
    <cfRule type="expression" dxfId="248" priority="25" stopIfTrue="1">
      <formula>F35="P"</formula>
    </cfRule>
    <cfRule type="expression" dxfId="247" priority="26" stopIfTrue="1">
      <formula>F35="E"</formula>
    </cfRule>
    <cfRule type="expression" dxfId="246" priority="27" stopIfTrue="1">
      <formula>F35="G"</formula>
    </cfRule>
  </conditionalFormatting>
  <conditionalFormatting sqref="I8:I9">
    <cfRule type="expression" dxfId="245" priority="10" stopIfTrue="1">
      <formula>J8="P"</formula>
    </cfRule>
    <cfRule type="expression" dxfId="244" priority="11" stopIfTrue="1">
      <formula>J8="E"</formula>
    </cfRule>
    <cfRule type="expression" dxfId="243" priority="12" stopIfTrue="1">
      <formula>J8="G"</formula>
    </cfRule>
  </conditionalFormatting>
  <conditionalFormatting sqref="I11:I12">
    <cfRule type="expression" dxfId="242" priority="13" stopIfTrue="1">
      <formula>J11="P"</formula>
    </cfRule>
    <cfRule type="expression" dxfId="241" priority="14" stopIfTrue="1">
      <formula>J11="E"</formula>
    </cfRule>
    <cfRule type="expression" dxfId="240" priority="15" stopIfTrue="1">
      <formula>J11="G"</formula>
    </cfRule>
  </conditionalFormatting>
  <conditionalFormatting sqref="I14:I15">
    <cfRule type="expression" dxfId="239" priority="16" stopIfTrue="1">
      <formula>J14="P"</formula>
    </cfRule>
    <cfRule type="expression" dxfId="238" priority="17" stopIfTrue="1">
      <formula>J14="E"</formula>
    </cfRule>
    <cfRule type="expression" dxfId="237" priority="18" stopIfTrue="1">
      <formula>J14="G"</formula>
    </cfRule>
  </conditionalFormatting>
  <conditionalFormatting sqref="I17:I18">
    <cfRule type="expression" dxfId="236" priority="19" stopIfTrue="1">
      <formula>J17="P"</formula>
    </cfRule>
    <cfRule type="expression" dxfId="235" priority="20" stopIfTrue="1">
      <formula>J17="E"</formula>
    </cfRule>
    <cfRule type="expression" dxfId="234" priority="21" stopIfTrue="1">
      <formula>J17="G"</formula>
    </cfRule>
  </conditionalFormatting>
  <conditionalFormatting sqref="I20:I21">
    <cfRule type="expression" dxfId="233" priority="45" stopIfTrue="1">
      <formula>J20="G"</formula>
    </cfRule>
    <cfRule type="expression" dxfId="232" priority="43" stopIfTrue="1">
      <formula>J20="P"</formula>
    </cfRule>
    <cfRule type="expression" dxfId="231" priority="44" stopIfTrue="1">
      <formula>J20="E"</formula>
    </cfRule>
  </conditionalFormatting>
  <conditionalFormatting sqref="I23:I24">
    <cfRule type="expression" dxfId="230" priority="47" stopIfTrue="1">
      <formula>J23="E"</formula>
    </cfRule>
    <cfRule type="expression" dxfId="229" priority="48" stopIfTrue="1">
      <formula>J23="G"</formula>
    </cfRule>
    <cfRule type="expression" dxfId="228" priority="46" stopIfTrue="1">
      <formula>J23="P"</formula>
    </cfRule>
  </conditionalFormatting>
  <conditionalFormatting sqref="I26:I27">
    <cfRule type="expression" dxfId="227" priority="49" stopIfTrue="1">
      <formula>J26="P"</formula>
    </cfRule>
    <cfRule type="expression" dxfId="226" priority="50" stopIfTrue="1">
      <formula>J26="E"</formula>
    </cfRule>
    <cfRule type="expression" dxfId="225" priority="51" stopIfTrue="1">
      <formula>J26="G"</formula>
    </cfRule>
  </conditionalFormatting>
  <conditionalFormatting sqref="I29:I30">
    <cfRule type="expression" dxfId="224" priority="52" stopIfTrue="1">
      <formula>J29="P"</formula>
    </cfRule>
    <cfRule type="expression" dxfId="223" priority="54" stopIfTrue="1">
      <formula>J29="G"</formula>
    </cfRule>
    <cfRule type="expression" dxfId="222" priority="53" stopIfTrue="1">
      <formula>J29="E"</formula>
    </cfRule>
  </conditionalFormatting>
  <conditionalFormatting sqref="I32:I33">
    <cfRule type="expression" dxfId="221" priority="56" stopIfTrue="1">
      <formula>J32="E"</formula>
    </cfRule>
    <cfRule type="expression" dxfId="220" priority="57" stopIfTrue="1">
      <formula>J32="G"</formula>
    </cfRule>
    <cfRule type="expression" dxfId="219" priority="55" stopIfTrue="1">
      <formula>J32="P"</formula>
    </cfRule>
  </conditionalFormatting>
  <conditionalFormatting sqref="I35:I36">
    <cfRule type="expression" dxfId="218" priority="41" stopIfTrue="1">
      <formula>J35="E"</formula>
    </cfRule>
    <cfRule type="expression" dxfId="217" priority="42" stopIfTrue="1">
      <formula>J35="G"</formula>
    </cfRule>
    <cfRule type="expression" dxfId="216" priority="40" stopIfTrue="1">
      <formula>J35="P"</formula>
    </cfRule>
  </conditionalFormatting>
  <printOptions verticalCentered="1"/>
  <pageMargins left="0.70866141732283472" right="0.70866141732283472" top="0.74803149606299213" bottom="0.74803149606299213" header="0.31496062992125984" footer="0.31496062992125984"/>
  <pageSetup scale="55" fitToWidth="0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G46"/>
  <sheetViews>
    <sheetView tabSelected="1" zoomScale="80" zoomScaleNormal="80" workbookViewId="0">
      <selection sqref="A1:U46"/>
    </sheetView>
  </sheetViews>
  <sheetFormatPr baseColWidth="10" defaultColWidth="11.44140625" defaultRowHeight="14.4" x14ac:dyDescent="0.3"/>
  <cols>
    <col min="1" max="1" width="13.5546875" style="3" customWidth="1"/>
    <col min="2" max="2" width="36.5546875" style="3" customWidth="1"/>
    <col min="3" max="3" width="21.109375" style="3" bestFit="1" customWidth="1"/>
    <col min="4" max="4" width="46.6640625" style="3" customWidth="1"/>
    <col min="5" max="6" width="6.109375" style="3" customWidth="1"/>
    <col min="7" max="7" width="46.6640625" style="3" customWidth="1"/>
    <col min="8" max="8" width="34.44140625" style="3" customWidth="1"/>
    <col min="9" max="9" width="18.109375" style="3" customWidth="1"/>
    <col min="10" max="10" width="0.6640625" style="3" customWidth="1"/>
    <col min="11" max="11" width="41.77734375" style="3" customWidth="1"/>
    <col min="12" max="20" width="6.6640625" style="3" customWidth="1"/>
    <col min="21" max="21" width="1.44140625" style="3" customWidth="1"/>
    <col min="22" max="16384" width="11.44140625" style="3"/>
  </cols>
  <sheetData>
    <row r="1" spans="1:33" ht="30" x14ac:dyDescent="0.5">
      <c r="A1" s="365" t="str">
        <f>+'GRUPOS INFANTIL'!B1</f>
        <v>XVIII Festival Nacional de Fútbol Infantil</v>
      </c>
      <c r="B1" s="365"/>
      <c r="C1" s="365"/>
      <c r="D1" s="365"/>
      <c r="E1" s="365"/>
      <c r="F1" s="365"/>
      <c r="G1" s="365"/>
      <c r="H1" s="365"/>
      <c r="I1" s="365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</row>
    <row r="2" spans="1:33" ht="31.2" x14ac:dyDescent="0.6">
      <c r="A2" s="366" t="str">
        <f>+'GRUPOS INFANTIL'!B2</f>
        <v>“COPA SOCCER MELGAR”</v>
      </c>
      <c r="B2" s="366"/>
      <c r="C2" s="366"/>
      <c r="D2" s="366"/>
      <c r="E2" s="366"/>
      <c r="F2" s="366"/>
      <c r="G2" s="366"/>
      <c r="H2" s="366"/>
      <c r="I2" s="366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</row>
    <row r="3" spans="1:33" ht="36.6" x14ac:dyDescent="0.7">
      <c r="A3" s="367" t="str">
        <f>+'GRUPOS INFANTIL'!B3</f>
        <v>NACIDOS 2014 2015</v>
      </c>
      <c r="B3" s="367"/>
      <c r="C3" s="367"/>
      <c r="D3" s="367"/>
      <c r="E3" s="367"/>
      <c r="F3" s="367"/>
      <c r="G3" s="367"/>
      <c r="H3" s="367"/>
      <c r="I3" s="367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</row>
    <row r="4" spans="1:33" ht="21" x14ac:dyDescent="0.4">
      <c r="A4" s="368" t="str">
        <f>+'GRUPOS INFANTIL'!B4</f>
        <v>SEPTIEMBRE 28 Y 29 DEL 2024</v>
      </c>
      <c r="B4" s="368"/>
      <c r="C4" s="368"/>
      <c r="D4" s="368"/>
      <c r="E4" s="368"/>
      <c r="F4" s="368"/>
      <c r="G4" s="368"/>
      <c r="H4" s="368"/>
      <c r="I4" s="368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</row>
    <row r="5" spans="1:33" ht="28.8" x14ac:dyDescent="0.55000000000000004">
      <c r="A5" s="369"/>
      <c r="B5" s="369"/>
      <c r="C5" s="369"/>
      <c r="D5" s="369"/>
      <c r="E5" s="369"/>
      <c r="F5" s="369"/>
      <c r="G5" s="369"/>
      <c r="H5" s="369"/>
      <c r="I5" s="369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</row>
    <row r="6" spans="1:33" ht="21.6" thickBot="1" x14ac:dyDescent="0.45">
      <c r="A6" s="364" t="s">
        <v>74</v>
      </c>
      <c r="B6" s="364"/>
      <c r="C6" s="364"/>
      <c r="D6" s="364"/>
      <c r="E6" s="364"/>
      <c r="F6" s="364"/>
      <c r="G6" s="364"/>
      <c r="H6" s="364"/>
      <c r="I6" s="364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</row>
    <row r="7" spans="1:33" ht="38.4" customHeight="1" thickBot="1" x14ac:dyDescent="0.5">
      <c r="A7" s="232"/>
      <c r="B7" s="357" t="s">
        <v>158</v>
      </c>
      <c r="C7" s="358"/>
      <c r="D7" s="358"/>
      <c r="E7" s="358"/>
      <c r="F7" s="358"/>
      <c r="G7" s="358"/>
      <c r="H7" s="358"/>
      <c r="I7" s="359"/>
      <c r="J7" s="18"/>
      <c r="K7" s="233" t="str">
        <f>+'GRUPO A'!B4</f>
        <v>GRUPO A</v>
      </c>
      <c r="L7" s="233" t="str">
        <f>+'GRUPO A'!Q8</f>
        <v>Pts.</v>
      </c>
      <c r="M7" s="233" t="str">
        <f>+'GRUPO A'!R8</f>
        <v>PJ</v>
      </c>
      <c r="N7" s="233" t="str">
        <f>+'GRUPO A'!S8</f>
        <v>Gan.</v>
      </c>
      <c r="O7" s="233" t="str">
        <f>+'GRUPO A'!T8</f>
        <v>Emp.</v>
      </c>
      <c r="P7" s="233" t="str">
        <f>+'GRUPO A'!U8</f>
        <v>Per.</v>
      </c>
      <c r="Q7" s="233" t="str">
        <f>+'GRUPO A'!V8</f>
        <v>GF</v>
      </c>
      <c r="R7" s="233" t="str">
        <f>+'GRUPO A'!W8</f>
        <v>GC</v>
      </c>
      <c r="S7" s="233" t="str">
        <f>+'GRUPO A'!X8</f>
        <v>Dif.</v>
      </c>
      <c r="T7" s="233" t="str">
        <f>+'GRUPO A'!Y8</f>
        <v>Tj</v>
      </c>
    </row>
    <row r="8" spans="1:33" ht="48" customHeight="1" x14ac:dyDescent="0.45">
      <c r="A8" s="18"/>
      <c r="B8" s="234" t="s">
        <v>69</v>
      </c>
      <c r="C8" s="234" t="s">
        <v>70</v>
      </c>
      <c r="D8" s="234" t="s">
        <v>71</v>
      </c>
      <c r="E8" s="360" t="s">
        <v>72</v>
      </c>
      <c r="F8" s="360"/>
      <c r="G8" s="234" t="s">
        <v>71</v>
      </c>
      <c r="H8" s="234" t="s">
        <v>73</v>
      </c>
      <c r="I8" s="234" t="s">
        <v>110</v>
      </c>
      <c r="J8" s="18"/>
      <c r="K8" s="235" t="str">
        <f>+'GRUPO A'!P10</f>
        <v xml:space="preserve">  1)  CLUB LOS PAPETICOS</v>
      </c>
      <c r="L8" s="236">
        <f>+'GRUPO A'!Q10</f>
        <v>7</v>
      </c>
      <c r="M8" s="236">
        <f>+'GRUPO A'!R10</f>
        <v>3</v>
      </c>
      <c r="N8" s="236">
        <f>+'GRUPO A'!S10</f>
        <v>2</v>
      </c>
      <c r="O8" s="236">
        <f>+'GRUPO A'!T10</f>
        <v>1</v>
      </c>
      <c r="P8" s="236">
        <f>+'GRUPO A'!U10</f>
        <v>0</v>
      </c>
      <c r="Q8" s="236">
        <f>+'GRUPO A'!V10</f>
        <v>20</v>
      </c>
      <c r="R8" s="236">
        <f>+'GRUPO A'!W10</f>
        <v>7</v>
      </c>
      <c r="S8" s="236">
        <f>+'GRUPO A'!X10</f>
        <v>13</v>
      </c>
      <c r="T8" s="236">
        <f>+'GRUPO A'!Y10</f>
        <v>0</v>
      </c>
    </row>
    <row r="9" spans="1:33" s="197" customFormat="1" ht="48" customHeight="1" x14ac:dyDescent="0.45">
      <c r="A9" s="237">
        <v>45563</v>
      </c>
      <c r="B9" s="250" t="s">
        <v>176</v>
      </c>
      <c r="C9" s="247">
        <v>0.40972222222222221</v>
      </c>
      <c r="D9" s="238" t="str">
        <f>+'GRUPO C'!E20</f>
        <v>BLUEMARTIN F.C .</v>
      </c>
      <c r="E9" s="238">
        <f>+'GRUPO C'!G20</f>
        <v>2</v>
      </c>
      <c r="F9" s="238">
        <f>+'GRUPO C'!I20</f>
        <v>0</v>
      </c>
      <c r="G9" s="238" t="str">
        <f>+'GRUPO C'!K20</f>
        <v>EIFD TESOROS SPORTS</v>
      </c>
      <c r="H9" s="238" t="str">
        <f>+'GRUPO C'!B4</f>
        <v>GRUPO C</v>
      </c>
      <c r="I9" s="238" t="str">
        <f>+$A$3</f>
        <v>NACIDOS 2014 2015</v>
      </c>
      <c r="J9" s="239"/>
      <c r="K9" s="235" t="str">
        <f>+'GRUPO A'!P12</f>
        <v xml:space="preserve">  2)  ESCUELA DE FORMACION DEPORTIVA MARACANA</v>
      </c>
      <c r="L9" s="238">
        <f>+'GRUPO A'!Q12</f>
        <v>7</v>
      </c>
      <c r="M9" s="238">
        <f>+'GRUPO A'!R14</f>
        <v>3</v>
      </c>
      <c r="N9" s="238">
        <f>+'GRUPO A'!S12</f>
        <v>2</v>
      </c>
      <c r="O9" s="238">
        <f>+'GRUPO A'!T12</f>
        <v>1</v>
      </c>
      <c r="P9" s="238">
        <f>+'GRUPO A'!U12</f>
        <v>0</v>
      </c>
      <c r="Q9" s="238">
        <f>+'GRUPO A'!V12</f>
        <v>13</v>
      </c>
      <c r="R9" s="238">
        <f>+'GRUPO A'!W12</f>
        <v>4</v>
      </c>
      <c r="S9" s="238">
        <f>+'GRUPO A'!X12</f>
        <v>9</v>
      </c>
      <c r="T9" s="238">
        <f>+'GRUPO A'!Y12</f>
        <v>0</v>
      </c>
    </row>
    <row r="10" spans="1:33" s="197" customFormat="1" ht="48" customHeight="1" x14ac:dyDescent="0.45">
      <c r="A10" s="237">
        <v>45563</v>
      </c>
      <c r="B10" s="250" t="s">
        <v>177</v>
      </c>
      <c r="C10" s="247">
        <v>0.40972222222222221</v>
      </c>
      <c r="D10" s="238" t="str">
        <f>+'GRUPO B'!E23</f>
        <v>CLUB CAMPESTRE IBAGUE</v>
      </c>
      <c r="E10" s="238">
        <f>+'GRUPO B'!G23</f>
        <v>3</v>
      </c>
      <c r="F10" s="238">
        <f>+'GRUPO B'!I23</f>
        <v>1</v>
      </c>
      <c r="G10" s="238" t="str">
        <f>+'GRUPO B'!K23</f>
        <v>CENTAUROS DEL ARIARI</v>
      </c>
      <c r="H10" s="238" t="s">
        <v>131</v>
      </c>
      <c r="I10" s="238" t="str">
        <f t="shared" ref="I10:I15" si="0">+$A$3</f>
        <v>NACIDOS 2014 2015</v>
      </c>
      <c r="J10" s="239"/>
      <c r="K10" s="235" t="str">
        <f>+'GRUPO A'!P14</f>
        <v xml:space="preserve">  3)  AJAX AIMARA</v>
      </c>
      <c r="L10" s="238">
        <f>+'GRUPO A'!Q14</f>
        <v>3</v>
      </c>
      <c r="M10" s="238">
        <f>+'GRUPO A'!R14</f>
        <v>3</v>
      </c>
      <c r="N10" s="238">
        <f>+'GRUPO A'!S14</f>
        <v>1</v>
      </c>
      <c r="O10" s="238">
        <f>+'GRUPO A'!T14</f>
        <v>0</v>
      </c>
      <c r="P10" s="238">
        <f>+'GRUPO A'!U14</f>
        <v>2</v>
      </c>
      <c r="Q10" s="238">
        <f>+'GRUPO A'!V14</f>
        <v>13</v>
      </c>
      <c r="R10" s="238">
        <f>+'GRUPO A'!W14</f>
        <v>9</v>
      </c>
      <c r="S10" s="238">
        <f>+'GRUPO A'!X14</f>
        <v>4</v>
      </c>
      <c r="T10" s="238">
        <f>+'GRUPO A'!Y14</f>
        <v>0</v>
      </c>
    </row>
    <row r="11" spans="1:33" s="197" customFormat="1" ht="48" customHeight="1" x14ac:dyDescent="0.45">
      <c r="A11" s="237">
        <v>45563</v>
      </c>
      <c r="B11" s="250" t="s">
        <v>177</v>
      </c>
      <c r="C11" s="247">
        <v>0.45833333333333331</v>
      </c>
      <c r="D11" s="238" t="str">
        <f>+'GRUPO B'!E20</f>
        <v>ESCUELA DEPORTIVA FÚTBOL RAQUIRA</v>
      </c>
      <c r="E11" s="238">
        <f>+'GRUPO B'!G20</f>
        <v>0</v>
      </c>
      <c r="F11" s="238">
        <f>+'GRUPO B'!I20</f>
        <v>3</v>
      </c>
      <c r="G11" s="238" t="str">
        <f>+'GRUPO B'!K20</f>
        <v>TEMPLO DEL FÚTBOL</v>
      </c>
      <c r="H11" s="238" t="str">
        <f>+'GRUPO B'!B4</f>
        <v>GRUPO B</v>
      </c>
      <c r="I11" s="238" t="str">
        <f t="shared" si="0"/>
        <v>NACIDOS 2014 2015</v>
      </c>
      <c r="J11" s="239"/>
      <c r="K11" s="235" t="str">
        <f>+'GRUPO A'!P16</f>
        <v xml:space="preserve">  4)  CLUB DEPORTIVO OS FUTSAL</v>
      </c>
      <c r="L11" s="238">
        <f>+'GRUPO A'!Q16</f>
        <v>0</v>
      </c>
      <c r="M11" s="238">
        <f>+'GRUPO A'!R16</f>
        <v>3</v>
      </c>
      <c r="N11" s="238">
        <f>+'GRUPO A'!S16</f>
        <v>0</v>
      </c>
      <c r="O11" s="238">
        <f>+'GRUPO A'!T16</f>
        <v>0</v>
      </c>
      <c r="P11" s="238">
        <f>+'GRUPO A'!U16</f>
        <v>3</v>
      </c>
      <c r="Q11" s="238">
        <f>+'GRUPO A'!V16</f>
        <v>2</v>
      </c>
      <c r="R11" s="238">
        <f>+'GRUPO A'!W16</f>
        <v>28</v>
      </c>
      <c r="S11" s="238">
        <f>+'GRUPO A'!X16</f>
        <v>-26</v>
      </c>
      <c r="T11" s="238">
        <f>+'GRUPO A'!Y16</f>
        <v>0</v>
      </c>
    </row>
    <row r="12" spans="1:33" s="197" customFormat="1" ht="48" customHeight="1" x14ac:dyDescent="0.45">
      <c r="A12" s="237">
        <v>45563</v>
      </c>
      <c r="B12" s="251" t="s">
        <v>171</v>
      </c>
      <c r="C12" s="247">
        <v>0.5</v>
      </c>
      <c r="D12" s="238" t="str">
        <f>+'GRUPO A'!E26</f>
        <v>AJAX AIMARA</v>
      </c>
      <c r="E12" s="238">
        <f>+'GRUPO A'!G26</f>
        <v>1</v>
      </c>
      <c r="F12" s="238">
        <f>+'GRUPO A'!I26</f>
        <v>2</v>
      </c>
      <c r="G12" s="238" t="str">
        <f>+'GRUPO A'!K26</f>
        <v>ESCUELA DE FORMACION DEPORTIVA MARACANA</v>
      </c>
      <c r="H12" s="237" t="str">
        <f>+'GRUPO A'!B4</f>
        <v>GRUPO A</v>
      </c>
      <c r="I12" s="238" t="str">
        <f t="shared" si="0"/>
        <v>NACIDOS 2014 2015</v>
      </c>
      <c r="J12" s="239"/>
      <c r="K12" s="240" t="str">
        <f>+'GRUPO B'!B4</f>
        <v>GRUPO B</v>
      </c>
      <c r="L12" s="240" t="str">
        <f>+'GRUPO B'!Q8</f>
        <v>Pts.</v>
      </c>
      <c r="M12" s="240" t="str">
        <f>+'GRUPO B'!R8</f>
        <v>PJ</v>
      </c>
      <c r="N12" s="240" t="str">
        <f>+'GRUPO B'!S8</f>
        <v>Gan.</v>
      </c>
      <c r="O12" s="241" t="str">
        <f>+'GRUPO B'!T8</f>
        <v>Emp.</v>
      </c>
      <c r="P12" s="240" t="str">
        <f>+'GRUPO B'!U8</f>
        <v>Per.</v>
      </c>
      <c r="Q12" s="240" t="str">
        <f>+'GRUPO B'!V8</f>
        <v>GF</v>
      </c>
      <c r="R12" s="240" t="str">
        <f>+'GRUPO B'!W8</f>
        <v>GC</v>
      </c>
      <c r="S12" s="240" t="str">
        <f>+'GRUPO B'!X8</f>
        <v>Dif.</v>
      </c>
      <c r="T12" s="240" t="str">
        <f>+'GRUPO B'!Y8</f>
        <v>Tj</v>
      </c>
    </row>
    <row r="13" spans="1:33" s="197" customFormat="1" ht="48" customHeight="1" x14ac:dyDescent="0.45">
      <c r="A13" s="237">
        <v>45563</v>
      </c>
      <c r="B13" s="252" t="s">
        <v>170</v>
      </c>
      <c r="C13" s="247">
        <v>0.5</v>
      </c>
      <c r="D13" s="238" t="str">
        <f>+'GRUPO D'!E26</f>
        <v>ACADEMIA IGUARAN F. C.</v>
      </c>
      <c r="E13" s="238">
        <f>+'GRUPO D'!G26</f>
        <v>8</v>
      </c>
      <c r="F13" s="238">
        <f>+'GRUPO D'!I26</f>
        <v>0</v>
      </c>
      <c r="G13" s="238" t="str">
        <f>+'GRUPO D'!K26</f>
        <v>CORDOBA Y CERRANO F. C.</v>
      </c>
      <c r="H13" s="237" t="str">
        <f>+'GRUPO D'!B4</f>
        <v>GRUPO D</v>
      </c>
      <c r="I13" s="238" t="str">
        <f t="shared" si="0"/>
        <v>NACIDOS 2014 2015</v>
      </c>
      <c r="J13" s="239"/>
      <c r="K13" s="235" t="str">
        <f>+'GRUPO B'!P10</f>
        <v xml:space="preserve">  1)  TEMPLO DEL FÚTBOL</v>
      </c>
      <c r="L13" s="238">
        <f>+'GRUPO B'!Q10</f>
        <v>7</v>
      </c>
      <c r="M13" s="238">
        <f>+'GRUPO B'!R10</f>
        <v>3</v>
      </c>
      <c r="N13" s="238">
        <f>+'GRUPO B'!S10</f>
        <v>2</v>
      </c>
      <c r="O13" s="238">
        <f>+'GRUPO B'!T10</f>
        <v>1</v>
      </c>
      <c r="P13" s="238">
        <f>+'GRUPO B'!U10</f>
        <v>0</v>
      </c>
      <c r="Q13" s="238">
        <f>+'GRUPO B'!V10</f>
        <v>9</v>
      </c>
      <c r="R13" s="238">
        <f>+'GRUPO B'!W10</f>
        <v>1</v>
      </c>
      <c r="S13" s="238">
        <f>+'GRUPO B'!X10</f>
        <v>8</v>
      </c>
      <c r="T13" s="238">
        <f>+'GRUPO B'!Y10</f>
        <v>0</v>
      </c>
    </row>
    <row r="14" spans="1:33" s="197" customFormat="1" ht="48" customHeight="1" x14ac:dyDescent="0.45">
      <c r="A14" s="237">
        <v>45563</v>
      </c>
      <c r="B14" s="251" t="s">
        <v>171</v>
      </c>
      <c r="C14" s="247">
        <v>0.54861111111111116</v>
      </c>
      <c r="D14" s="238" t="str">
        <f>+'GRUPO A'!E29</f>
        <v>CLUB DEPORTIVO OS FUTSAL</v>
      </c>
      <c r="E14" s="238">
        <f>+'GRUPO A'!G29</f>
        <v>2</v>
      </c>
      <c r="F14" s="238">
        <f>+'GRUPO A'!I29</f>
        <v>10</v>
      </c>
      <c r="G14" s="238" t="str">
        <f>+'GRUPO A'!K29</f>
        <v>CLUB LOS PAPETICOS</v>
      </c>
      <c r="H14" s="237" t="str">
        <f>+'GRUPO A'!B4</f>
        <v>GRUPO A</v>
      </c>
      <c r="I14" s="238" t="str">
        <f t="shared" si="0"/>
        <v>NACIDOS 2014 2015</v>
      </c>
      <c r="J14" s="239"/>
      <c r="K14" s="235" t="str">
        <f>+'GRUPO B'!P12</f>
        <v xml:space="preserve">  2)  CLUB CAMPESTRE IBAGUE</v>
      </c>
      <c r="L14" s="238">
        <f>+'GRUPO B'!Q12</f>
        <v>7</v>
      </c>
      <c r="M14" s="238">
        <f>+'GRUPO B'!R12</f>
        <v>3</v>
      </c>
      <c r="N14" s="238">
        <f>+'GRUPO B'!S12</f>
        <v>2</v>
      </c>
      <c r="O14" s="238">
        <f>+'GRUPO B'!T12</f>
        <v>1</v>
      </c>
      <c r="P14" s="238">
        <f>+'GRUPO B'!U12</f>
        <v>0</v>
      </c>
      <c r="Q14" s="238">
        <f>+'GRUPO B'!V12</f>
        <v>9</v>
      </c>
      <c r="R14" s="238">
        <f>+'GRUPO B'!W12</f>
        <v>3</v>
      </c>
      <c r="S14" s="238">
        <f>+'GRUPO B'!X12</f>
        <v>6</v>
      </c>
      <c r="T14" s="238">
        <f>+'GRUPO B'!Y12</f>
        <v>0</v>
      </c>
    </row>
    <row r="15" spans="1:33" s="197" customFormat="1" ht="48" customHeight="1" thickBot="1" x14ac:dyDescent="0.5">
      <c r="A15" s="237">
        <v>45563</v>
      </c>
      <c r="B15" s="252" t="s">
        <v>170</v>
      </c>
      <c r="C15" s="247">
        <v>0.54861111111111116</v>
      </c>
      <c r="D15" s="238" t="str">
        <f>+'GRUPO D'!E29</f>
        <v>COLEGIO NEIL ARMSTRONG</v>
      </c>
      <c r="E15" s="238">
        <f>+'GRUPO D'!G29</f>
        <v>2</v>
      </c>
      <c r="F15" s="238">
        <f>+'GRUPO D'!I29</f>
        <v>8</v>
      </c>
      <c r="G15" s="238" t="str">
        <f>+'GRUPO D'!K29</f>
        <v>GRAMA F. C.</v>
      </c>
      <c r="H15" s="237" t="str">
        <f>+'GRUPO D'!B4</f>
        <v>GRUPO D</v>
      </c>
      <c r="I15" s="238" t="str">
        <f t="shared" si="0"/>
        <v>NACIDOS 2014 2015</v>
      </c>
      <c r="J15" s="239"/>
      <c r="K15" s="235" t="str">
        <f>+'GRUPO B'!P14</f>
        <v xml:space="preserve">  3)  ESCUELA DEPORTIVA FÚTBOL RAQUIRA</v>
      </c>
      <c r="L15" s="238">
        <f>+'GRUPO B'!Q14</f>
        <v>0</v>
      </c>
      <c r="M15" s="238">
        <f>+'GRUPO B'!R14</f>
        <v>3</v>
      </c>
      <c r="N15" s="238">
        <f>+'GRUPO B'!S14</f>
        <v>0</v>
      </c>
      <c r="O15" s="238">
        <f>+'GRUPO B'!T14</f>
        <v>0</v>
      </c>
      <c r="P15" s="238">
        <f>+'GRUPO B'!U14</f>
        <v>3</v>
      </c>
      <c r="Q15" s="238">
        <f>+'GRUPO B'!V14</f>
        <v>2</v>
      </c>
      <c r="R15" s="238">
        <f>+'GRUPO B'!W14</f>
        <v>10</v>
      </c>
      <c r="S15" s="238">
        <f>+'GRUPO B'!X14</f>
        <v>-8</v>
      </c>
      <c r="T15" s="238">
        <f>+'GRUPO B'!Y14</f>
        <v>0</v>
      </c>
    </row>
    <row r="16" spans="1:33" s="197" customFormat="1" ht="48" customHeight="1" thickBot="1" x14ac:dyDescent="0.5">
      <c r="I16" s="239"/>
      <c r="J16" s="239"/>
      <c r="K16" s="242" t="str">
        <f>+'GRUPO C'!B4</f>
        <v>GRUPO C</v>
      </c>
      <c r="L16" s="242" t="str">
        <f>+'GRUPO C'!Q8</f>
        <v>Pts.</v>
      </c>
      <c r="M16" s="242" t="str">
        <f>+'GRUPO C'!R8</f>
        <v>PJ</v>
      </c>
      <c r="N16" s="242" t="str">
        <f>+'GRUPO C'!S8</f>
        <v>Gan.</v>
      </c>
      <c r="O16" s="243" t="str">
        <f>+'GRUPO C'!T8</f>
        <v>Emp.</v>
      </c>
      <c r="P16" s="242" t="str">
        <f>+'GRUPO C'!U8</f>
        <v>Per.</v>
      </c>
      <c r="Q16" s="242" t="str">
        <f>+'GRUPO C'!V8</f>
        <v>GF</v>
      </c>
      <c r="R16" s="242" t="str">
        <f>+'GRUPO C'!W8</f>
        <v>GC</v>
      </c>
      <c r="S16" s="242" t="str">
        <f>+'GRUPO C'!X8</f>
        <v>Dif.</v>
      </c>
      <c r="T16" s="242" t="str">
        <f>+'GRUPO C'!Y8</f>
        <v>Tj</v>
      </c>
      <c r="X16" s="389" t="s">
        <v>119</v>
      </c>
      <c r="Y16" s="390"/>
      <c r="Z16" s="390"/>
      <c r="AA16" s="390"/>
      <c r="AB16" s="390"/>
      <c r="AC16" s="390"/>
      <c r="AD16" s="390"/>
      <c r="AE16" s="390"/>
      <c r="AF16" s="390"/>
      <c r="AG16" s="391"/>
    </row>
    <row r="17" spans="1:33" s="197" customFormat="1" ht="48" customHeight="1" thickBot="1" x14ac:dyDescent="0.5">
      <c r="A17" s="239"/>
      <c r="B17" s="361" t="str">
        <f>+'IMPRIMIR 2'!A14</f>
        <v>PARTIDOS                 fecha 2</v>
      </c>
      <c r="C17" s="362"/>
      <c r="D17" s="362"/>
      <c r="E17" s="362"/>
      <c r="F17" s="362"/>
      <c r="G17" s="362"/>
      <c r="H17" s="362"/>
      <c r="I17" s="363"/>
      <c r="J17" s="239"/>
      <c r="K17" s="235" t="str">
        <f>+'GRUPO C'!P10</f>
        <v xml:space="preserve">  1)  BLUEMARTIN F.C .</v>
      </c>
      <c r="L17" s="238">
        <f>+'GRUPO C'!Q10</f>
        <v>9</v>
      </c>
      <c r="M17" s="238">
        <f>+'GRUPO C'!R10</f>
        <v>3</v>
      </c>
      <c r="N17" s="238">
        <f>+'GRUPO C'!S10</f>
        <v>3</v>
      </c>
      <c r="O17" s="238">
        <f>+'GRUPO C'!T10</f>
        <v>0</v>
      </c>
      <c r="P17" s="238">
        <f>+'GRUPO C'!U10</f>
        <v>0</v>
      </c>
      <c r="Q17" s="238">
        <f>+'GRUPO C'!V10</f>
        <v>5</v>
      </c>
      <c r="R17" s="238">
        <f>+'GRUPO C'!W10</f>
        <v>0</v>
      </c>
      <c r="S17" s="238">
        <f>+'GRUPO C'!X10</f>
        <v>5</v>
      </c>
      <c r="T17" s="238">
        <f>+'GRUPO C'!Y10</f>
        <v>0</v>
      </c>
      <c r="X17" s="392"/>
      <c r="Y17" s="393"/>
      <c r="Z17" s="393"/>
      <c r="AA17" s="393"/>
      <c r="AB17" s="393"/>
      <c r="AC17" s="393"/>
      <c r="AD17" s="393"/>
      <c r="AE17" s="393"/>
      <c r="AF17" s="393"/>
      <c r="AG17" s="394"/>
    </row>
    <row r="18" spans="1:33" s="197" customFormat="1" ht="48" customHeight="1" thickBot="1" x14ac:dyDescent="0.5">
      <c r="A18" s="239"/>
      <c r="B18" s="244" t="s">
        <v>69</v>
      </c>
      <c r="C18" s="244" t="s">
        <v>70</v>
      </c>
      <c r="D18" s="244" t="s">
        <v>71</v>
      </c>
      <c r="E18" s="360" t="s">
        <v>72</v>
      </c>
      <c r="F18" s="360"/>
      <c r="G18" s="244" t="s">
        <v>71</v>
      </c>
      <c r="H18" s="244" t="s">
        <v>73</v>
      </c>
      <c r="I18" s="244" t="str">
        <f>+I8</f>
        <v>CATEGORIA</v>
      </c>
      <c r="J18" s="239"/>
      <c r="K18" s="235" t="str">
        <f>+'GRUPO C'!P12</f>
        <v xml:space="preserve">  2)  CENTAUROS DEL ARIARI</v>
      </c>
      <c r="L18" s="238">
        <f>+'GRUPO C'!Q12</f>
        <v>3</v>
      </c>
      <c r="M18" s="238">
        <f>+'GRUPO C'!R12</f>
        <v>3</v>
      </c>
      <c r="N18" s="238">
        <f>+'GRUPO C'!S12</f>
        <v>1</v>
      </c>
      <c r="O18" s="238">
        <f>+'GRUPO C'!T12</f>
        <v>0</v>
      </c>
      <c r="P18" s="238">
        <f>+'GRUPO C'!U12</f>
        <v>2</v>
      </c>
      <c r="Q18" s="238">
        <f>+'GRUPO C'!V12</f>
        <v>5</v>
      </c>
      <c r="R18" s="238">
        <f>+'GRUPO C'!W12</f>
        <v>5</v>
      </c>
      <c r="S18" s="238">
        <f>+'GRUPO C'!X12</f>
        <v>0</v>
      </c>
      <c r="T18" s="238">
        <f>+'GRUPO C'!Y12</f>
        <v>0</v>
      </c>
      <c r="X18" s="223" t="s">
        <v>82</v>
      </c>
      <c r="Y18" s="211" t="s">
        <v>48</v>
      </c>
      <c r="Z18" s="375" t="s">
        <v>125</v>
      </c>
      <c r="AA18" s="376"/>
      <c r="AB18" s="376"/>
      <c r="AC18" s="376"/>
      <c r="AD18" s="395"/>
      <c r="AE18" s="224" t="s">
        <v>132</v>
      </c>
      <c r="AF18" s="396" t="s">
        <v>133</v>
      </c>
      <c r="AG18" s="397"/>
    </row>
    <row r="19" spans="1:33" s="197" customFormat="1" ht="48" customHeight="1" thickBot="1" x14ac:dyDescent="0.5">
      <c r="A19" s="237">
        <v>45563</v>
      </c>
      <c r="B19" s="250" t="s">
        <v>176</v>
      </c>
      <c r="C19" s="247">
        <v>0.63541666666666663</v>
      </c>
      <c r="D19" s="238" t="str">
        <f>+'GRUPO C'!E26</f>
        <v>BLUEMARTIN F.C .</v>
      </c>
      <c r="E19" s="238">
        <f>+'GRUPO C'!G26</f>
        <v>2</v>
      </c>
      <c r="F19" s="238">
        <f>+'GRUPO C'!I26</f>
        <v>0</v>
      </c>
      <c r="G19" s="238" t="str">
        <f>+'GRUPO C'!K26</f>
        <v>CENTAUROS DEL ARIARI</v>
      </c>
      <c r="H19" s="237" t="str">
        <f>+'GRUPO C'!B4</f>
        <v>GRUPO C</v>
      </c>
      <c r="I19" s="238" t="str">
        <f t="shared" ref="I19:I25" si="1">+$A$3</f>
        <v>NACIDOS 2014 2015</v>
      </c>
      <c r="J19" s="239"/>
      <c r="K19" s="235" t="str">
        <f>+'GRUPO C'!P14</f>
        <v xml:space="preserve">  3)  EIFD TESOROS SPORTS</v>
      </c>
      <c r="L19" s="238">
        <f>+'GRUPO C'!Q14</f>
        <v>0</v>
      </c>
      <c r="M19" s="238">
        <f>+'GRUPO C'!R14</f>
        <v>3</v>
      </c>
      <c r="N19" s="238">
        <f>+'GRUPO C'!S14</f>
        <v>0</v>
      </c>
      <c r="O19" s="238">
        <f>+'GRUPO C'!T14</f>
        <v>0</v>
      </c>
      <c r="P19" s="238">
        <f>+'GRUPO C'!U14</f>
        <v>3</v>
      </c>
      <c r="Q19" s="238">
        <f>+'GRUPO C'!V14</f>
        <v>3</v>
      </c>
      <c r="R19" s="238">
        <f>+'GRUPO C'!W14</f>
        <v>12</v>
      </c>
      <c r="S19" s="238">
        <f>+'GRUPO C'!X14</f>
        <v>-9</v>
      </c>
      <c r="T19" s="238">
        <f>+'GRUPO C'!Y14</f>
        <v>0</v>
      </c>
      <c r="X19" s="225" t="s">
        <v>120</v>
      </c>
      <c r="Y19" s="211" t="s">
        <v>48</v>
      </c>
      <c r="Z19" s="375" t="s">
        <v>134</v>
      </c>
      <c r="AA19" s="376"/>
      <c r="AB19" s="376"/>
      <c r="AC19" s="376"/>
      <c r="AD19" s="395"/>
      <c r="AE19" s="226" t="s">
        <v>135</v>
      </c>
      <c r="AF19" s="396" t="s">
        <v>133</v>
      </c>
      <c r="AG19" s="397"/>
    </row>
    <row r="20" spans="1:33" s="197" customFormat="1" ht="48" customHeight="1" thickBot="1" x14ac:dyDescent="0.5">
      <c r="A20" s="237">
        <v>45563</v>
      </c>
      <c r="B20" s="250" t="s">
        <v>177</v>
      </c>
      <c r="C20" s="247">
        <v>0.63541666666666663</v>
      </c>
      <c r="D20" s="238" t="str">
        <f>+'GRUPO B'!E29</f>
        <v>TEMPLO DEL FÚTBOL</v>
      </c>
      <c r="E20" s="238">
        <f>+'GRUPO B'!G29</f>
        <v>6</v>
      </c>
      <c r="F20" s="238">
        <f>+'GRUPO B'!I29</f>
        <v>1</v>
      </c>
      <c r="G20" s="238" t="str">
        <f>+'GRUPO B'!K29</f>
        <v>EIFD TESOROS SPORTS</v>
      </c>
      <c r="H20" s="237" t="s">
        <v>131</v>
      </c>
      <c r="I20" s="238" t="str">
        <f t="shared" si="1"/>
        <v>NACIDOS 2014 2015</v>
      </c>
      <c r="J20" s="239"/>
      <c r="K20" s="245" t="str">
        <f>+'GRUPO D'!B4</f>
        <v>GRUPO D</v>
      </c>
      <c r="L20" s="245" t="str">
        <f>+'GRUPO D'!Q8</f>
        <v>Pts.</v>
      </c>
      <c r="M20" s="245" t="str">
        <f>+'GRUPO D'!R8</f>
        <v>PJ</v>
      </c>
      <c r="N20" s="245" t="str">
        <f>+'GRUPO D'!S8</f>
        <v>Gan.</v>
      </c>
      <c r="O20" s="246" t="str">
        <f>+'GRUPO D'!T8</f>
        <v>Emp.</v>
      </c>
      <c r="P20" s="245" t="str">
        <f>+'GRUPO D'!U8</f>
        <v>Per.</v>
      </c>
      <c r="Q20" s="245" t="str">
        <f>+'GRUPO D'!V8</f>
        <v>GF</v>
      </c>
      <c r="R20" s="245" t="str">
        <f>+'GRUPO D'!W8</f>
        <v>GC</v>
      </c>
      <c r="S20" s="245" t="str">
        <f>+'GRUPO D'!X8</f>
        <v>Dif.</v>
      </c>
      <c r="T20" s="245" t="str">
        <f>+'GRUPO D'!Y8</f>
        <v>Tj</v>
      </c>
      <c r="X20" s="225" t="s">
        <v>121</v>
      </c>
      <c r="Y20" s="211" t="s">
        <v>48</v>
      </c>
      <c r="Z20" s="375" t="s">
        <v>126</v>
      </c>
      <c r="AA20" s="376"/>
      <c r="AB20" s="376"/>
      <c r="AC20" s="376"/>
      <c r="AD20" s="395"/>
      <c r="AE20" s="227" t="s">
        <v>136</v>
      </c>
      <c r="AF20" s="387" t="s">
        <v>133</v>
      </c>
      <c r="AG20" s="388"/>
    </row>
    <row r="21" spans="1:33" s="197" customFormat="1" ht="48" customHeight="1" thickBot="1" x14ac:dyDescent="0.5">
      <c r="A21" s="237">
        <v>45563</v>
      </c>
      <c r="B21" s="251" t="s">
        <v>171</v>
      </c>
      <c r="C21" s="247">
        <v>0.75694444444444442</v>
      </c>
      <c r="D21" s="238" t="str">
        <f>+'GRUPO D'!E23</f>
        <v>CORDOBA Y CERRANO F. C.</v>
      </c>
      <c r="E21" s="238">
        <f>+'GRUPO D'!G23</f>
        <v>4</v>
      </c>
      <c r="F21" s="238">
        <f>+'GRUPO D'!I23</f>
        <v>4</v>
      </c>
      <c r="G21" s="238" t="str">
        <f>+'GRUPO D'!K23</f>
        <v>GRAMA F. C.</v>
      </c>
      <c r="H21" s="238" t="str">
        <f>+'GRUPO D'!B4</f>
        <v>GRUPO D</v>
      </c>
      <c r="I21" s="238" t="str">
        <f t="shared" si="1"/>
        <v>NACIDOS 2014 2015</v>
      </c>
      <c r="J21" s="239"/>
      <c r="K21" s="235" t="str">
        <f>+'GRUPO D'!P10</f>
        <v xml:space="preserve">  1)  ACADEMIA IGUARAN F. C.</v>
      </c>
      <c r="L21" s="238">
        <f>+'GRUPO D'!Q10</f>
        <v>9</v>
      </c>
      <c r="M21" s="238">
        <f>+'GRUPO D'!R10</f>
        <v>3</v>
      </c>
      <c r="N21" s="238">
        <f>+'GRUPO D'!S10</f>
        <v>3</v>
      </c>
      <c r="O21" s="238">
        <f>+'GRUPO D'!T10</f>
        <v>0</v>
      </c>
      <c r="P21" s="238">
        <f>+'GRUPO D'!U10</f>
        <v>0</v>
      </c>
      <c r="Q21" s="238">
        <f>+'GRUPO D'!V10</f>
        <v>15</v>
      </c>
      <c r="R21" s="238">
        <f>+'GRUPO D'!W10</f>
        <v>3</v>
      </c>
      <c r="S21" s="238">
        <f>+'GRUPO D'!X10</f>
        <v>12</v>
      </c>
      <c r="T21" s="238">
        <f>+'GRUPO D'!Y10</f>
        <v>0</v>
      </c>
      <c r="X21" s="228" t="s">
        <v>83</v>
      </c>
      <c r="Y21" s="211" t="s">
        <v>48</v>
      </c>
      <c r="Z21" s="382" t="s">
        <v>127</v>
      </c>
      <c r="AA21" s="383"/>
      <c r="AB21" s="383"/>
      <c r="AC21" s="383"/>
      <c r="AD21" s="384"/>
      <c r="AE21" s="229" t="s">
        <v>137</v>
      </c>
      <c r="AF21" s="398" t="s">
        <v>138</v>
      </c>
      <c r="AG21" s="399"/>
    </row>
    <row r="22" spans="1:33" s="197" customFormat="1" ht="48" customHeight="1" thickBot="1" x14ac:dyDescent="0.5">
      <c r="A22" s="237">
        <v>45563</v>
      </c>
      <c r="B22" s="252" t="s">
        <v>170</v>
      </c>
      <c r="C22" s="247">
        <v>0.75694444444444442</v>
      </c>
      <c r="D22" s="238" t="str">
        <f>+'GRUPO A'!E20</f>
        <v>AJAX AIMARA</v>
      </c>
      <c r="E22" s="238">
        <f>+'GRUPO A'!G20</f>
        <v>10</v>
      </c>
      <c r="F22" s="238">
        <f>+'GRUPO A'!I20</f>
        <v>0</v>
      </c>
      <c r="G22" s="238" t="str">
        <f>+'GRUPO A'!K20</f>
        <v>CLUB DEPORTIVO OS FUTSAL</v>
      </c>
      <c r="H22" s="238" t="str">
        <f>+'GRUPO A'!B4</f>
        <v>GRUPO A</v>
      </c>
      <c r="I22" s="238" t="str">
        <f t="shared" si="1"/>
        <v>NACIDOS 2014 2015</v>
      </c>
      <c r="J22" s="239"/>
      <c r="K22" s="235" t="str">
        <f>+'GRUPO D'!P12</f>
        <v xml:space="preserve">  2)  GRAMA F. C.</v>
      </c>
      <c r="L22" s="238">
        <f>+'GRUPO D'!Q12</f>
        <v>4</v>
      </c>
      <c r="M22" s="238">
        <f>+'GRUPO D'!R12</f>
        <v>3</v>
      </c>
      <c r="N22" s="238">
        <f>+'GRUPO D'!S12</f>
        <v>1</v>
      </c>
      <c r="O22" s="238">
        <f>+'GRUPO D'!T12</f>
        <v>1</v>
      </c>
      <c r="P22" s="238">
        <f>+'GRUPO D'!U12</f>
        <v>1</v>
      </c>
      <c r="Q22" s="238">
        <f>+'GRUPO D'!V12</f>
        <v>13</v>
      </c>
      <c r="R22" s="238">
        <f>+'GRUPO D'!W12</f>
        <v>9</v>
      </c>
      <c r="S22" s="238">
        <f>+'GRUPO D'!X12</f>
        <v>4</v>
      </c>
      <c r="T22" s="238">
        <f>+'GRUPO D'!Y12</f>
        <v>0</v>
      </c>
      <c r="X22" s="230" t="s">
        <v>139</v>
      </c>
      <c r="Y22" s="211" t="s">
        <v>48</v>
      </c>
      <c r="Z22" s="382" t="s">
        <v>128</v>
      </c>
      <c r="AA22" s="383"/>
      <c r="AB22" s="383"/>
      <c r="AC22" s="383"/>
      <c r="AD22" s="384"/>
      <c r="AE22" s="229" t="s">
        <v>140</v>
      </c>
      <c r="AF22" s="398" t="s">
        <v>138</v>
      </c>
      <c r="AG22" s="399"/>
    </row>
    <row r="23" spans="1:33" s="197" customFormat="1" ht="48" customHeight="1" thickBot="1" x14ac:dyDescent="0.5">
      <c r="A23" s="237">
        <v>45563</v>
      </c>
      <c r="B23" s="251" t="s">
        <v>171</v>
      </c>
      <c r="C23" s="247">
        <v>0.80555555555555558</v>
      </c>
      <c r="D23" s="238" t="str">
        <f>+'GRUPO A'!E23</f>
        <v>ESCUELA DE FORMACION DEPORTIVA MARACANA</v>
      </c>
      <c r="E23" s="238">
        <f>+'GRUPO A'!G23</f>
        <v>3</v>
      </c>
      <c r="F23" s="238">
        <f>+'GRUPO A'!I23</f>
        <v>3</v>
      </c>
      <c r="G23" s="238" t="str">
        <f>+'GRUPO A'!K23</f>
        <v>CLUB LOS PAPETICOS</v>
      </c>
      <c r="H23" s="238" t="str">
        <f>+'GRUPO A'!B4</f>
        <v>GRUPO A</v>
      </c>
      <c r="I23" s="238" t="str">
        <f t="shared" si="1"/>
        <v>NACIDOS 2014 2015</v>
      </c>
      <c r="J23" s="239"/>
      <c r="K23" s="235" t="str">
        <f>+'GRUPO D'!P14</f>
        <v xml:space="preserve">  3)  CORDOBA Y CERRANO F. C.</v>
      </c>
      <c r="L23" s="238">
        <f>+'GRUPO D'!Q14</f>
        <v>4</v>
      </c>
      <c r="M23" s="238">
        <f>+'GRUPO D'!R14</f>
        <v>3</v>
      </c>
      <c r="N23" s="238">
        <f>+'GRUPO D'!S14</f>
        <v>1</v>
      </c>
      <c r="O23" s="238">
        <f>+'GRUPO D'!T14</f>
        <v>1</v>
      </c>
      <c r="P23" s="238">
        <f>+'GRUPO D'!U14</f>
        <v>1</v>
      </c>
      <c r="Q23" s="238">
        <f>+'GRUPO D'!V14</f>
        <v>8</v>
      </c>
      <c r="R23" s="238">
        <f>+'GRUPO D'!W14</f>
        <v>13</v>
      </c>
      <c r="S23" s="238">
        <f>+'GRUPO D'!X14</f>
        <v>-5</v>
      </c>
      <c r="T23" s="238">
        <f>+'GRUPO D'!Y14</f>
        <v>0</v>
      </c>
      <c r="X23" s="230" t="s">
        <v>123</v>
      </c>
      <c r="Y23" s="211" t="s">
        <v>48</v>
      </c>
      <c r="Z23" s="382" t="s">
        <v>129</v>
      </c>
      <c r="AA23" s="383"/>
      <c r="AB23" s="383"/>
      <c r="AC23" s="383"/>
      <c r="AD23" s="384"/>
      <c r="AE23" s="224" t="s">
        <v>132</v>
      </c>
      <c r="AF23" s="385" t="s">
        <v>141</v>
      </c>
      <c r="AG23" s="386"/>
    </row>
    <row r="24" spans="1:33" s="197" customFormat="1" ht="48" customHeight="1" thickBot="1" x14ac:dyDescent="0.5">
      <c r="A24" s="237">
        <v>45563</v>
      </c>
      <c r="B24" s="252" t="s">
        <v>170</v>
      </c>
      <c r="C24" s="247">
        <v>0.80555555555555558</v>
      </c>
      <c r="D24" s="238" t="str">
        <f>+'GRUPO D'!E20</f>
        <v>ACADEMIA IGUARAN F. C.</v>
      </c>
      <c r="E24" s="238">
        <f>+'GRUPO D'!G20</f>
        <v>4</v>
      </c>
      <c r="F24" s="238">
        <f>+'GRUPO D'!I20</f>
        <v>2</v>
      </c>
      <c r="G24" s="238" t="str">
        <f>+'GRUPO D'!K20</f>
        <v>COLEGIO NEIL ARMSTRONG</v>
      </c>
      <c r="H24" s="238" t="str">
        <f>+'GRUPO D'!B4</f>
        <v>GRUPO D</v>
      </c>
      <c r="I24" s="238" t="str">
        <f t="shared" si="1"/>
        <v>NACIDOS 2014 2015</v>
      </c>
      <c r="J24" s="239"/>
      <c r="K24" s="235" t="str">
        <f>+'GRUPO D'!P16</f>
        <v xml:space="preserve">  4)  COLEGIO NEIL ARMSTRONG</v>
      </c>
      <c r="L24" s="238">
        <f>+'GRUPO D'!Q16</f>
        <v>0</v>
      </c>
      <c r="M24" s="238">
        <f>+'GRUPO D'!R16</f>
        <v>3</v>
      </c>
      <c r="N24" s="238">
        <f>+'GRUPO D'!S16</f>
        <v>0</v>
      </c>
      <c r="O24" s="238">
        <f>+'GRUPO D'!T16</f>
        <v>0</v>
      </c>
      <c r="P24" s="238">
        <f>+'GRUPO D'!U16</f>
        <v>3</v>
      </c>
      <c r="Q24" s="238">
        <f>+'GRUPO D'!V16</f>
        <v>5</v>
      </c>
      <c r="R24" s="238">
        <f>+'GRUPO D'!W16</f>
        <v>16</v>
      </c>
      <c r="S24" s="238">
        <f>+'GRUPO D'!X16</f>
        <v>-11</v>
      </c>
      <c r="T24" s="238">
        <f>+'GRUPO D'!Y16</f>
        <v>0</v>
      </c>
      <c r="X24" s="223" t="s">
        <v>142</v>
      </c>
      <c r="Y24" s="211" t="s">
        <v>48</v>
      </c>
      <c r="Z24" s="375" t="s">
        <v>143</v>
      </c>
      <c r="AA24" s="376"/>
      <c r="AB24" s="376"/>
      <c r="AC24" s="376"/>
      <c r="AD24" s="395"/>
      <c r="AE24" s="226" t="s">
        <v>135</v>
      </c>
      <c r="AF24" s="385" t="s">
        <v>141</v>
      </c>
      <c r="AG24" s="386"/>
    </row>
    <row r="25" spans="1:33" s="197" customFormat="1" ht="48" customHeight="1" thickBot="1" x14ac:dyDescent="0.5">
      <c r="A25" s="237">
        <v>45563</v>
      </c>
      <c r="B25" s="252" t="s">
        <v>170</v>
      </c>
      <c r="C25" s="247">
        <v>0.85416666666666663</v>
      </c>
      <c r="D25" s="238" t="str">
        <f>+'GRUPO B'!E26</f>
        <v>ESCUELA DEPORTIVA FÚTBOL RAQUIRA</v>
      </c>
      <c r="E25" s="238">
        <f>+'GRUPO B'!G26</f>
        <v>2</v>
      </c>
      <c r="F25" s="238">
        <f>+'GRUPO B'!I26</f>
        <v>6</v>
      </c>
      <c r="G25" s="238" t="str">
        <f>+'GRUPO B'!K26</f>
        <v>CLUB CAMPESTRE IBAGUE</v>
      </c>
      <c r="H25" s="237" t="str">
        <f>+'GRUPO B'!B4</f>
        <v>GRUPO B</v>
      </c>
      <c r="I25" s="238" t="str">
        <f t="shared" si="1"/>
        <v>NACIDOS 2014 2015</v>
      </c>
      <c r="J25" s="239"/>
      <c r="K25" s="239"/>
      <c r="L25" s="239"/>
      <c r="M25" s="239"/>
      <c r="N25" s="239"/>
      <c r="O25" s="239"/>
      <c r="P25" s="239"/>
      <c r="Q25" s="239"/>
      <c r="R25" s="239"/>
      <c r="S25" s="239"/>
      <c r="T25" s="239"/>
      <c r="X25" s="225" t="s">
        <v>144</v>
      </c>
      <c r="Y25" s="211" t="s">
        <v>48</v>
      </c>
      <c r="Z25" s="375" t="s">
        <v>145</v>
      </c>
      <c r="AA25" s="376"/>
      <c r="AB25" s="376"/>
      <c r="AC25" s="376"/>
      <c r="AD25" s="395"/>
      <c r="AE25" s="227" t="s">
        <v>136</v>
      </c>
      <c r="AF25" s="401" t="s">
        <v>141</v>
      </c>
      <c r="AG25" s="402"/>
    </row>
    <row r="26" spans="1:33" s="197" customFormat="1" ht="48" customHeight="1" thickBot="1" x14ac:dyDescent="0.5">
      <c r="A26" s="239"/>
      <c r="B26" s="239"/>
      <c r="C26" s="239"/>
      <c r="I26" s="239"/>
      <c r="J26" s="239"/>
      <c r="K26" s="403"/>
      <c r="L26" s="404"/>
      <c r="M26" s="404"/>
      <c r="N26" s="404"/>
      <c r="O26" s="404"/>
      <c r="P26" s="404"/>
      <c r="Q26" s="404"/>
      <c r="R26" s="404"/>
      <c r="S26" s="404"/>
      <c r="T26" s="405"/>
      <c r="X26" s="225" t="s">
        <v>146</v>
      </c>
      <c r="Y26" s="211" t="s">
        <v>48</v>
      </c>
      <c r="Z26" s="375" t="s">
        <v>147</v>
      </c>
      <c r="AA26" s="376"/>
      <c r="AB26" s="376"/>
      <c r="AC26" s="376"/>
      <c r="AD26" s="376"/>
      <c r="AE26" s="229" t="s">
        <v>137</v>
      </c>
      <c r="AF26" s="398" t="s">
        <v>148</v>
      </c>
      <c r="AG26" s="399"/>
    </row>
    <row r="27" spans="1:33" s="197" customFormat="1" ht="48" customHeight="1" thickBot="1" x14ac:dyDescent="0.5">
      <c r="A27" s="239"/>
      <c r="B27" s="377" t="s">
        <v>85</v>
      </c>
      <c r="C27" s="378"/>
      <c r="D27" s="378"/>
      <c r="E27" s="378"/>
      <c r="F27" s="378"/>
      <c r="G27" s="378"/>
      <c r="H27" s="378"/>
      <c r="I27" s="379"/>
      <c r="J27" s="239"/>
      <c r="K27" s="406"/>
      <c r="L27" s="407"/>
      <c r="M27" s="407"/>
      <c r="N27" s="407"/>
      <c r="O27" s="407"/>
      <c r="P27" s="407"/>
      <c r="Q27" s="407"/>
      <c r="R27" s="407"/>
      <c r="S27" s="407"/>
      <c r="T27" s="408"/>
      <c r="X27" s="225" t="s">
        <v>149</v>
      </c>
      <c r="Y27" s="211" t="s">
        <v>48</v>
      </c>
      <c r="Z27" s="375" t="s">
        <v>150</v>
      </c>
      <c r="AA27" s="376"/>
      <c r="AB27" s="376"/>
      <c r="AC27" s="376"/>
      <c r="AD27" s="376"/>
      <c r="AE27" s="229" t="s">
        <v>140</v>
      </c>
      <c r="AF27" s="398" t="s">
        <v>148</v>
      </c>
      <c r="AG27" s="399"/>
    </row>
    <row r="28" spans="1:33" s="197" customFormat="1" ht="48" customHeight="1" thickBot="1" x14ac:dyDescent="0.5">
      <c r="A28" s="239"/>
      <c r="B28" s="244" t="s">
        <v>69</v>
      </c>
      <c r="C28" s="244" t="s">
        <v>70</v>
      </c>
      <c r="D28" s="244" t="s">
        <v>71</v>
      </c>
      <c r="E28" s="360" t="s">
        <v>72</v>
      </c>
      <c r="F28" s="360"/>
      <c r="G28" s="244" t="s">
        <v>71</v>
      </c>
      <c r="H28" s="244" t="s">
        <v>73</v>
      </c>
      <c r="I28" s="244" t="str">
        <f>+I18</f>
        <v>CATEGORIA</v>
      </c>
      <c r="J28" s="239"/>
      <c r="X28" s="230" t="s">
        <v>151</v>
      </c>
      <c r="Y28" s="211" t="s">
        <v>48</v>
      </c>
      <c r="Z28" s="382" t="s">
        <v>152</v>
      </c>
      <c r="AA28" s="383"/>
      <c r="AB28" s="383"/>
      <c r="AC28" s="383"/>
      <c r="AD28" s="384"/>
      <c r="AE28" s="224" t="s">
        <v>132</v>
      </c>
      <c r="AF28" s="385" t="s">
        <v>153</v>
      </c>
      <c r="AG28" s="386"/>
    </row>
    <row r="29" spans="1:33" s="197" customFormat="1" ht="48" customHeight="1" thickBot="1" x14ac:dyDescent="0.5">
      <c r="A29" s="237">
        <v>45564</v>
      </c>
      <c r="B29" s="256" t="s">
        <v>176</v>
      </c>
      <c r="C29" s="257">
        <v>0.28472222222222221</v>
      </c>
      <c r="D29" s="258" t="str">
        <f>+'GRUPO B'!E35</f>
        <v>TEMPLO DEL FÚTBOL</v>
      </c>
      <c r="E29" s="258">
        <f>+'GRUPO B'!G35</f>
        <v>0</v>
      </c>
      <c r="F29" s="258">
        <f>+'GRUPO B'!I35</f>
        <v>0</v>
      </c>
      <c r="G29" s="258" t="str">
        <f>+'GRUPO B'!K35</f>
        <v>CLUB CAMPESTRE IBAGUE</v>
      </c>
      <c r="H29" s="258" t="str">
        <f>+'GRUPO B'!B4</f>
        <v>GRUPO B</v>
      </c>
      <c r="I29" s="238" t="str">
        <f t="shared" ref="I29:I35" si="2">+$A$3</f>
        <v>NACIDOS 2014 2015</v>
      </c>
      <c r="J29" s="239"/>
      <c r="X29" s="230" t="s">
        <v>154</v>
      </c>
      <c r="Y29" s="211" t="s">
        <v>48</v>
      </c>
      <c r="Z29" s="382" t="s">
        <v>155</v>
      </c>
      <c r="AA29" s="383"/>
      <c r="AB29" s="383"/>
      <c r="AC29" s="383"/>
      <c r="AD29" s="384"/>
      <c r="AE29" s="226" t="s">
        <v>135</v>
      </c>
      <c r="AF29" s="385" t="s">
        <v>153</v>
      </c>
      <c r="AG29" s="386"/>
    </row>
    <row r="30" spans="1:33" s="197" customFormat="1" ht="48" customHeight="1" thickBot="1" x14ac:dyDescent="0.5">
      <c r="A30" s="237">
        <v>45564</v>
      </c>
      <c r="B30" s="256" t="s">
        <v>177</v>
      </c>
      <c r="C30" s="257">
        <v>0.34027777777777779</v>
      </c>
      <c r="D30" s="258" t="str">
        <f>+'GRUPO C'!E35</f>
        <v>ESCUELA DEPORTIVA FÚTBOL RAQUIRA</v>
      </c>
      <c r="E30" s="258">
        <f>+'GRUPO C'!G35</f>
        <v>0</v>
      </c>
      <c r="F30" s="258">
        <f>+'GRUPO C'!I35</f>
        <v>1</v>
      </c>
      <c r="G30" s="258" t="str">
        <f>+'GRUPO C'!K35</f>
        <v>BLUEMARTIN F.C .</v>
      </c>
      <c r="H30" s="258" t="s">
        <v>131</v>
      </c>
      <c r="I30" s="238" t="str">
        <f t="shared" si="2"/>
        <v>NACIDOS 2014 2015</v>
      </c>
      <c r="J30" s="239"/>
      <c r="X30" s="228" t="s">
        <v>156</v>
      </c>
      <c r="Y30" s="211" t="s">
        <v>48</v>
      </c>
      <c r="Z30" s="382" t="s">
        <v>157</v>
      </c>
      <c r="AA30" s="383"/>
      <c r="AB30" s="383"/>
      <c r="AC30" s="383"/>
      <c r="AD30" s="384"/>
      <c r="AE30" s="227" t="s">
        <v>136</v>
      </c>
      <c r="AF30" s="387" t="s">
        <v>153</v>
      </c>
      <c r="AG30" s="388"/>
    </row>
    <row r="31" spans="1:33" s="197" customFormat="1" ht="48" customHeight="1" x14ac:dyDescent="0.45">
      <c r="A31" s="237">
        <v>45564</v>
      </c>
      <c r="B31" s="250" t="s">
        <v>176</v>
      </c>
      <c r="C31" s="247">
        <v>0.3888888888888889</v>
      </c>
      <c r="D31" s="238" t="str">
        <f>+'GRUPO C'!E32</f>
        <v>EIFD TESOROS SPORTS</v>
      </c>
      <c r="E31" s="238">
        <f>+'GRUPO C'!G32</f>
        <v>2</v>
      </c>
      <c r="F31" s="238">
        <f>+'GRUPO C'!I32</f>
        <v>4</v>
      </c>
      <c r="G31" s="238" t="str">
        <f>+'GRUPO C'!K32</f>
        <v>CENTAUROS DEL ARIARI</v>
      </c>
      <c r="H31" s="238" t="str">
        <f>+'GRUPO C'!B4</f>
        <v>GRUPO C</v>
      </c>
      <c r="I31" s="238" t="str">
        <f t="shared" si="2"/>
        <v>NACIDOS 2014 2015</v>
      </c>
      <c r="J31" s="239"/>
    </row>
    <row r="32" spans="1:33" s="197" customFormat="1" ht="48" customHeight="1" thickBot="1" x14ac:dyDescent="0.5">
      <c r="A32" s="237">
        <v>45564</v>
      </c>
      <c r="B32" s="251" t="s">
        <v>171</v>
      </c>
      <c r="C32" s="247">
        <v>0.3888888888888889</v>
      </c>
      <c r="D32" s="238" t="str">
        <f>+'GRUPO D'!E32</f>
        <v>COLEGIO NEIL ARMSTRONG</v>
      </c>
      <c r="E32" s="238">
        <f>+'GRUPO D'!G32</f>
        <v>1</v>
      </c>
      <c r="F32" s="238">
        <f>+'GRUPO D'!I32</f>
        <v>4</v>
      </c>
      <c r="G32" s="238" t="str">
        <f>+'GRUPO D'!K32</f>
        <v>CORDOBA Y CERRANO F. C.</v>
      </c>
      <c r="H32" s="238" t="str">
        <f>+'GRUPO D'!B4</f>
        <v>GRUPO D</v>
      </c>
      <c r="I32" s="238" t="str">
        <f t="shared" si="2"/>
        <v>NACIDOS 2014 2015</v>
      </c>
      <c r="J32" s="239"/>
    </row>
    <row r="33" spans="1:32" s="197" customFormat="1" ht="48" customHeight="1" thickBot="1" x14ac:dyDescent="0.5">
      <c r="A33" s="237">
        <v>45564</v>
      </c>
      <c r="B33" s="252" t="s">
        <v>170</v>
      </c>
      <c r="C33" s="247">
        <v>0.3888888888888889</v>
      </c>
      <c r="D33" s="238" t="str">
        <f>+'GRUPO A'!E35</f>
        <v>AJAX AIMARA</v>
      </c>
      <c r="E33" s="238">
        <f>+'GRUPO A'!G35</f>
        <v>2</v>
      </c>
      <c r="F33" s="238">
        <f>+'GRUPO A'!I35</f>
        <v>7</v>
      </c>
      <c r="G33" s="238" t="str">
        <f>+'GRUPO A'!K35</f>
        <v>CLUB LOS PAPETICOS</v>
      </c>
      <c r="H33" s="238" t="str">
        <f>+'GRUPO A'!B4</f>
        <v>GRUPO A</v>
      </c>
      <c r="I33" s="238" t="str">
        <f t="shared" si="2"/>
        <v>NACIDOS 2014 2015</v>
      </c>
      <c r="J33" s="239"/>
      <c r="W33" s="217" t="s">
        <v>82</v>
      </c>
      <c r="X33" s="211" t="s">
        <v>48</v>
      </c>
      <c r="Y33" s="370" t="s">
        <v>83</v>
      </c>
      <c r="Z33" s="371"/>
      <c r="AA33" s="371"/>
      <c r="AB33" s="371"/>
      <c r="AC33" s="371"/>
      <c r="AD33" s="372"/>
      <c r="AE33" s="380" t="s">
        <v>118</v>
      </c>
      <c r="AF33" s="381"/>
    </row>
    <row r="34" spans="1:32" s="197" customFormat="1" ht="48" customHeight="1" thickBot="1" x14ac:dyDescent="0.5">
      <c r="A34" s="237">
        <v>45564</v>
      </c>
      <c r="B34" s="251" t="s">
        <v>171</v>
      </c>
      <c r="C34" s="247">
        <v>0.4375</v>
      </c>
      <c r="D34" s="238" t="str">
        <f>+'GRUPO D'!E35</f>
        <v>ACADEMIA IGUARAN F. C.</v>
      </c>
      <c r="E34" s="238">
        <f>+'GRUPO D'!G35</f>
        <v>3</v>
      </c>
      <c r="F34" s="238">
        <f>+'GRUPO D'!I35</f>
        <v>1</v>
      </c>
      <c r="G34" s="238" t="str">
        <f>+'GRUPO D'!K35</f>
        <v>GRAMA F. C.</v>
      </c>
      <c r="H34" s="238" t="str">
        <f>+'GRUPO D'!B4</f>
        <v>GRUPO D</v>
      </c>
      <c r="I34" s="238" t="str">
        <f t="shared" si="2"/>
        <v>NACIDOS 2014 2015</v>
      </c>
      <c r="J34" s="239"/>
      <c r="W34" s="216" t="s">
        <v>120</v>
      </c>
      <c r="X34" s="211" t="s">
        <v>48</v>
      </c>
      <c r="Y34" s="370" t="s">
        <v>95</v>
      </c>
      <c r="Z34" s="371"/>
      <c r="AA34" s="371"/>
      <c r="AB34" s="371"/>
      <c r="AC34" s="371"/>
      <c r="AD34" s="372"/>
      <c r="AE34" s="373" t="s">
        <v>118</v>
      </c>
      <c r="AF34" s="374"/>
    </row>
    <row r="35" spans="1:32" s="197" customFormat="1" ht="48" customHeight="1" thickBot="1" x14ac:dyDescent="0.5">
      <c r="A35" s="237">
        <v>45564</v>
      </c>
      <c r="B35" s="252" t="s">
        <v>170</v>
      </c>
      <c r="C35" s="247">
        <v>0.4375</v>
      </c>
      <c r="D35" s="238" t="str">
        <f>+'GRUPO A'!E32</f>
        <v>CLUB DEPORTIVO OS FUTSAL</v>
      </c>
      <c r="E35" s="238">
        <f>+'GRUPO A'!G32</f>
        <v>0</v>
      </c>
      <c r="F35" s="238">
        <f>+'GRUPO A'!I32</f>
        <v>8</v>
      </c>
      <c r="G35" s="238" t="str">
        <f>+'GRUPO A'!K32</f>
        <v>ESCUELA DE FORMACION DEPORTIVA MARACANA</v>
      </c>
      <c r="H35" s="238" t="str">
        <f>+'GRUPO A'!B4</f>
        <v>GRUPO A</v>
      </c>
      <c r="I35" s="238" t="str">
        <f t="shared" si="2"/>
        <v>NACIDOS 2014 2015</v>
      </c>
      <c r="J35" s="18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W35" s="216" t="s">
        <v>121</v>
      </c>
      <c r="X35" s="211" t="s">
        <v>48</v>
      </c>
      <c r="Y35" s="370" t="s">
        <v>123</v>
      </c>
      <c r="Z35" s="371"/>
      <c r="AA35" s="371"/>
      <c r="AB35" s="371"/>
      <c r="AC35" s="371"/>
      <c r="AD35" s="372"/>
      <c r="AE35" s="373" t="s">
        <v>117</v>
      </c>
      <c r="AF35" s="374"/>
    </row>
    <row r="36" spans="1:32" s="197" customFormat="1" ht="48" customHeight="1" thickBot="1" x14ac:dyDescent="0.5">
      <c r="J36" s="18"/>
      <c r="P36" s="239"/>
      <c r="Q36" s="239"/>
      <c r="R36" s="239"/>
      <c r="S36" s="239"/>
      <c r="T36" s="239"/>
      <c r="W36" s="216" t="s">
        <v>122</v>
      </c>
      <c r="X36" s="211" t="s">
        <v>48</v>
      </c>
      <c r="Y36" s="370" t="s">
        <v>124</v>
      </c>
      <c r="Z36" s="371"/>
      <c r="AA36" s="371"/>
      <c r="AB36" s="371"/>
      <c r="AC36" s="371"/>
      <c r="AD36" s="372"/>
      <c r="AE36" s="373" t="s">
        <v>117</v>
      </c>
      <c r="AF36" s="374"/>
    </row>
    <row r="37" spans="1:32" s="197" customFormat="1" ht="48" customHeight="1" thickBot="1" x14ac:dyDescent="0.5">
      <c r="A37" s="239"/>
      <c r="B37" s="377" t="s">
        <v>85</v>
      </c>
      <c r="C37" s="378"/>
      <c r="D37" s="378"/>
      <c r="E37" s="378"/>
      <c r="F37" s="378"/>
      <c r="G37" s="378"/>
      <c r="H37" s="378"/>
      <c r="I37" s="379"/>
      <c r="J37" s="18"/>
      <c r="P37" s="239"/>
      <c r="Q37" s="239"/>
      <c r="R37" s="239"/>
      <c r="S37" s="239"/>
      <c r="T37" s="239"/>
    </row>
    <row r="38" spans="1:32" ht="48" customHeight="1" x14ac:dyDescent="0.45">
      <c r="A38" s="239"/>
      <c r="B38" s="244" t="s">
        <v>69</v>
      </c>
      <c r="C38" s="244" t="s">
        <v>70</v>
      </c>
      <c r="D38" s="254" t="s">
        <v>71</v>
      </c>
      <c r="E38" s="400" t="s">
        <v>72</v>
      </c>
      <c r="F38" s="400"/>
      <c r="G38" s="254" t="s">
        <v>71</v>
      </c>
      <c r="H38" s="244" t="s">
        <v>73</v>
      </c>
      <c r="I38" s="244" t="str">
        <f>+I28</f>
        <v>CATEGORIA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</row>
    <row r="39" spans="1:32" ht="48" customHeight="1" x14ac:dyDescent="0.45">
      <c r="A39" s="237">
        <v>45564</v>
      </c>
      <c r="B39" s="250" t="s">
        <v>176</v>
      </c>
      <c r="C39" s="253">
        <v>0.56944444444444442</v>
      </c>
      <c r="D39" s="238" t="str">
        <f>+K19</f>
        <v xml:space="preserve">  3)  EIFD TESOROS SPORTS</v>
      </c>
      <c r="E39" s="238">
        <f>+'GRUPO A'!G39</f>
        <v>0</v>
      </c>
      <c r="F39" s="238">
        <f>+'GRUPO A'!I39</f>
        <v>0</v>
      </c>
      <c r="G39" s="255" t="str">
        <f>+K23</f>
        <v xml:space="preserve">  3)  CORDOBA Y CERRANO F. C.</v>
      </c>
      <c r="H39" s="238" t="s">
        <v>182</v>
      </c>
      <c r="I39" s="238" t="str">
        <f t="shared" ref="I39:I45" si="3">+$A$3</f>
        <v>NACIDOS 2014 2015</v>
      </c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</row>
    <row r="40" spans="1:32" ht="48" customHeight="1" x14ac:dyDescent="0.45">
      <c r="A40" s="237">
        <v>45564</v>
      </c>
      <c r="B40" s="250" t="s">
        <v>177</v>
      </c>
      <c r="C40" s="253">
        <v>0.56944444444444442</v>
      </c>
      <c r="D40" s="238" t="str">
        <f>+K24</f>
        <v xml:space="preserve">  4)  COLEGIO NEIL ARMSTRONG</v>
      </c>
      <c r="E40" s="238">
        <f>+'GRUPO A'!G40</f>
        <v>0</v>
      </c>
      <c r="F40" s="238">
        <f>+'GRUPO A'!I40</f>
        <v>0</v>
      </c>
      <c r="G40" s="255" t="str">
        <f>+K22</f>
        <v xml:space="preserve">  2)  GRAMA F. C.</v>
      </c>
      <c r="H40" s="238" t="s">
        <v>181</v>
      </c>
      <c r="I40" s="238" t="str">
        <f t="shared" si="3"/>
        <v>NACIDOS 2014 2015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</row>
    <row r="41" spans="1:32" ht="48" customHeight="1" x14ac:dyDescent="0.45">
      <c r="A41" s="237">
        <v>45564</v>
      </c>
      <c r="B41" s="250" t="s">
        <v>177</v>
      </c>
      <c r="C41" s="253">
        <v>0.61805555555555558</v>
      </c>
      <c r="D41" s="258" t="str">
        <f>+K11</f>
        <v xml:space="preserve">  4)  CLUB DEPORTIVO OS FUTSAL</v>
      </c>
      <c r="E41" s="238">
        <f>+'GRUPO A'!G43</f>
        <v>0</v>
      </c>
      <c r="F41" s="238">
        <f>+'GRUPO A'!I43</f>
        <v>0</v>
      </c>
      <c r="G41" s="258" t="str">
        <f>+K18</f>
        <v xml:space="preserve">  2)  CENTAUROS DEL ARIARI</v>
      </c>
      <c r="H41" s="238" t="s">
        <v>183</v>
      </c>
      <c r="I41" s="238" t="str">
        <f t="shared" si="3"/>
        <v>NACIDOS 2014 2015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</row>
    <row r="42" spans="1:32" ht="48" customHeight="1" x14ac:dyDescent="0.45">
      <c r="A42" s="237">
        <v>45564</v>
      </c>
      <c r="B42" s="251" t="s">
        <v>171</v>
      </c>
      <c r="C42" s="253">
        <v>0.60416666666666663</v>
      </c>
      <c r="D42" s="255" t="str">
        <f>+K10</f>
        <v xml:space="preserve">  3)  AJAX AIMARA</v>
      </c>
      <c r="E42" s="238">
        <f>+'GRUPO A'!G44</f>
        <v>0</v>
      </c>
      <c r="F42" s="238">
        <f>+'GRUPO A'!I44</f>
        <v>0</v>
      </c>
      <c r="G42" s="238" t="str">
        <f>+K15</f>
        <v xml:space="preserve">  3)  ESCUELA DEPORTIVA FÚTBOL RAQUIRA</v>
      </c>
      <c r="H42" s="238" t="s">
        <v>182</v>
      </c>
      <c r="I42" s="238" t="str">
        <f t="shared" si="3"/>
        <v>NACIDOS 2014 2015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</row>
    <row r="43" spans="1:32" ht="48" customHeight="1" x14ac:dyDescent="0.45">
      <c r="A43" s="237">
        <v>45564</v>
      </c>
      <c r="B43" s="576" t="s">
        <v>170</v>
      </c>
      <c r="C43" s="577">
        <v>0.60416666666666663</v>
      </c>
      <c r="D43" s="578" t="str">
        <f>+K9</f>
        <v xml:space="preserve">  2)  ESCUELA DE FORMACION DEPORTIVA MARACANA</v>
      </c>
      <c r="E43" s="238">
        <f>+'GRUPO A'!G42</f>
        <v>0</v>
      </c>
      <c r="F43" s="238">
        <f>+'GRUPO A'!I42</f>
        <v>0</v>
      </c>
      <c r="G43" s="238" t="str">
        <f>+K14</f>
        <v xml:space="preserve">  2)  CLUB CAMPESTRE IBAGUE</v>
      </c>
      <c r="H43" s="238" t="s">
        <v>181</v>
      </c>
      <c r="I43" s="238" t="str">
        <f t="shared" si="3"/>
        <v>NACIDOS 2014 2015</v>
      </c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</row>
    <row r="44" spans="1:32" ht="48" customHeight="1" x14ac:dyDescent="0.45">
      <c r="A44" s="237">
        <v>45564</v>
      </c>
      <c r="B44" s="251" t="s">
        <v>171</v>
      </c>
      <c r="C44" s="253">
        <v>0.65277777777777779</v>
      </c>
      <c r="D44" s="238" t="str">
        <f>+K17</f>
        <v xml:space="preserve">  1)  BLUEMARTIN F.C .</v>
      </c>
      <c r="E44" s="238">
        <f>+'GRUPO A'!G41</f>
        <v>0</v>
      </c>
      <c r="F44" s="238">
        <f>+'GRUPO A'!I41</f>
        <v>0</v>
      </c>
      <c r="G44" s="255" t="str">
        <f>+K21</f>
        <v xml:space="preserve">  1)  ACADEMIA IGUARAN F. C.</v>
      </c>
      <c r="H44" s="238" t="s">
        <v>180</v>
      </c>
      <c r="I44" s="238" t="str">
        <f t="shared" si="3"/>
        <v>NACIDOS 2014 2015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</row>
    <row r="45" spans="1:32" ht="48" customHeight="1" x14ac:dyDescent="0.45">
      <c r="A45" s="237">
        <v>45564</v>
      </c>
      <c r="B45" s="576" t="s">
        <v>170</v>
      </c>
      <c r="C45" s="577">
        <v>0.65277777777777779</v>
      </c>
      <c r="D45" s="578" t="str">
        <f>+K8</f>
        <v xml:space="preserve">  1)  CLUB LOS PAPETICOS</v>
      </c>
      <c r="E45" s="238">
        <f>+'GRUPO A'!G45</f>
        <v>0</v>
      </c>
      <c r="F45" s="238">
        <f>+'GRUPO A'!I45</f>
        <v>0</v>
      </c>
      <c r="G45" s="238" t="str">
        <f>+K13</f>
        <v xml:space="preserve">  1)  TEMPLO DEL FÚTBOL</v>
      </c>
      <c r="H45" s="238" t="s">
        <v>180</v>
      </c>
      <c r="I45" s="238" t="str">
        <f t="shared" si="3"/>
        <v>NACIDOS 2014 2015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</row>
    <row r="46" spans="1:32" ht="13.2" customHeight="1" x14ac:dyDescent="0.3"/>
  </sheetData>
  <mergeCells count="50">
    <mergeCell ref="B37:I37"/>
    <mergeCell ref="E38:F38"/>
    <mergeCell ref="Z23:AD23"/>
    <mergeCell ref="AF23:AG23"/>
    <mergeCell ref="Z24:AD24"/>
    <mergeCell ref="AF24:AG24"/>
    <mergeCell ref="Z25:AD25"/>
    <mergeCell ref="AF25:AG25"/>
    <mergeCell ref="AF27:AG27"/>
    <mergeCell ref="Z28:AD28"/>
    <mergeCell ref="AF28:AG28"/>
    <mergeCell ref="Z26:AD26"/>
    <mergeCell ref="AF26:AG26"/>
    <mergeCell ref="Y36:AD36"/>
    <mergeCell ref="AE36:AF36"/>
    <mergeCell ref="K26:T27"/>
    <mergeCell ref="Z20:AD20"/>
    <mergeCell ref="AF20:AG20"/>
    <mergeCell ref="Z21:AD21"/>
    <mergeCell ref="AF21:AG21"/>
    <mergeCell ref="Z22:AD22"/>
    <mergeCell ref="AF22:AG22"/>
    <mergeCell ref="X16:AG17"/>
    <mergeCell ref="Z18:AD18"/>
    <mergeCell ref="AF18:AG18"/>
    <mergeCell ref="Z19:AD19"/>
    <mergeCell ref="AF19:AG19"/>
    <mergeCell ref="B27:I27"/>
    <mergeCell ref="E28:F28"/>
    <mergeCell ref="Y33:AD33"/>
    <mergeCell ref="AE33:AF33"/>
    <mergeCell ref="Z29:AD29"/>
    <mergeCell ref="AF29:AG29"/>
    <mergeCell ref="Z30:AD30"/>
    <mergeCell ref="AF30:AG30"/>
    <mergeCell ref="Y34:AD34"/>
    <mergeCell ref="AE34:AF34"/>
    <mergeCell ref="Y35:AD35"/>
    <mergeCell ref="AE35:AF35"/>
    <mergeCell ref="Z27:AD27"/>
    <mergeCell ref="A1:I1"/>
    <mergeCell ref="A2:I2"/>
    <mergeCell ref="A3:I3"/>
    <mergeCell ref="A4:I4"/>
    <mergeCell ref="A5:I5"/>
    <mergeCell ref="B7:I7"/>
    <mergeCell ref="E8:F8"/>
    <mergeCell ref="B17:I17"/>
    <mergeCell ref="E18:F18"/>
    <mergeCell ref="A6:I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4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BDB99-76C5-4FDF-9FE0-EFD9FDA523C8}">
  <sheetPr>
    <pageSetUpPr fitToPage="1"/>
  </sheetPr>
  <dimension ref="A1:AG46"/>
  <sheetViews>
    <sheetView topLeftCell="A35" zoomScale="80" zoomScaleNormal="80" workbookViewId="0">
      <selection activeCell="D42" sqref="D42"/>
    </sheetView>
  </sheetViews>
  <sheetFormatPr baseColWidth="10" defaultColWidth="11.44140625" defaultRowHeight="14.4" x14ac:dyDescent="0.3"/>
  <cols>
    <col min="1" max="1" width="13.5546875" style="3" customWidth="1"/>
    <col min="2" max="2" width="36.5546875" style="3" customWidth="1"/>
    <col min="3" max="3" width="21.109375" style="3" bestFit="1" customWidth="1"/>
    <col min="4" max="4" width="36.6640625" style="3" customWidth="1"/>
    <col min="5" max="6" width="6.109375" style="3" customWidth="1"/>
    <col min="7" max="7" width="36.6640625" style="3" customWidth="1"/>
    <col min="8" max="8" width="34.44140625" style="3" customWidth="1"/>
    <col min="9" max="9" width="18.109375" style="3" customWidth="1"/>
    <col min="10" max="10" width="0.6640625" style="3" customWidth="1"/>
    <col min="11" max="11" width="41.77734375" style="3" customWidth="1"/>
    <col min="12" max="20" width="6.6640625" style="3" customWidth="1"/>
    <col min="21" max="21" width="1.44140625" style="3" customWidth="1"/>
    <col min="22" max="16384" width="11.44140625" style="3"/>
  </cols>
  <sheetData>
    <row r="1" spans="1:33" ht="30" x14ac:dyDescent="0.5">
      <c r="A1" s="365" t="str">
        <f>+'GRUPOS INFANTIL'!B1</f>
        <v>XVIII Festival Nacional de Fútbol Infantil</v>
      </c>
      <c r="B1" s="365"/>
      <c r="C1" s="365"/>
      <c r="D1" s="365"/>
      <c r="E1" s="365"/>
      <c r="F1" s="365"/>
      <c r="G1" s="365"/>
      <c r="H1" s="365"/>
      <c r="I1" s="365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</row>
    <row r="2" spans="1:33" ht="31.2" x14ac:dyDescent="0.6">
      <c r="A2" s="366" t="str">
        <f>+'GRUPOS INFANTIL'!B2</f>
        <v>“COPA SOCCER MELGAR”</v>
      </c>
      <c r="B2" s="366"/>
      <c r="C2" s="366"/>
      <c r="D2" s="366"/>
      <c r="E2" s="366"/>
      <c r="F2" s="366"/>
      <c r="G2" s="366"/>
      <c r="H2" s="366"/>
      <c r="I2" s="366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</row>
    <row r="3" spans="1:33" ht="36.6" x14ac:dyDescent="0.7">
      <c r="A3" s="367" t="str">
        <f>+'GRUPOS INFANTIL'!B3</f>
        <v>NACIDOS 2014 2015</v>
      </c>
      <c r="B3" s="367"/>
      <c r="C3" s="367"/>
      <c r="D3" s="367"/>
      <c r="E3" s="367"/>
      <c r="F3" s="367"/>
      <c r="G3" s="367"/>
      <c r="H3" s="367"/>
      <c r="I3" s="367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</row>
    <row r="4" spans="1:33" ht="21" x14ac:dyDescent="0.4">
      <c r="A4" s="368" t="str">
        <f>+'GRUPOS INFANTIL'!B4</f>
        <v>SEPTIEMBRE 28 Y 29 DEL 2024</v>
      </c>
      <c r="B4" s="368"/>
      <c r="C4" s="368"/>
      <c r="D4" s="368"/>
      <c r="E4" s="368"/>
      <c r="F4" s="368"/>
      <c r="G4" s="368"/>
      <c r="H4" s="368"/>
      <c r="I4" s="368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</row>
    <row r="5" spans="1:33" ht="28.8" x14ac:dyDescent="0.55000000000000004">
      <c r="A5" s="369"/>
      <c r="B5" s="369"/>
      <c r="C5" s="369"/>
      <c r="D5" s="369"/>
      <c r="E5" s="369"/>
      <c r="F5" s="369"/>
      <c r="G5" s="369"/>
      <c r="H5" s="369"/>
      <c r="I5" s="369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</row>
    <row r="6" spans="1:33" ht="21.6" thickBot="1" x14ac:dyDescent="0.45">
      <c r="A6" s="364" t="s">
        <v>74</v>
      </c>
      <c r="B6" s="364"/>
      <c r="C6" s="364"/>
      <c r="D6" s="364"/>
      <c r="E6" s="364"/>
      <c r="F6" s="364"/>
      <c r="G6" s="364"/>
      <c r="H6" s="364"/>
      <c r="I6" s="364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</row>
    <row r="7" spans="1:33" ht="38.4" customHeight="1" thickBot="1" x14ac:dyDescent="0.5">
      <c r="A7" s="232"/>
      <c r="B7" s="357" t="s">
        <v>158</v>
      </c>
      <c r="C7" s="358"/>
      <c r="D7" s="358"/>
      <c r="E7" s="358"/>
      <c r="F7" s="358"/>
      <c r="G7" s="358"/>
      <c r="H7" s="358"/>
      <c r="I7" s="359"/>
      <c r="J7" s="18"/>
      <c r="K7" s="233" t="str">
        <f>+'GRUPO A'!B4</f>
        <v>GRUPO A</v>
      </c>
      <c r="L7" s="233" t="str">
        <f>+'GRUPO A'!Q8</f>
        <v>Pts.</v>
      </c>
      <c r="M7" s="233" t="str">
        <f>+'GRUPO A'!R8</f>
        <v>PJ</v>
      </c>
      <c r="N7" s="233" t="str">
        <f>+'GRUPO A'!S8</f>
        <v>Gan.</v>
      </c>
      <c r="O7" s="233" t="str">
        <f>+'GRUPO A'!T8</f>
        <v>Emp.</v>
      </c>
      <c r="P7" s="233" t="str">
        <f>+'GRUPO A'!U8</f>
        <v>Per.</v>
      </c>
      <c r="Q7" s="233" t="str">
        <f>+'GRUPO A'!V8</f>
        <v>GF</v>
      </c>
      <c r="R7" s="233" t="str">
        <f>+'GRUPO A'!W8</f>
        <v>GC</v>
      </c>
      <c r="S7" s="233" t="str">
        <f>+'GRUPO A'!X8</f>
        <v>Dif.</v>
      </c>
      <c r="T7" s="233" t="str">
        <f>+'GRUPO A'!Y8</f>
        <v>Tj</v>
      </c>
    </row>
    <row r="8" spans="1:33" ht="48" customHeight="1" x14ac:dyDescent="0.45">
      <c r="A8" s="18"/>
      <c r="B8" s="234" t="s">
        <v>69</v>
      </c>
      <c r="C8" s="234" t="s">
        <v>70</v>
      </c>
      <c r="D8" s="234" t="s">
        <v>71</v>
      </c>
      <c r="E8" s="360" t="s">
        <v>72</v>
      </c>
      <c r="F8" s="360"/>
      <c r="G8" s="234" t="s">
        <v>71</v>
      </c>
      <c r="H8" s="234" t="s">
        <v>73</v>
      </c>
      <c r="I8" s="234" t="s">
        <v>110</v>
      </c>
      <c r="J8" s="18"/>
      <c r="K8" s="235" t="str">
        <f>+'GRUPO A'!P10</f>
        <v xml:space="preserve">  1)  CLUB LOS PAPETICOS</v>
      </c>
      <c r="L8" s="236">
        <f>+'GRUPO A'!Q10</f>
        <v>7</v>
      </c>
      <c r="M8" s="236">
        <f>+'GRUPO A'!R10</f>
        <v>3</v>
      </c>
      <c r="N8" s="236">
        <f>+'GRUPO A'!S10</f>
        <v>2</v>
      </c>
      <c r="O8" s="236">
        <f>+'GRUPO A'!T10</f>
        <v>1</v>
      </c>
      <c r="P8" s="236">
        <f>+'GRUPO A'!U10</f>
        <v>0</v>
      </c>
      <c r="Q8" s="236">
        <f>+'GRUPO A'!V10</f>
        <v>20</v>
      </c>
      <c r="R8" s="236">
        <f>+'GRUPO A'!W10</f>
        <v>7</v>
      </c>
      <c r="S8" s="236">
        <f>+'GRUPO A'!X10</f>
        <v>13</v>
      </c>
      <c r="T8" s="236">
        <f>+'GRUPO A'!Y10</f>
        <v>0</v>
      </c>
    </row>
    <row r="9" spans="1:33" s="197" customFormat="1" ht="48" customHeight="1" x14ac:dyDescent="0.45">
      <c r="A9" s="237">
        <v>45563</v>
      </c>
      <c r="B9" s="250" t="s">
        <v>176</v>
      </c>
      <c r="C9" s="247">
        <v>0.40972222222222221</v>
      </c>
      <c r="D9" s="238" t="str">
        <f>+'GRUPO C'!E20</f>
        <v>BLUEMARTIN F.C .</v>
      </c>
      <c r="E9" s="238">
        <f>+'GRUPO C'!G20</f>
        <v>2</v>
      </c>
      <c r="F9" s="238">
        <f>+'GRUPO C'!I20</f>
        <v>0</v>
      </c>
      <c r="G9" s="238" t="str">
        <f>+'GRUPO C'!K20</f>
        <v>EIFD TESOROS SPORTS</v>
      </c>
      <c r="H9" s="238" t="str">
        <f>+'GRUPO C'!B4</f>
        <v>GRUPO C</v>
      </c>
      <c r="I9" s="238" t="str">
        <f>+$A$3</f>
        <v>NACIDOS 2014 2015</v>
      </c>
      <c r="J9" s="239"/>
      <c r="K9" s="235" t="str">
        <f>+'GRUPO A'!P12</f>
        <v xml:space="preserve">  2)  ESCUELA DE FORMACION DEPORTIVA MARACANA</v>
      </c>
      <c r="L9" s="238">
        <f>+'GRUPO A'!Q12</f>
        <v>7</v>
      </c>
      <c r="M9" s="238">
        <f>+'GRUPO A'!R14</f>
        <v>3</v>
      </c>
      <c r="N9" s="238">
        <f>+'GRUPO A'!S12</f>
        <v>2</v>
      </c>
      <c r="O9" s="238">
        <f>+'GRUPO A'!T12</f>
        <v>1</v>
      </c>
      <c r="P9" s="238">
        <f>+'GRUPO A'!U12</f>
        <v>0</v>
      </c>
      <c r="Q9" s="238">
        <f>+'GRUPO A'!V12</f>
        <v>13</v>
      </c>
      <c r="R9" s="238">
        <f>+'GRUPO A'!W12</f>
        <v>4</v>
      </c>
      <c r="S9" s="238">
        <f>+'GRUPO A'!X12</f>
        <v>9</v>
      </c>
      <c r="T9" s="238">
        <f>+'GRUPO A'!Y12</f>
        <v>0</v>
      </c>
    </row>
    <row r="10" spans="1:33" s="197" customFormat="1" ht="48" customHeight="1" x14ac:dyDescent="0.45">
      <c r="A10" s="237">
        <v>45563</v>
      </c>
      <c r="B10" s="250" t="s">
        <v>177</v>
      </c>
      <c r="C10" s="247">
        <v>0.40972222222222221</v>
      </c>
      <c r="D10" s="238" t="str">
        <f>+'GRUPO B'!E23</f>
        <v>CLUB CAMPESTRE IBAGUE</v>
      </c>
      <c r="E10" s="238">
        <f>+'GRUPO B'!G23</f>
        <v>3</v>
      </c>
      <c r="F10" s="238">
        <f>+'GRUPO B'!I23</f>
        <v>1</v>
      </c>
      <c r="G10" s="238" t="str">
        <f>+'GRUPO B'!K23</f>
        <v>CENTAUROS DEL ARIARI</v>
      </c>
      <c r="H10" s="238" t="s">
        <v>131</v>
      </c>
      <c r="I10" s="238" t="str">
        <f t="shared" ref="I10:I15" si="0">+$A$3</f>
        <v>NACIDOS 2014 2015</v>
      </c>
      <c r="J10" s="239"/>
      <c r="K10" s="235" t="str">
        <f>+'GRUPO A'!P14</f>
        <v xml:space="preserve">  3)  AJAX AIMARA</v>
      </c>
      <c r="L10" s="238">
        <f>+'GRUPO A'!Q14</f>
        <v>3</v>
      </c>
      <c r="M10" s="238">
        <f>+'GRUPO A'!R14</f>
        <v>3</v>
      </c>
      <c r="N10" s="238">
        <f>+'GRUPO A'!S14</f>
        <v>1</v>
      </c>
      <c r="O10" s="238">
        <f>+'GRUPO A'!T14</f>
        <v>0</v>
      </c>
      <c r="P10" s="238">
        <f>+'GRUPO A'!U14</f>
        <v>2</v>
      </c>
      <c r="Q10" s="238">
        <f>+'GRUPO A'!V14</f>
        <v>13</v>
      </c>
      <c r="R10" s="238">
        <f>+'GRUPO A'!W14</f>
        <v>9</v>
      </c>
      <c r="S10" s="238">
        <f>+'GRUPO A'!X14</f>
        <v>4</v>
      </c>
      <c r="T10" s="238">
        <f>+'GRUPO A'!Y14</f>
        <v>0</v>
      </c>
    </row>
    <row r="11" spans="1:33" s="197" customFormat="1" ht="48" customHeight="1" x14ac:dyDescent="0.45">
      <c r="A11" s="237">
        <v>45563</v>
      </c>
      <c r="B11" s="250" t="s">
        <v>177</v>
      </c>
      <c r="C11" s="247">
        <v>0.45833333333333331</v>
      </c>
      <c r="D11" s="238" t="str">
        <f>+'GRUPO B'!E20</f>
        <v>ESCUELA DEPORTIVA FÚTBOL RAQUIRA</v>
      </c>
      <c r="E11" s="238">
        <f>+'GRUPO B'!G20</f>
        <v>0</v>
      </c>
      <c r="F11" s="238">
        <f>+'GRUPO B'!I20</f>
        <v>3</v>
      </c>
      <c r="G11" s="238" t="str">
        <f>+'GRUPO B'!K20</f>
        <v>TEMPLO DEL FÚTBOL</v>
      </c>
      <c r="H11" s="238" t="str">
        <f>+'GRUPO B'!B4</f>
        <v>GRUPO B</v>
      </c>
      <c r="I11" s="238" t="str">
        <f t="shared" si="0"/>
        <v>NACIDOS 2014 2015</v>
      </c>
      <c r="J11" s="239"/>
      <c r="K11" s="235" t="str">
        <f>+'GRUPO A'!P16</f>
        <v xml:space="preserve">  4)  CLUB DEPORTIVO OS FUTSAL</v>
      </c>
      <c r="L11" s="238">
        <f>+'GRUPO A'!Q16</f>
        <v>0</v>
      </c>
      <c r="M11" s="238">
        <f>+'GRUPO A'!R16</f>
        <v>3</v>
      </c>
      <c r="N11" s="238">
        <f>+'GRUPO A'!S16</f>
        <v>0</v>
      </c>
      <c r="O11" s="238">
        <f>+'GRUPO A'!T16</f>
        <v>0</v>
      </c>
      <c r="P11" s="238">
        <f>+'GRUPO A'!U16</f>
        <v>3</v>
      </c>
      <c r="Q11" s="238">
        <f>+'GRUPO A'!V16</f>
        <v>2</v>
      </c>
      <c r="R11" s="238">
        <f>+'GRUPO A'!W16</f>
        <v>28</v>
      </c>
      <c r="S11" s="238">
        <f>+'GRUPO A'!X16</f>
        <v>-26</v>
      </c>
      <c r="T11" s="238">
        <f>+'GRUPO A'!Y16</f>
        <v>0</v>
      </c>
    </row>
    <row r="12" spans="1:33" s="197" customFormat="1" ht="48" customHeight="1" x14ac:dyDescent="0.45">
      <c r="A12" s="237">
        <v>45563</v>
      </c>
      <c r="B12" s="251" t="s">
        <v>171</v>
      </c>
      <c r="C12" s="247">
        <v>0.5</v>
      </c>
      <c r="D12" s="238" t="str">
        <f>+'GRUPO A'!E26</f>
        <v>AJAX AIMARA</v>
      </c>
      <c r="E12" s="238">
        <f>+'GRUPO A'!G26</f>
        <v>1</v>
      </c>
      <c r="F12" s="238">
        <f>+'GRUPO A'!I26</f>
        <v>2</v>
      </c>
      <c r="G12" s="238" t="str">
        <f>+'GRUPO A'!K26</f>
        <v>ESCUELA DE FORMACION DEPORTIVA MARACANA</v>
      </c>
      <c r="H12" s="237" t="str">
        <f>+'GRUPO A'!B4</f>
        <v>GRUPO A</v>
      </c>
      <c r="I12" s="238" t="str">
        <f t="shared" si="0"/>
        <v>NACIDOS 2014 2015</v>
      </c>
      <c r="J12" s="239"/>
      <c r="K12" s="240" t="str">
        <f>+'GRUPO B'!B4</f>
        <v>GRUPO B</v>
      </c>
      <c r="L12" s="240" t="str">
        <f>+'GRUPO B'!Q8</f>
        <v>Pts.</v>
      </c>
      <c r="M12" s="240" t="str">
        <f>+'GRUPO B'!R8</f>
        <v>PJ</v>
      </c>
      <c r="N12" s="240" t="str">
        <f>+'GRUPO B'!S8</f>
        <v>Gan.</v>
      </c>
      <c r="O12" s="241" t="str">
        <f>+'GRUPO B'!T8</f>
        <v>Emp.</v>
      </c>
      <c r="P12" s="240" t="str">
        <f>+'GRUPO B'!U8</f>
        <v>Per.</v>
      </c>
      <c r="Q12" s="240" t="str">
        <f>+'GRUPO B'!V8</f>
        <v>GF</v>
      </c>
      <c r="R12" s="240" t="str">
        <f>+'GRUPO B'!W8</f>
        <v>GC</v>
      </c>
      <c r="S12" s="240" t="str">
        <f>+'GRUPO B'!X8</f>
        <v>Dif.</v>
      </c>
      <c r="T12" s="240" t="str">
        <f>+'GRUPO B'!Y8</f>
        <v>Tj</v>
      </c>
    </row>
    <row r="13" spans="1:33" s="197" customFormat="1" ht="48" customHeight="1" x14ac:dyDescent="0.45">
      <c r="A13" s="237">
        <v>45563</v>
      </c>
      <c r="B13" s="252" t="s">
        <v>170</v>
      </c>
      <c r="C13" s="247">
        <v>0.5</v>
      </c>
      <c r="D13" s="238" t="str">
        <f>+'GRUPO D'!E26</f>
        <v>ACADEMIA IGUARAN F. C.</v>
      </c>
      <c r="E13" s="238">
        <f>+'GRUPO D'!G26</f>
        <v>8</v>
      </c>
      <c r="F13" s="238">
        <f>+'GRUPO D'!I26</f>
        <v>0</v>
      </c>
      <c r="G13" s="238" t="str">
        <f>+'GRUPO D'!K26</f>
        <v>CORDOBA Y CERRANO F. C.</v>
      </c>
      <c r="H13" s="237" t="str">
        <f>+'GRUPO D'!B4</f>
        <v>GRUPO D</v>
      </c>
      <c r="I13" s="238" t="str">
        <f t="shared" si="0"/>
        <v>NACIDOS 2014 2015</v>
      </c>
      <c r="J13" s="239"/>
      <c r="K13" s="235" t="str">
        <f>+'GRUPO B'!P10</f>
        <v xml:space="preserve">  1)  TEMPLO DEL FÚTBOL</v>
      </c>
      <c r="L13" s="238">
        <f>+'GRUPO B'!Q10</f>
        <v>7</v>
      </c>
      <c r="M13" s="238">
        <f>+'GRUPO B'!R10</f>
        <v>3</v>
      </c>
      <c r="N13" s="238">
        <f>+'GRUPO B'!S10</f>
        <v>2</v>
      </c>
      <c r="O13" s="238">
        <f>+'GRUPO B'!T10</f>
        <v>1</v>
      </c>
      <c r="P13" s="238">
        <f>+'GRUPO B'!U10</f>
        <v>0</v>
      </c>
      <c r="Q13" s="238">
        <f>+'GRUPO B'!V10</f>
        <v>9</v>
      </c>
      <c r="R13" s="238">
        <f>+'GRUPO B'!W10</f>
        <v>1</v>
      </c>
      <c r="S13" s="238">
        <f>+'GRUPO B'!X10</f>
        <v>8</v>
      </c>
      <c r="T13" s="238">
        <f>+'GRUPO B'!Y10</f>
        <v>0</v>
      </c>
    </row>
    <row r="14" spans="1:33" s="197" customFormat="1" ht="48" customHeight="1" x14ac:dyDescent="0.45">
      <c r="A14" s="237">
        <v>45563</v>
      </c>
      <c r="B14" s="251" t="s">
        <v>171</v>
      </c>
      <c r="C14" s="247">
        <v>0.54861111111111116</v>
      </c>
      <c r="D14" s="238" t="str">
        <f>+'GRUPO A'!E29</f>
        <v>CLUB DEPORTIVO OS FUTSAL</v>
      </c>
      <c r="E14" s="238">
        <f>+'GRUPO A'!G29</f>
        <v>2</v>
      </c>
      <c r="F14" s="238">
        <f>+'GRUPO A'!I29</f>
        <v>10</v>
      </c>
      <c r="G14" s="238" t="str">
        <f>+'GRUPO A'!K29</f>
        <v>CLUB LOS PAPETICOS</v>
      </c>
      <c r="H14" s="237" t="str">
        <f>+'GRUPO A'!B4</f>
        <v>GRUPO A</v>
      </c>
      <c r="I14" s="238" t="str">
        <f t="shared" si="0"/>
        <v>NACIDOS 2014 2015</v>
      </c>
      <c r="J14" s="239"/>
      <c r="K14" s="235" t="str">
        <f>+'GRUPO B'!P12</f>
        <v xml:space="preserve">  2)  CLUB CAMPESTRE IBAGUE</v>
      </c>
      <c r="L14" s="238">
        <f>+'GRUPO B'!Q12</f>
        <v>7</v>
      </c>
      <c r="M14" s="238">
        <f>+'GRUPO B'!R12</f>
        <v>3</v>
      </c>
      <c r="N14" s="238">
        <f>+'GRUPO B'!S12</f>
        <v>2</v>
      </c>
      <c r="O14" s="238">
        <f>+'GRUPO B'!T12</f>
        <v>1</v>
      </c>
      <c r="P14" s="238">
        <f>+'GRUPO B'!U12</f>
        <v>0</v>
      </c>
      <c r="Q14" s="238">
        <f>+'GRUPO B'!V12</f>
        <v>9</v>
      </c>
      <c r="R14" s="238">
        <f>+'GRUPO B'!W12</f>
        <v>3</v>
      </c>
      <c r="S14" s="238">
        <f>+'GRUPO B'!X12</f>
        <v>6</v>
      </c>
      <c r="T14" s="238">
        <f>+'GRUPO B'!Y12</f>
        <v>0</v>
      </c>
    </row>
    <row r="15" spans="1:33" s="197" customFormat="1" ht="48" customHeight="1" thickBot="1" x14ac:dyDescent="0.5">
      <c r="A15" s="237">
        <v>45563</v>
      </c>
      <c r="B15" s="252" t="s">
        <v>170</v>
      </c>
      <c r="C15" s="247">
        <v>0.54861111111111116</v>
      </c>
      <c r="D15" s="238" t="str">
        <f>+'GRUPO D'!E29</f>
        <v>COLEGIO NEIL ARMSTRONG</v>
      </c>
      <c r="E15" s="238">
        <f>+'GRUPO D'!G29</f>
        <v>2</v>
      </c>
      <c r="F15" s="238">
        <f>+'GRUPO D'!I29</f>
        <v>8</v>
      </c>
      <c r="G15" s="238" t="str">
        <f>+'GRUPO D'!K29</f>
        <v>GRAMA F. C.</v>
      </c>
      <c r="H15" s="237" t="str">
        <f>+'GRUPO D'!B4</f>
        <v>GRUPO D</v>
      </c>
      <c r="I15" s="238" t="str">
        <f t="shared" si="0"/>
        <v>NACIDOS 2014 2015</v>
      </c>
      <c r="J15" s="239"/>
      <c r="K15" s="235" t="str">
        <f>+'GRUPO B'!P14</f>
        <v xml:space="preserve">  3)  ESCUELA DEPORTIVA FÚTBOL RAQUIRA</v>
      </c>
      <c r="L15" s="238">
        <f>+'GRUPO B'!Q14</f>
        <v>0</v>
      </c>
      <c r="M15" s="238">
        <f>+'GRUPO B'!R14</f>
        <v>3</v>
      </c>
      <c r="N15" s="238">
        <f>+'GRUPO B'!S14</f>
        <v>0</v>
      </c>
      <c r="O15" s="238">
        <f>+'GRUPO B'!T14</f>
        <v>0</v>
      </c>
      <c r="P15" s="238">
        <f>+'GRUPO B'!U14</f>
        <v>3</v>
      </c>
      <c r="Q15" s="238">
        <f>+'GRUPO B'!V14</f>
        <v>2</v>
      </c>
      <c r="R15" s="238">
        <f>+'GRUPO B'!W14</f>
        <v>10</v>
      </c>
      <c r="S15" s="238">
        <f>+'GRUPO B'!X14</f>
        <v>-8</v>
      </c>
      <c r="T15" s="238">
        <f>+'GRUPO B'!Y14</f>
        <v>0</v>
      </c>
    </row>
    <row r="16" spans="1:33" s="197" customFormat="1" ht="48" customHeight="1" thickBot="1" x14ac:dyDescent="0.5">
      <c r="I16" s="239"/>
      <c r="J16" s="239"/>
      <c r="K16" s="242" t="str">
        <f>+'GRUPO C'!B4</f>
        <v>GRUPO C</v>
      </c>
      <c r="L16" s="242" t="str">
        <f>+'GRUPO C'!Q8</f>
        <v>Pts.</v>
      </c>
      <c r="M16" s="242" t="str">
        <f>+'GRUPO C'!R8</f>
        <v>PJ</v>
      </c>
      <c r="N16" s="242" t="str">
        <f>+'GRUPO C'!S8</f>
        <v>Gan.</v>
      </c>
      <c r="O16" s="243" t="str">
        <f>+'GRUPO C'!T8</f>
        <v>Emp.</v>
      </c>
      <c r="P16" s="242" t="str">
        <f>+'GRUPO C'!U8</f>
        <v>Per.</v>
      </c>
      <c r="Q16" s="242" t="str">
        <f>+'GRUPO C'!V8</f>
        <v>GF</v>
      </c>
      <c r="R16" s="242" t="str">
        <f>+'GRUPO C'!W8</f>
        <v>GC</v>
      </c>
      <c r="S16" s="242" t="str">
        <f>+'GRUPO C'!X8</f>
        <v>Dif.</v>
      </c>
      <c r="T16" s="242" t="str">
        <f>+'GRUPO C'!Y8</f>
        <v>Tj</v>
      </c>
      <c r="X16" s="389" t="s">
        <v>119</v>
      </c>
      <c r="Y16" s="390"/>
      <c r="Z16" s="390"/>
      <c r="AA16" s="390"/>
      <c r="AB16" s="390"/>
      <c r="AC16" s="390"/>
      <c r="AD16" s="390"/>
      <c r="AE16" s="390"/>
      <c r="AF16" s="390"/>
      <c r="AG16" s="391"/>
    </row>
    <row r="17" spans="1:33" s="197" customFormat="1" ht="48" customHeight="1" thickBot="1" x14ac:dyDescent="0.5">
      <c r="A17" s="239"/>
      <c r="B17" s="361" t="str">
        <f>+'IMPRIMIR 2'!A14</f>
        <v>PARTIDOS                 fecha 2</v>
      </c>
      <c r="C17" s="362"/>
      <c r="D17" s="362"/>
      <c r="E17" s="362"/>
      <c r="F17" s="362"/>
      <c r="G17" s="362"/>
      <c r="H17" s="362"/>
      <c r="I17" s="363"/>
      <c r="J17" s="239"/>
      <c r="K17" s="235" t="str">
        <f>+'GRUPO C'!P10</f>
        <v xml:space="preserve">  1)  BLUEMARTIN F.C .</v>
      </c>
      <c r="L17" s="238">
        <f>+'GRUPO C'!Q10</f>
        <v>9</v>
      </c>
      <c r="M17" s="238">
        <f>+'GRUPO C'!R10</f>
        <v>3</v>
      </c>
      <c r="N17" s="238">
        <f>+'GRUPO C'!S10</f>
        <v>3</v>
      </c>
      <c r="O17" s="238">
        <f>+'GRUPO C'!T10</f>
        <v>0</v>
      </c>
      <c r="P17" s="238">
        <f>+'GRUPO C'!U10</f>
        <v>0</v>
      </c>
      <c r="Q17" s="238">
        <f>+'GRUPO C'!V10</f>
        <v>5</v>
      </c>
      <c r="R17" s="238">
        <f>+'GRUPO C'!W10</f>
        <v>0</v>
      </c>
      <c r="S17" s="238">
        <f>+'GRUPO C'!X10</f>
        <v>5</v>
      </c>
      <c r="T17" s="238">
        <f>+'GRUPO C'!Y10</f>
        <v>0</v>
      </c>
      <c r="X17" s="392"/>
      <c r="Y17" s="393"/>
      <c r="Z17" s="393"/>
      <c r="AA17" s="393"/>
      <c r="AB17" s="393"/>
      <c r="AC17" s="393"/>
      <c r="AD17" s="393"/>
      <c r="AE17" s="393"/>
      <c r="AF17" s="393"/>
      <c r="AG17" s="394"/>
    </row>
    <row r="18" spans="1:33" s="197" customFormat="1" ht="48" customHeight="1" thickBot="1" x14ac:dyDescent="0.5">
      <c r="A18" s="239"/>
      <c r="B18" s="244" t="s">
        <v>69</v>
      </c>
      <c r="C18" s="244" t="s">
        <v>70</v>
      </c>
      <c r="D18" s="244" t="s">
        <v>71</v>
      </c>
      <c r="E18" s="360" t="s">
        <v>72</v>
      </c>
      <c r="F18" s="360"/>
      <c r="G18" s="244" t="s">
        <v>71</v>
      </c>
      <c r="H18" s="244" t="s">
        <v>73</v>
      </c>
      <c r="I18" s="244" t="str">
        <f>+I8</f>
        <v>CATEGORIA</v>
      </c>
      <c r="J18" s="239"/>
      <c r="K18" s="235" t="str">
        <f>+'GRUPO C'!P12</f>
        <v xml:space="preserve">  2)  CENTAUROS DEL ARIARI</v>
      </c>
      <c r="L18" s="238">
        <f>+'GRUPO C'!Q12</f>
        <v>3</v>
      </c>
      <c r="M18" s="238">
        <f>+'GRUPO C'!R12</f>
        <v>3</v>
      </c>
      <c r="N18" s="238">
        <f>+'GRUPO C'!S12</f>
        <v>1</v>
      </c>
      <c r="O18" s="238">
        <f>+'GRUPO C'!T12</f>
        <v>0</v>
      </c>
      <c r="P18" s="238">
        <f>+'GRUPO C'!U12</f>
        <v>2</v>
      </c>
      <c r="Q18" s="238">
        <f>+'GRUPO C'!V12</f>
        <v>5</v>
      </c>
      <c r="R18" s="238">
        <f>+'GRUPO C'!W12</f>
        <v>5</v>
      </c>
      <c r="S18" s="238">
        <f>+'GRUPO C'!X12</f>
        <v>0</v>
      </c>
      <c r="T18" s="238">
        <f>+'GRUPO C'!Y12</f>
        <v>0</v>
      </c>
      <c r="X18" s="223" t="s">
        <v>82</v>
      </c>
      <c r="Y18" s="211" t="s">
        <v>48</v>
      </c>
      <c r="Z18" s="375" t="s">
        <v>125</v>
      </c>
      <c r="AA18" s="376"/>
      <c r="AB18" s="376"/>
      <c r="AC18" s="376"/>
      <c r="AD18" s="395"/>
      <c r="AE18" s="224" t="s">
        <v>132</v>
      </c>
      <c r="AF18" s="396" t="s">
        <v>133</v>
      </c>
      <c r="AG18" s="397"/>
    </row>
    <row r="19" spans="1:33" s="197" customFormat="1" ht="48" customHeight="1" thickBot="1" x14ac:dyDescent="0.5">
      <c r="A19" s="237">
        <v>45563</v>
      </c>
      <c r="B19" s="250" t="s">
        <v>176</v>
      </c>
      <c r="C19" s="247">
        <v>0.63541666666666663</v>
      </c>
      <c r="D19" s="238" t="str">
        <f>+'GRUPO C'!E26</f>
        <v>BLUEMARTIN F.C .</v>
      </c>
      <c r="E19" s="238">
        <f>+'GRUPO C'!G26</f>
        <v>2</v>
      </c>
      <c r="F19" s="238">
        <f>+'GRUPO C'!I26</f>
        <v>0</v>
      </c>
      <c r="G19" s="238" t="str">
        <f>+'GRUPO C'!K26</f>
        <v>CENTAUROS DEL ARIARI</v>
      </c>
      <c r="H19" s="237" t="str">
        <f>+'GRUPO C'!B4</f>
        <v>GRUPO C</v>
      </c>
      <c r="I19" s="238" t="str">
        <f t="shared" ref="I19:I25" si="1">+$A$3</f>
        <v>NACIDOS 2014 2015</v>
      </c>
      <c r="J19" s="239"/>
      <c r="K19" s="235" t="str">
        <f>+'GRUPO C'!P14</f>
        <v xml:space="preserve">  3)  EIFD TESOROS SPORTS</v>
      </c>
      <c r="L19" s="238">
        <f>+'GRUPO C'!Q14</f>
        <v>0</v>
      </c>
      <c r="M19" s="238">
        <f>+'GRUPO C'!R14</f>
        <v>3</v>
      </c>
      <c r="N19" s="238">
        <f>+'GRUPO C'!S14</f>
        <v>0</v>
      </c>
      <c r="O19" s="238">
        <f>+'GRUPO C'!T14</f>
        <v>0</v>
      </c>
      <c r="P19" s="238">
        <f>+'GRUPO C'!U14</f>
        <v>3</v>
      </c>
      <c r="Q19" s="238">
        <f>+'GRUPO C'!V14</f>
        <v>3</v>
      </c>
      <c r="R19" s="238">
        <f>+'GRUPO C'!W14</f>
        <v>12</v>
      </c>
      <c r="S19" s="238">
        <f>+'GRUPO C'!X14</f>
        <v>-9</v>
      </c>
      <c r="T19" s="238">
        <f>+'GRUPO C'!Y14</f>
        <v>0</v>
      </c>
      <c r="X19" s="225" t="s">
        <v>120</v>
      </c>
      <c r="Y19" s="211" t="s">
        <v>48</v>
      </c>
      <c r="Z19" s="375" t="s">
        <v>134</v>
      </c>
      <c r="AA19" s="376"/>
      <c r="AB19" s="376"/>
      <c r="AC19" s="376"/>
      <c r="AD19" s="395"/>
      <c r="AE19" s="226" t="s">
        <v>135</v>
      </c>
      <c r="AF19" s="396" t="s">
        <v>133</v>
      </c>
      <c r="AG19" s="397"/>
    </row>
    <row r="20" spans="1:33" s="197" customFormat="1" ht="48" customHeight="1" thickBot="1" x14ac:dyDescent="0.5">
      <c r="A20" s="237">
        <v>45563</v>
      </c>
      <c r="B20" s="250" t="s">
        <v>177</v>
      </c>
      <c r="C20" s="247">
        <v>0.63541666666666663</v>
      </c>
      <c r="D20" s="238" t="str">
        <f>+'GRUPO B'!E29</f>
        <v>TEMPLO DEL FÚTBOL</v>
      </c>
      <c r="E20" s="238">
        <f>+'GRUPO B'!G29</f>
        <v>6</v>
      </c>
      <c r="F20" s="238">
        <f>+'GRUPO B'!I29</f>
        <v>1</v>
      </c>
      <c r="G20" s="238" t="str">
        <f>+'GRUPO B'!K29</f>
        <v>EIFD TESOROS SPORTS</v>
      </c>
      <c r="H20" s="237" t="s">
        <v>131</v>
      </c>
      <c r="I20" s="238" t="str">
        <f t="shared" si="1"/>
        <v>NACIDOS 2014 2015</v>
      </c>
      <c r="J20" s="239"/>
      <c r="K20" s="245" t="str">
        <f>+'GRUPO D'!B4</f>
        <v>GRUPO D</v>
      </c>
      <c r="L20" s="245" t="str">
        <f>+'GRUPO D'!Q8</f>
        <v>Pts.</v>
      </c>
      <c r="M20" s="245" t="str">
        <f>+'GRUPO D'!R8</f>
        <v>PJ</v>
      </c>
      <c r="N20" s="245" t="str">
        <f>+'GRUPO D'!S8</f>
        <v>Gan.</v>
      </c>
      <c r="O20" s="246" t="str">
        <f>+'GRUPO D'!T8</f>
        <v>Emp.</v>
      </c>
      <c r="P20" s="245" t="str">
        <f>+'GRUPO D'!U8</f>
        <v>Per.</v>
      </c>
      <c r="Q20" s="245" t="str">
        <f>+'GRUPO D'!V8</f>
        <v>GF</v>
      </c>
      <c r="R20" s="245" t="str">
        <f>+'GRUPO D'!W8</f>
        <v>GC</v>
      </c>
      <c r="S20" s="245" t="str">
        <f>+'GRUPO D'!X8</f>
        <v>Dif.</v>
      </c>
      <c r="T20" s="245" t="str">
        <f>+'GRUPO D'!Y8</f>
        <v>Tj</v>
      </c>
      <c r="X20" s="225" t="s">
        <v>121</v>
      </c>
      <c r="Y20" s="211" t="s">
        <v>48</v>
      </c>
      <c r="Z20" s="375" t="s">
        <v>126</v>
      </c>
      <c r="AA20" s="376"/>
      <c r="AB20" s="376"/>
      <c r="AC20" s="376"/>
      <c r="AD20" s="395"/>
      <c r="AE20" s="227" t="s">
        <v>136</v>
      </c>
      <c r="AF20" s="387" t="s">
        <v>133</v>
      </c>
      <c r="AG20" s="388"/>
    </row>
    <row r="21" spans="1:33" s="197" customFormat="1" ht="48" customHeight="1" thickBot="1" x14ac:dyDescent="0.5">
      <c r="A21" s="237">
        <v>45563</v>
      </c>
      <c r="B21" s="251" t="s">
        <v>171</v>
      </c>
      <c r="C21" s="247">
        <v>0.75694444444444442</v>
      </c>
      <c r="D21" s="238" t="str">
        <f>+'GRUPO D'!E23</f>
        <v>CORDOBA Y CERRANO F. C.</v>
      </c>
      <c r="E21" s="238">
        <f>+'GRUPO D'!G23</f>
        <v>4</v>
      </c>
      <c r="F21" s="238">
        <f>+'GRUPO D'!I23</f>
        <v>4</v>
      </c>
      <c r="G21" s="238" t="str">
        <f>+'GRUPO D'!K23</f>
        <v>GRAMA F. C.</v>
      </c>
      <c r="H21" s="238" t="str">
        <f>+'GRUPO D'!B4</f>
        <v>GRUPO D</v>
      </c>
      <c r="I21" s="238" t="str">
        <f t="shared" si="1"/>
        <v>NACIDOS 2014 2015</v>
      </c>
      <c r="J21" s="239"/>
      <c r="K21" s="235" t="str">
        <f>+'GRUPO D'!P10</f>
        <v xml:space="preserve">  1)  ACADEMIA IGUARAN F. C.</v>
      </c>
      <c r="L21" s="238">
        <f>+'GRUPO D'!Q10</f>
        <v>9</v>
      </c>
      <c r="M21" s="238">
        <f>+'GRUPO D'!R10</f>
        <v>3</v>
      </c>
      <c r="N21" s="238">
        <f>+'GRUPO D'!S10</f>
        <v>3</v>
      </c>
      <c r="O21" s="238">
        <f>+'GRUPO D'!T10</f>
        <v>0</v>
      </c>
      <c r="P21" s="238">
        <f>+'GRUPO D'!U10</f>
        <v>0</v>
      </c>
      <c r="Q21" s="238">
        <f>+'GRUPO D'!V10</f>
        <v>15</v>
      </c>
      <c r="R21" s="238">
        <f>+'GRUPO D'!W10</f>
        <v>3</v>
      </c>
      <c r="S21" s="238">
        <f>+'GRUPO D'!X10</f>
        <v>12</v>
      </c>
      <c r="T21" s="238">
        <f>+'GRUPO D'!Y10</f>
        <v>0</v>
      </c>
      <c r="X21" s="228" t="s">
        <v>83</v>
      </c>
      <c r="Y21" s="211" t="s">
        <v>48</v>
      </c>
      <c r="Z21" s="382" t="s">
        <v>127</v>
      </c>
      <c r="AA21" s="383"/>
      <c r="AB21" s="383"/>
      <c r="AC21" s="383"/>
      <c r="AD21" s="384"/>
      <c r="AE21" s="229" t="s">
        <v>137</v>
      </c>
      <c r="AF21" s="398" t="s">
        <v>138</v>
      </c>
      <c r="AG21" s="399"/>
    </row>
    <row r="22" spans="1:33" s="197" customFormat="1" ht="48" customHeight="1" thickBot="1" x14ac:dyDescent="0.5">
      <c r="A22" s="237">
        <v>45563</v>
      </c>
      <c r="B22" s="252" t="s">
        <v>170</v>
      </c>
      <c r="C22" s="247">
        <v>0.75694444444444442</v>
      </c>
      <c r="D22" s="238" t="str">
        <f>+'GRUPO A'!E20</f>
        <v>AJAX AIMARA</v>
      </c>
      <c r="E22" s="238">
        <f>+'GRUPO A'!G20</f>
        <v>10</v>
      </c>
      <c r="F22" s="238">
        <f>+'GRUPO A'!I20</f>
        <v>0</v>
      </c>
      <c r="G22" s="238" t="str">
        <f>+'GRUPO A'!K20</f>
        <v>CLUB DEPORTIVO OS FUTSAL</v>
      </c>
      <c r="H22" s="238" t="str">
        <f>+'GRUPO A'!B4</f>
        <v>GRUPO A</v>
      </c>
      <c r="I22" s="238" t="str">
        <f t="shared" si="1"/>
        <v>NACIDOS 2014 2015</v>
      </c>
      <c r="J22" s="239"/>
      <c r="K22" s="235" t="str">
        <f>+'GRUPO D'!P12</f>
        <v xml:space="preserve">  2)  GRAMA F. C.</v>
      </c>
      <c r="L22" s="238">
        <f>+'GRUPO D'!Q12</f>
        <v>4</v>
      </c>
      <c r="M22" s="238">
        <f>+'GRUPO D'!R12</f>
        <v>3</v>
      </c>
      <c r="N22" s="238">
        <f>+'GRUPO D'!S12</f>
        <v>1</v>
      </c>
      <c r="O22" s="238">
        <f>+'GRUPO D'!T12</f>
        <v>1</v>
      </c>
      <c r="P22" s="238">
        <f>+'GRUPO D'!U12</f>
        <v>1</v>
      </c>
      <c r="Q22" s="238">
        <f>+'GRUPO D'!V12</f>
        <v>13</v>
      </c>
      <c r="R22" s="238">
        <f>+'GRUPO D'!W12</f>
        <v>9</v>
      </c>
      <c r="S22" s="238">
        <f>+'GRUPO D'!X12</f>
        <v>4</v>
      </c>
      <c r="T22" s="238">
        <f>+'GRUPO D'!Y12</f>
        <v>0</v>
      </c>
      <c r="X22" s="230" t="s">
        <v>139</v>
      </c>
      <c r="Y22" s="211" t="s">
        <v>48</v>
      </c>
      <c r="Z22" s="382" t="s">
        <v>128</v>
      </c>
      <c r="AA22" s="383"/>
      <c r="AB22" s="383"/>
      <c r="AC22" s="383"/>
      <c r="AD22" s="384"/>
      <c r="AE22" s="229" t="s">
        <v>140</v>
      </c>
      <c r="AF22" s="398" t="s">
        <v>138</v>
      </c>
      <c r="AG22" s="399"/>
    </row>
    <row r="23" spans="1:33" s="197" customFormat="1" ht="48" customHeight="1" thickBot="1" x14ac:dyDescent="0.5">
      <c r="A23" s="237">
        <v>45563</v>
      </c>
      <c r="B23" s="251" t="s">
        <v>171</v>
      </c>
      <c r="C23" s="247">
        <v>0.80555555555555558</v>
      </c>
      <c r="D23" s="238" t="str">
        <f>+'GRUPO A'!E23</f>
        <v>ESCUELA DE FORMACION DEPORTIVA MARACANA</v>
      </c>
      <c r="E23" s="238">
        <f>+'GRUPO A'!G23</f>
        <v>3</v>
      </c>
      <c r="F23" s="238">
        <f>+'GRUPO A'!I23</f>
        <v>3</v>
      </c>
      <c r="G23" s="238" t="str">
        <f>+'GRUPO A'!K23</f>
        <v>CLUB LOS PAPETICOS</v>
      </c>
      <c r="H23" s="238" t="str">
        <f>+'GRUPO A'!B4</f>
        <v>GRUPO A</v>
      </c>
      <c r="I23" s="238" t="str">
        <f t="shared" si="1"/>
        <v>NACIDOS 2014 2015</v>
      </c>
      <c r="J23" s="239"/>
      <c r="K23" s="235" t="str">
        <f>+'GRUPO D'!P14</f>
        <v xml:space="preserve">  3)  CORDOBA Y CERRANO F. C.</v>
      </c>
      <c r="L23" s="238">
        <f>+'GRUPO D'!Q14</f>
        <v>4</v>
      </c>
      <c r="M23" s="238">
        <f>+'GRUPO D'!R14</f>
        <v>3</v>
      </c>
      <c r="N23" s="238">
        <f>+'GRUPO D'!S14</f>
        <v>1</v>
      </c>
      <c r="O23" s="238">
        <f>+'GRUPO D'!T14</f>
        <v>1</v>
      </c>
      <c r="P23" s="238">
        <f>+'GRUPO D'!U14</f>
        <v>1</v>
      </c>
      <c r="Q23" s="238">
        <f>+'GRUPO D'!V14</f>
        <v>8</v>
      </c>
      <c r="R23" s="238">
        <f>+'GRUPO D'!W14</f>
        <v>13</v>
      </c>
      <c r="S23" s="238">
        <f>+'GRUPO D'!X14</f>
        <v>-5</v>
      </c>
      <c r="T23" s="238">
        <f>+'GRUPO D'!Y14</f>
        <v>0</v>
      </c>
      <c r="X23" s="230" t="s">
        <v>123</v>
      </c>
      <c r="Y23" s="211" t="s">
        <v>48</v>
      </c>
      <c r="Z23" s="382" t="s">
        <v>129</v>
      </c>
      <c r="AA23" s="383"/>
      <c r="AB23" s="383"/>
      <c r="AC23" s="383"/>
      <c r="AD23" s="384"/>
      <c r="AE23" s="224" t="s">
        <v>132</v>
      </c>
      <c r="AF23" s="385" t="s">
        <v>141</v>
      </c>
      <c r="AG23" s="386"/>
    </row>
    <row r="24" spans="1:33" s="197" customFormat="1" ht="48" customHeight="1" thickBot="1" x14ac:dyDescent="0.5">
      <c r="A24" s="237">
        <v>45563</v>
      </c>
      <c r="B24" s="252" t="s">
        <v>170</v>
      </c>
      <c r="C24" s="247">
        <v>0.80555555555555558</v>
      </c>
      <c r="D24" s="238" t="str">
        <f>+'GRUPO D'!E20</f>
        <v>ACADEMIA IGUARAN F. C.</v>
      </c>
      <c r="E24" s="238">
        <f>+'GRUPO D'!G20</f>
        <v>4</v>
      </c>
      <c r="F24" s="238">
        <f>+'GRUPO D'!I20</f>
        <v>2</v>
      </c>
      <c r="G24" s="238" t="str">
        <f>+'GRUPO D'!K20</f>
        <v>COLEGIO NEIL ARMSTRONG</v>
      </c>
      <c r="H24" s="238" t="str">
        <f>+'GRUPO D'!B4</f>
        <v>GRUPO D</v>
      </c>
      <c r="I24" s="238" t="str">
        <f t="shared" si="1"/>
        <v>NACIDOS 2014 2015</v>
      </c>
      <c r="J24" s="239"/>
      <c r="K24" s="235" t="str">
        <f>+'GRUPO D'!P16</f>
        <v xml:space="preserve">  4)  COLEGIO NEIL ARMSTRONG</v>
      </c>
      <c r="L24" s="238">
        <f>+'GRUPO D'!Q16</f>
        <v>0</v>
      </c>
      <c r="M24" s="238">
        <f>+'GRUPO D'!R16</f>
        <v>3</v>
      </c>
      <c r="N24" s="238">
        <f>+'GRUPO D'!S16</f>
        <v>0</v>
      </c>
      <c r="O24" s="238">
        <f>+'GRUPO D'!T16</f>
        <v>0</v>
      </c>
      <c r="P24" s="238">
        <f>+'GRUPO D'!U16</f>
        <v>3</v>
      </c>
      <c r="Q24" s="238">
        <f>+'GRUPO D'!V16</f>
        <v>5</v>
      </c>
      <c r="R24" s="238">
        <f>+'GRUPO D'!W16</f>
        <v>16</v>
      </c>
      <c r="S24" s="238">
        <f>+'GRUPO D'!X16</f>
        <v>-11</v>
      </c>
      <c r="T24" s="238">
        <f>+'GRUPO D'!Y16</f>
        <v>0</v>
      </c>
      <c r="X24" s="223" t="s">
        <v>142</v>
      </c>
      <c r="Y24" s="211" t="s">
        <v>48</v>
      </c>
      <c r="Z24" s="375" t="s">
        <v>143</v>
      </c>
      <c r="AA24" s="376"/>
      <c r="AB24" s="376"/>
      <c r="AC24" s="376"/>
      <c r="AD24" s="395"/>
      <c r="AE24" s="226" t="s">
        <v>135</v>
      </c>
      <c r="AF24" s="385" t="s">
        <v>141</v>
      </c>
      <c r="AG24" s="386"/>
    </row>
    <row r="25" spans="1:33" s="197" customFormat="1" ht="48" customHeight="1" thickBot="1" x14ac:dyDescent="0.5">
      <c r="A25" s="237">
        <v>45563</v>
      </c>
      <c r="B25" s="252" t="s">
        <v>170</v>
      </c>
      <c r="C25" s="247">
        <v>0.85416666666666663</v>
      </c>
      <c r="D25" s="238" t="str">
        <f>+'GRUPO B'!E26</f>
        <v>ESCUELA DEPORTIVA FÚTBOL RAQUIRA</v>
      </c>
      <c r="E25" s="238">
        <f>+'GRUPO B'!G26</f>
        <v>2</v>
      </c>
      <c r="F25" s="238">
        <f>+'GRUPO B'!I26</f>
        <v>6</v>
      </c>
      <c r="G25" s="238" t="str">
        <f>+'GRUPO B'!K26</f>
        <v>CLUB CAMPESTRE IBAGUE</v>
      </c>
      <c r="H25" s="237" t="str">
        <f>+'GRUPO B'!B4</f>
        <v>GRUPO B</v>
      </c>
      <c r="I25" s="238" t="str">
        <f t="shared" si="1"/>
        <v>NACIDOS 2014 2015</v>
      </c>
      <c r="J25" s="239"/>
      <c r="K25" s="239"/>
      <c r="L25" s="239"/>
      <c r="M25" s="239"/>
      <c r="N25" s="239"/>
      <c r="O25" s="239"/>
      <c r="P25" s="239"/>
      <c r="Q25" s="239"/>
      <c r="R25" s="239"/>
      <c r="S25" s="239"/>
      <c r="T25" s="239"/>
      <c r="X25" s="225" t="s">
        <v>144</v>
      </c>
      <c r="Y25" s="211" t="s">
        <v>48</v>
      </c>
      <c r="Z25" s="375" t="s">
        <v>145</v>
      </c>
      <c r="AA25" s="376"/>
      <c r="AB25" s="376"/>
      <c r="AC25" s="376"/>
      <c r="AD25" s="395"/>
      <c r="AE25" s="227" t="s">
        <v>136</v>
      </c>
      <c r="AF25" s="401" t="s">
        <v>141</v>
      </c>
      <c r="AG25" s="402"/>
    </row>
    <row r="26" spans="1:33" s="197" customFormat="1" ht="48" customHeight="1" thickBot="1" x14ac:dyDescent="0.5">
      <c r="A26" s="239"/>
      <c r="B26" s="239"/>
      <c r="C26" s="239"/>
      <c r="I26" s="239"/>
      <c r="J26" s="239"/>
      <c r="K26" s="403"/>
      <c r="L26" s="404"/>
      <c r="M26" s="404"/>
      <c r="N26" s="404"/>
      <c r="O26" s="404"/>
      <c r="P26" s="404"/>
      <c r="Q26" s="404"/>
      <c r="R26" s="404"/>
      <c r="S26" s="404"/>
      <c r="T26" s="405"/>
      <c r="X26" s="225" t="s">
        <v>146</v>
      </c>
      <c r="Y26" s="211" t="s">
        <v>48</v>
      </c>
      <c r="Z26" s="375" t="s">
        <v>147</v>
      </c>
      <c r="AA26" s="376"/>
      <c r="AB26" s="376"/>
      <c r="AC26" s="376"/>
      <c r="AD26" s="376"/>
      <c r="AE26" s="229" t="s">
        <v>137</v>
      </c>
      <c r="AF26" s="398" t="s">
        <v>148</v>
      </c>
      <c r="AG26" s="399"/>
    </row>
    <row r="27" spans="1:33" s="197" customFormat="1" ht="48" customHeight="1" thickBot="1" x14ac:dyDescent="0.5">
      <c r="A27" s="239"/>
      <c r="B27" s="377" t="s">
        <v>85</v>
      </c>
      <c r="C27" s="378"/>
      <c r="D27" s="378"/>
      <c r="E27" s="378"/>
      <c r="F27" s="378"/>
      <c r="G27" s="378"/>
      <c r="H27" s="378"/>
      <c r="I27" s="379"/>
      <c r="J27" s="239"/>
      <c r="K27" s="406"/>
      <c r="L27" s="407"/>
      <c r="M27" s="407"/>
      <c r="N27" s="407"/>
      <c r="O27" s="407"/>
      <c r="P27" s="407"/>
      <c r="Q27" s="407"/>
      <c r="R27" s="407"/>
      <c r="S27" s="407"/>
      <c r="T27" s="408"/>
      <c r="X27" s="225" t="s">
        <v>149</v>
      </c>
      <c r="Y27" s="211" t="s">
        <v>48</v>
      </c>
      <c r="Z27" s="375" t="s">
        <v>150</v>
      </c>
      <c r="AA27" s="376"/>
      <c r="AB27" s="376"/>
      <c r="AC27" s="376"/>
      <c r="AD27" s="376"/>
      <c r="AE27" s="229" t="s">
        <v>140</v>
      </c>
      <c r="AF27" s="398" t="s">
        <v>148</v>
      </c>
      <c r="AG27" s="399"/>
    </row>
    <row r="28" spans="1:33" s="197" customFormat="1" ht="48" customHeight="1" thickBot="1" x14ac:dyDescent="0.5">
      <c r="A28" s="239"/>
      <c r="B28" s="244" t="s">
        <v>69</v>
      </c>
      <c r="C28" s="244" t="s">
        <v>70</v>
      </c>
      <c r="D28" s="244" t="s">
        <v>71</v>
      </c>
      <c r="E28" s="360" t="s">
        <v>72</v>
      </c>
      <c r="F28" s="360"/>
      <c r="G28" s="244" t="s">
        <v>71</v>
      </c>
      <c r="H28" s="244" t="s">
        <v>73</v>
      </c>
      <c r="I28" s="244" t="str">
        <f>+I18</f>
        <v>CATEGORIA</v>
      </c>
      <c r="J28" s="239"/>
      <c r="X28" s="230" t="s">
        <v>151</v>
      </c>
      <c r="Y28" s="211" t="s">
        <v>48</v>
      </c>
      <c r="Z28" s="382" t="s">
        <v>152</v>
      </c>
      <c r="AA28" s="383"/>
      <c r="AB28" s="383"/>
      <c r="AC28" s="383"/>
      <c r="AD28" s="384"/>
      <c r="AE28" s="224" t="s">
        <v>132</v>
      </c>
      <c r="AF28" s="385" t="s">
        <v>153</v>
      </c>
      <c r="AG28" s="386"/>
    </row>
    <row r="29" spans="1:33" s="197" customFormat="1" ht="48" customHeight="1" thickBot="1" x14ac:dyDescent="0.5">
      <c r="A29" s="237">
        <v>45564</v>
      </c>
      <c r="B29" s="256" t="s">
        <v>176</v>
      </c>
      <c r="C29" s="257">
        <v>0.28472222222222221</v>
      </c>
      <c r="D29" s="258" t="str">
        <f>+'GRUPO B'!E35</f>
        <v>TEMPLO DEL FÚTBOL</v>
      </c>
      <c r="E29" s="258">
        <f>+'GRUPO B'!G35</f>
        <v>0</v>
      </c>
      <c r="F29" s="258">
        <f>+'GRUPO B'!I35</f>
        <v>0</v>
      </c>
      <c r="G29" s="258" t="str">
        <f>+'GRUPO B'!K35</f>
        <v>CLUB CAMPESTRE IBAGUE</v>
      </c>
      <c r="H29" s="258" t="str">
        <f>+'GRUPO B'!B4</f>
        <v>GRUPO B</v>
      </c>
      <c r="I29" s="238" t="str">
        <f t="shared" ref="I29:I35" si="2">+$A$3</f>
        <v>NACIDOS 2014 2015</v>
      </c>
      <c r="J29" s="239"/>
      <c r="X29" s="230" t="s">
        <v>154</v>
      </c>
      <c r="Y29" s="211" t="s">
        <v>48</v>
      </c>
      <c r="Z29" s="382" t="s">
        <v>155</v>
      </c>
      <c r="AA29" s="383"/>
      <c r="AB29" s="383"/>
      <c r="AC29" s="383"/>
      <c r="AD29" s="384"/>
      <c r="AE29" s="226" t="s">
        <v>135</v>
      </c>
      <c r="AF29" s="385" t="s">
        <v>153</v>
      </c>
      <c r="AG29" s="386"/>
    </row>
    <row r="30" spans="1:33" s="197" customFormat="1" ht="48" customHeight="1" thickBot="1" x14ac:dyDescent="0.5">
      <c r="A30" s="237">
        <v>45564</v>
      </c>
      <c r="B30" s="256" t="s">
        <v>177</v>
      </c>
      <c r="C30" s="257">
        <v>0.34027777777777779</v>
      </c>
      <c r="D30" s="258" t="str">
        <f>+'GRUPO C'!E35</f>
        <v>ESCUELA DEPORTIVA FÚTBOL RAQUIRA</v>
      </c>
      <c r="E30" s="258">
        <f>+'GRUPO C'!G35</f>
        <v>0</v>
      </c>
      <c r="F30" s="258">
        <f>+'GRUPO C'!I35</f>
        <v>1</v>
      </c>
      <c r="G30" s="258" t="str">
        <f>+'GRUPO C'!K35</f>
        <v>BLUEMARTIN F.C .</v>
      </c>
      <c r="H30" s="258" t="s">
        <v>131</v>
      </c>
      <c r="I30" s="238" t="str">
        <f t="shared" si="2"/>
        <v>NACIDOS 2014 2015</v>
      </c>
      <c r="J30" s="239"/>
      <c r="X30" s="228" t="s">
        <v>156</v>
      </c>
      <c r="Y30" s="211" t="s">
        <v>48</v>
      </c>
      <c r="Z30" s="382" t="s">
        <v>157</v>
      </c>
      <c r="AA30" s="383"/>
      <c r="AB30" s="383"/>
      <c r="AC30" s="383"/>
      <c r="AD30" s="384"/>
      <c r="AE30" s="227" t="s">
        <v>136</v>
      </c>
      <c r="AF30" s="387" t="s">
        <v>153</v>
      </c>
      <c r="AG30" s="388"/>
    </row>
    <row r="31" spans="1:33" s="197" customFormat="1" ht="48" customHeight="1" x14ac:dyDescent="0.45">
      <c r="A31" s="237">
        <v>45564</v>
      </c>
      <c r="B31" s="250" t="s">
        <v>176</v>
      </c>
      <c r="C31" s="247">
        <v>0.3888888888888889</v>
      </c>
      <c r="D31" s="238" t="str">
        <f>+'GRUPO C'!E32</f>
        <v>EIFD TESOROS SPORTS</v>
      </c>
      <c r="E31" s="238">
        <f>+'GRUPO C'!G32</f>
        <v>2</v>
      </c>
      <c r="F31" s="238">
        <f>+'GRUPO C'!I32</f>
        <v>4</v>
      </c>
      <c r="G31" s="238" t="str">
        <f>+'GRUPO C'!K32</f>
        <v>CENTAUROS DEL ARIARI</v>
      </c>
      <c r="H31" s="238" t="str">
        <f>+'GRUPO C'!B4</f>
        <v>GRUPO C</v>
      </c>
      <c r="I31" s="238" t="str">
        <f t="shared" si="2"/>
        <v>NACIDOS 2014 2015</v>
      </c>
      <c r="J31" s="239"/>
    </row>
    <row r="32" spans="1:33" s="197" customFormat="1" ht="48" customHeight="1" thickBot="1" x14ac:dyDescent="0.5">
      <c r="A32" s="237">
        <v>45564</v>
      </c>
      <c r="B32" s="251" t="s">
        <v>171</v>
      </c>
      <c r="C32" s="247">
        <v>0.3888888888888889</v>
      </c>
      <c r="D32" s="238" t="str">
        <f>+'GRUPO D'!E32</f>
        <v>COLEGIO NEIL ARMSTRONG</v>
      </c>
      <c r="E32" s="238">
        <f>+'GRUPO D'!G32</f>
        <v>1</v>
      </c>
      <c r="F32" s="238">
        <f>+'GRUPO D'!I32</f>
        <v>4</v>
      </c>
      <c r="G32" s="238" t="str">
        <f>+'GRUPO D'!K32</f>
        <v>CORDOBA Y CERRANO F. C.</v>
      </c>
      <c r="H32" s="238" t="str">
        <f>+'GRUPO D'!B4</f>
        <v>GRUPO D</v>
      </c>
      <c r="I32" s="238" t="str">
        <f t="shared" si="2"/>
        <v>NACIDOS 2014 2015</v>
      </c>
      <c r="J32" s="239"/>
    </row>
    <row r="33" spans="1:32" s="197" customFormat="1" ht="48" customHeight="1" thickBot="1" x14ac:dyDescent="0.5">
      <c r="A33" s="237">
        <v>45564</v>
      </c>
      <c r="B33" s="252" t="s">
        <v>170</v>
      </c>
      <c r="C33" s="247">
        <v>0.3888888888888889</v>
      </c>
      <c r="D33" s="238" t="str">
        <f>+'GRUPO A'!E35</f>
        <v>AJAX AIMARA</v>
      </c>
      <c r="E33" s="238">
        <f>+'GRUPO A'!G35</f>
        <v>2</v>
      </c>
      <c r="F33" s="238">
        <f>+'GRUPO A'!I35</f>
        <v>7</v>
      </c>
      <c r="G33" s="238" t="str">
        <f>+'GRUPO A'!K35</f>
        <v>CLUB LOS PAPETICOS</v>
      </c>
      <c r="H33" s="238" t="str">
        <f>+'GRUPO A'!B4</f>
        <v>GRUPO A</v>
      </c>
      <c r="I33" s="238" t="str">
        <f t="shared" si="2"/>
        <v>NACIDOS 2014 2015</v>
      </c>
      <c r="J33" s="239"/>
      <c r="W33" s="217" t="s">
        <v>82</v>
      </c>
      <c r="X33" s="211" t="s">
        <v>48</v>
      </c>
      <c r="Y33" s="370" t="s">
        <v>83</v>
      </c>
      <c r="Z33" s="371"/>
      <c r="AA33" s="371"/>
      <c r="AB33" s="371"/>
      <c r="AC33" s="371"/>
      <c r="AD33" s="372"/>
      <c r="AE33" s="380" t="s">
        <v>118</v>
      </c>
      <c r="AF33" s="381"/>
    </row>
    <row r="34" spans="1:32" s="197" customFormat="1" ht="48" customHeight="1" thickBot="1" x14ac:dyDescent="0.5">
      <c r="A34" s="237">
        <v>45564</v>
      </c>
      <c r="B34" s="251" t="s">
        <v>171</v>
      </c>
      <c r="C34" s="247">
        <v>0.4375</v>
      </c>
      <c r="D34" s="238" t="str">
        <f>+'GRUPO D'!E35</f>
        <v>ACADEMIA IGUARAN F. C.</v>
      </c>
      <c r="E34" s="238">
        <f>+'GRUPO D'!G35</f>
        <v>3</v>
      </c>
      <c r="F34" s="238">
        <f>+'GRUPO D'!I35</f>
        <v>1</v>
      </c>
      <c r="G34" s="238" t="str">
        <f>+'GRUPO D'!K35</f>
        <v>GRAMA F. C.</v>
      </c>
      <c r="H34" s="238" t="str">
        <f>+'GRUPO D'!B4</f>
        <v>GRUPO D</v>
      </c>
      <c r="I34" s="238" t="str">
        <f t="shared" si="2"/>
        <v>NACIDOS 2014 2015</v>
      </c>
      <c r="J34" s="239"/>
      <c r="W34" s="216" t="s">
        <v>120</v>
      </c>
      <c r="X34" s="211" t="s">
        <v>48</v>
      </c>
      <c r="Y34" s="370" t="s">
        <v>95</v>
      </c>
      <c r="Z34" s="371"/>
      <c r="AA34" s="371"/>
      <c r="AB34" s="371"/>
      <c r="AC34" s="371"/>
      <c r="AD34" s="372"/>
      <c r="AE34" s="373" t="s">
        <v>118</v>
      </c>
      <c r="AF34" s="374"/>
    </row>
    <row r="35" spans="1:32" s="197" customFormat="1" ht="48" customHeight="1" thickBot="1" x14ac:dyDescent="0.5">
      <c r="A35" s="237">
        <v>45564</v>
      </c>
      <c r="B35" s="252" t="s">
        <v>170</v>
      </c>
      <c r="C35" s="247">
        <v>0.4375</v>
      </c>
      <c r="D35" s="238" t="str">
        <f>+'GRUPO A'!E32</f>
        <v>CLUB DEPORTIVO OS FUTSAL</v>
      </c>
      <c r="E35" s="238">
        <f>+'GRUPO A'!G32</f>
        <v>0</v>
      </c>
      <c r="F35" s="238">
        <f>+'GRUPO A'!I32</f>
        <v>8</v>
      </c>
      <c r="G35" s="238" t="str">
        <f>+'GRUPO A'!K32</f>
        <v>ESCUELA DE FORMACION DEPORTIVA MARACANA</v>
      </c>
      <c r="H35" s="238" t="str">
        <f>+'GRUPO A'!B4</f>
        <v>GRUPO A</v>
      </c>
      <c r="I35" s="238" t="str">
        <f t="shared" si="2"/>
        <v>NACIDOS 2014 2015</v>
      </c>
      <c r="J35" s="18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W35" s="216" t="s">
        <v>121</v>
      </c>
      <c r="X35" s="211" t="s">
        <v>48</v>
      </c>
      <c r="Y35" s="370" t="s">
        <v>123</v>
      </c>
      <c r="Z35" s="371"/>
      <c r="AA35" s="371"/>
      <c r="AB35" s="371"/>
      <c r="AC35" s="371"/>
      <c r="AD35" s="372"/>
      <c r="AE35" s="373" t="s">
        <v>117</v>
      </c>
      <c r="AF35" s="374"/>
    </row>
    <row r="36" spans="1:32" s="197" customFormat="1" ht="48" customHeight="1" thickBot="1" x14ac:dyDescent="0.5">
      <c r="J36" s="18"/>
      <c r="P36" s="239"/>
      <c r="Q36" s="239"/>
      <c r="R36" s="239"/>
      <c r="S36" s="239"/>
      <c r="T36" s="239"/>
      <c r="W36" s="216" t="s">
        <v>122</v>
      </c>
      <c r="X36" s="211" t="s">
        <v>48</v>
      </c>
      <c r="Y36" s="370" t="s">
        <v>124</v>
      </c>
      <c r="Z36" s="371"/>
      <c r="AA36" s="371"/>
      <c r="AB36" s="371"/>
      <c r="AC36" s="371"/>
      <c r="AD36" s="372"/>
      <c r="AE36" s="373" t="s">
        <v>117</v>
      </c>
      <c r="AF36" s="374"/>
    </row>
    <row r="37" spans="1:32" s="197" customFormat="1" ht="48" customHeight="1" thickBot="1" x14ac:dyDescent="0.5">
      <c r="A37" s="239"/>
      <c r="B37" s="377" t="s">
        <v>85</v>
      </c>
      <c r="C37" s="378"/>
      <c r="D37" s="378"/>
      <c r="E37" s="378"/>
      <c r="F37" s="378"/>
      <c r="G37" s="378"/>
      <c r="H37" s="378"/>
      <c r="I37" s="379"/>
      <c r="J37" s="18"/>
      <c r="P37" s="239"/>
      <c r="Q37" s="239"/>
      <c r="R37" s="239"/>
      <c r="S37" s="239"/>
      <c r="T37" s="239"/>
    </row>
    <row r="38" spans="1:32" ht="48" customHeight="1" x14ac:dyDescent="0.45">
      <c r="A38" s="239"/>
      <c r="B38" s="244" t="s">
        <v>69</v>
      </c>
      <c r="C38" s="244" t="s">
        <v>70</v>
      </c>
      <c r="D38" s="254" t="s">
        <v>71</v>
      </c>
      <c r="E38" s="400" t="s">
        <v>72</v>
      </c>
      <c r="F38" s="400"/>
      <c r="G38" s="254" t="s">
        <v>71</v>
      </c>
      <c r="H38" s="244" t="s">
        <v>73</v>
      </c>
      <c r="I38" s="244" t="str">
        <f>+I28</f>
        <v>CATEGORIA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</row>
    <row r="39" spans="1:32" ht="48" customHeight="1" x14ac:dyDescent="0.45">
      <c r="A39" s="237">
        <v>45564</v>
      </c>
      <c r="B39" s="250" t="s">
        <v>176</v>
      </c>
      <c r="C39" s="253">
        <v>0.56944444444444442</v>
      </c>
      <c r="D39" s="238" t="str">
        <f>+K19</f>
        <v xml:space="preserve">  3)  EIFD TESOROS SPORTS</v>
      </c>
      <c r="E39" s="238">
        <f>+'GRUPO A'!G39</f>
        <v>0</v>
      </c>
      <c r="F39" s="238">
        <f>+'GRUPO A'!I39</f>
        <v>0</v>
      </c>
      <c r="G39" s="255" t="s">
        <v>129</v>
      </c>
      <c r="H39" s="238" t="s">
        <v>182</v>
      </c>
      <c r="I39" s="238" t="str">
        <f t="shared" ref="I39:I45" si="3">+$A$3</f>
        <v>NACIDOS 2014 2015</v>
      </c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</row>
    <row r="40" spans="1:32" ht="48" customHeight="1" x14ac:dyDescent="0.45">
      <c r="A40" s="237">
        <v>45564</v>
      </c>
      <c r="B40" s="250" t="s">
        <v>177</v>
      </c>
      <c r="C40" s="253">
        <v>0.56944444444444442</v>
      </c>
      <c r="D40" s="238" t="str">
        <f>+K18</f>
        <v xml:space="preserve">  2)  CENTAUROS DEL ARIARI</v>
      </c>
      <c r="E40" s="238">
        <f>+'GRUPO A'!G40</f>
        <v>0</v>
      </c>
      <c r="F40" s="238">
        <f>+'GRUPO A'!I40</f>
        <v>0</v>
      </c>
      <c r="G40" s="255" t="s">
        <v>128</v>
      </c>
      <c r="H40" s="238" t="s">
        <v>181</v>
      </c>
      <c r="I40" s="238" t="str">
        <f t="shared" si="3"/>
        <v>NACIDOS 2014 2015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</row>
    <row r="41" spans="1:32" ht="48" customHeight="1" x14ac:dyDescent="0.45">
      <c r="A41" s="237">
        <v>45564</v>
      </c>
      <c r="B41" s="250" t="s">
        <v>177</v>
      </c>
      <c r="C41" s="253">
        <v>0.61805555555555558</v>
      </c>
      <c r="D41" s="255" t="s">
        <v>122</v>
      </c>
      <c r="E41" s="238">
        <f>+'GRUPO A'!G43</f>
        <v>0</v>
      </c>
      <c r="F41" s="238">
        <f>+'GRUPO A'!I43</f>
        <v>0</v>
      </c>
      <c r="G41" s="238" t="s">
        <v>130</v>
      </c>
      <c r="H41" s="238" t="s">
        <v>183</v>
      </c>
      <c r="I41" s="238" t="str">
        <f t="shared" si="3"/>
        <v>NACIDOS 2014 2015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</row>
    <row r="42" spans="1:32" ht="48" customHeight="1" x14ac:dyDescent="0.45">
      <c r="A42" s="237">
        <v>45564</v>
      </c>
      <c r="B42" s="251" t="s">
        <v>171</v>
      </c>
      <c r="C42" s="253">
        <v>0.60416666666666663</v>
      </c>
      <c r="D42" s="255" t="s">
        <v>121</v>
      </c>
      <c r="E42" s="238">
        <f>+'GRUPO A'!G44</f>
        <v>0</v>
      </c>
      <c r="F42" s="238">
        <f>+'GRUPO A'!I44</f>
        <v>0</v>
      </c>
      <c r="G42" s="238" t="str">
        <f>+K15</f>
        <v xml:space="preserve">  3)  ESCUELA DEPORTIVA FÚTBOL RAQUIRA</v>
      </c>
      <c r="H42" s="238" t="s">
        <v>182</v>
      </c>
      <c r="I42" s="238" t="str">
        <f t="shared" si="3"/>
        <v>NACIDOS 2014 2015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</row>
    <row r="43" spans="1:32" ht="48" customHeight="1" x14ac:dyDescent="0.45">
      <c r="A43" s="237">
        <v>45564</v>
      </c>
      <c r="B43" s="252" t="s">
        <v>170</v>
      </c>
      <c r="C43" s="253">
        <v>0.60416666666666663</v>
      </c>
      <c r="D43" s="255" t="s">
        <v>120</v>
      </c>
      <c r="E43" s="238">
        <f>+'GRUPO A'!G42</f>
        <v>0</v>
      </c>
      <c r="F43" s="238">
        <f>+'GRUPO A'!I42</f>
        <v>0</v>
      </c>
      <c r="G43" s="238" t="str">
        <f>+K14</f>
        <v xml:space="preserve">  2)  CLUB CAMPESTRE IBAGUE</v>
      </c>
      <c r="H43" s="238" t="s">
        <v>181</v>
      </c>
      <c r="I43" s="238" t="str">
        <f t="shared" si="3"/>
        <v>NACIDOS 2014 2015</v>
      </c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</row>
    <row r="44" spans="1:32" ht="48" customHeight="1" x14ac:dyDescent="0.45">
      <c r="A44" s="237">
        <v>45564</v>
      </c>
      <c r="B44" s="251" t="s">
        <v>171</v>
      </c>
      <c r="C44" s="253">
        <v>0.65277777777777779</v>
      </c>
      <c r="D44" s="238" t="str">
        <f>+K17</f>
        <v xml:space="preserve">  1)  BLUEMARTIN F.C .</v>
      </c>
      <c r="E44" s="238">
        <f>+'GRUPO A'!G41</f>
        <v>0</v>
      </c>
      <c r="F44" s="238">
        <f>+'GRUPO A'!I41</f>
        <v>0</v>
      </c>
      <c r="G44" s="255" t="s">
        <v>127</v>
      </c>
      <c r="H44" s="238" t="s">
        <v>180</v>
      </c>
      <c r="I44" s="238" t="str">
        <f t="shared" si="3"/>
        <v>NACIDOS 2014 2015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</row>
    <row r="45" spans="1:32" ht="48" customHeight="1" x14ac:dyDescent="0.45">
      <c r="A45" s="237">
        <v>45564</v>
      </c>
      <c r="B45" s="252" t="s">
        <v>170</v>
      </c>
      <c r="C45" s="253">
        <v>0.65277777777777779</v>
      </c>
      <c r="D45" s="255" t="s">
        <v>82</v>
      </c>
      <c r="E45" s="238">
        <f>+'GRUPO A'!G45</f>
        <v>0</v>
      </c>
      <c r="F45" s="238">
        <f>+'GRUPO A'!I45</f>
        <v>0</v>
      </c>
      <c r="G45" s="238" t="str">
        <f>+K13</f>
        <v xml:space="preserve">  1)  TEMPLO DEL FÚTBOL</v>
      </c>
      <c r="H45" s="238" t="s">
        <v>180</v>
      </c>
      <c r="I45" s="238" t="str">
        <f t="shared" si="3"/>
        <v>NACIDOS 2014 2015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</row>
    <row r="46" spans="1:32" ht="13.2" customHeight="1" x14ac:dyDescent="0.3"/>
  </sheetData>
  <mergeCells count="50">
    <mergeCell ref="A6:I6"/>
    <mergeCell ref="A1:I1"/>
    <mergeCell ref="A2:I2"/>
    <mergeCell ref="A3:I3"/>
    <mergeCell ref="A4:I4"/>
    <mergeCell ref="A5:I5"/>
    <mergeCell ref="B7:I7"/>
    <mergeCell ref="E8:F8"/>
    <mergeCell ref="X16:AG17"/>
    <mergeCell ref="B17:I17"/>
    <mergeCell ref="E18:F18"/>
    <mergeCell ref="Z18:AD18"/>
    <mergeCell ref="AF18:AG18"/>
    <mergeCell ref="Z19:AD19"/>
    <mergeCell ref="AF19:AG19"/>
    <mergeCell ref="Z20:AD20"/>
    <mergeCell ref="AF20:AG20"/>
    <mergeCell ref="Z21:AD21"/>
    <mergeCell ref="AF21:AG21"/>
    <mergeCell ref="B27:I27"/>
    <mergeCell ref="Z27:AD27"/>
    <mergeCell ref="AF27:AG27"/>
    <mergeCell ref="Z22:AD22"/>
    <mergeCell ref="AF22:AG22"/>
    <mergeCell ref="Z23:AD23"/>
    <mergeCell ref="AF23:AG23"/>
    <mergeCell ref="Z24:AD24"/>
    <mergeCell ref="AF24:AG24"/>
    <mergeCell ref="Z30:AD30"/>
    <mergeCell ref="AF30:AG30"/>
    <mergeCell ref="Z25:AD25"/>
    <mergeCell ref="AF25:AG25"/>
    <mergeCell ref="K26:T27"/>
    <mergeCell ref="Z26:AD26"/>
    <mergeCell ref="AF26:AG26"/>
    <mergeCell ref="E28:F28"/>
    <mergeCell ref="Z28:AD28"/>
    <mergeCell ref="AF28:AG28"/>
    <mergeCell ref="Z29:AD29"/>
    <mergeCell ref="AF29:AG29"/>
    <mergeCell ref="Y36:AD36"/>
    <mergeCell ref="AE36:AF36"/>
    <mergeCell ref="B37:I37"/>
    <mergeCell ref="E38:F38"/>
    <mergeCell ref="Y33:AD33"/>
    <mergeCell ref="AE33:AF33"/>
    <mergeCell ref="Y34:AD34"/>
    <mergeCell ref="AE34:AF34"/>
    <mergeCell ref="Y35:AD35"/>
    <mergeCell ref="AE35:AF3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4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K16"/>
  <sheetViews>
    <sheetView zoomScaleNormal="100" workbookViewId="0">
      <selection activeCell="K19" sqref="K19"/>
    </sheetView>
  </sheetViews>
  <sheetFormatPr baseColWidth="10" defaultRowHeight="14.4" x14ac:dyDescent="0.3"/>
  <cols>
    <col min="1" max="1" width="5.109375" style="3" customWidth="1"/>
    <col min="2" max="2" width="8.5546875" customWidth="1"/>
    <col min="3" max="3" width="10" customWidth="1"/>
    <col min="4" max="4" width="13.33203125" customWidth="1"/>
    <col min="5" max="5" width="8.6640625" customWidth="1"/>
    <col min="6" max="6" width="25.33203125" customWidth="1"/>
    <col min="7" max="8" width="11.44140625" hidden="1" customWidth="1"/>
    <col min="9" max="9" width="5" customWidth="1"/>
    <col min="10" max="10" width="5.6640625" customWidth="1"/>
    <col min="11" max="11" width="7.109375" customWidth="1"/>
    <col min="12" max="12" width="5.6640625" customWidth="1"/>
    <col min="13" max="13" width="11.44140625" hidden="1" customWidth="1"/>
    <col min="14" max="14" width="3.88671875" customWidth="1"/>
    <col min="15" max="15" width="25.33203125" customWidth="1"/>
    <col min="16" max="16" width="8.5546875" hidden="1" customWidth="1"/>
    <col min="18" max="18" width="2.88671875" style="3" customWidth="1"/>
    <col min="19" max="19" width="25.33203125" customWidth="1"/>
    <col min="20" max="20" width="3.109375" style="3" customWidth="1"/>
    <col min="21" max="21" width="3" hidden="1" customWidth="1"/>
    <col min="22" max="23" width="11.44140625" style="3"/>
    <col min="24" max="24" width="17.6640625" style="3" customWidth="1"/>
    <col min="25" max="89" width="11.44140625" style="3"/>
  </cols>
  <sheetData>
    <row r="1" spans="1:21" s="3" customFormat="1" ht="34.799999999999997" x14ac:dyDescent="0.3">
      <c r="A1" s="313" t="str">
        <f>+'GRUPOS INFANTIL'!B1</f>
        <v>XVIII Festival Nacional de Fútbol Infantil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3"/>
    </row>
    <row r="2" spans="1:21" s="3" customFormat="1" ht="34.950000000000003" customHeight="1" x14ac:dyDescent="0.3">
      <c r="A2" s="314" t="s">
        <v>6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  <c r="S2" s="314"/>
    </row>
    <row r="3" spans="1:21" s="3" customFormat="1" ht="34.950000000000003" customHeight="1" x14ac:dyDescent="0.7">
      <c r="A3" s="422" t="str">
        <f>+'GRUPOS INFANTIL'!B3</f>
        <v>NACIDOS 2014 2015</v>
      </c>
      <c r="B3" s="422"/>
      <c r="C3" s="422"/>
      <c r="D3" s="422"/>
      <c r="E3" s="422"/>
      <c r="F3" s="422"/>
      <c r="G3" s="422"/>
      <c r="H3" s="422"/>
      <c r="I3" s="422"/>
      <c r="J3" s="422"/>
      <c r="K3" s="422"/>
      <c r="L3" s="422"/>
      <c r="M3" s="422"/>
      <c r="N3" s="422"/>
      <c r="O3" s="422"/>
      <c r="P3" s="422"/>
      <c r="Q3" s="422"/>
      <c r="R3" s="422"/>
      <c r="S3" s="422"/>
    </row>
    <row r="4" spans="1:21" s="3" customFormat="1" ht="34.950000000000003" customHeight="1" x14ac:dyDescent="0.45">
      <c r="A4" s="423" t="str">
        <f>+'GRUPOS INFANTIL'!B4</f>
        <v>SEPTIEMBRE 28 Y 29 DEL 2024</v>
      </c>
      <c r="B4" s="423"/>
      <c r="C4" s="423"/>
      <c r="D4" s="423"/>
      <c r="E4" s="423"/>
      <c r="F4" s="423"/>
      <c r="G4" s="423"/>
      <c r="H4" s="423"/>
      <c r="I4" s="423"/>
      <c r="J4" s="423"/>
      <c r="K4" s="423"/>
      <c r="L4" s="423"/>
      <c r="M4" s="423"/>
      <c r="N4" s="423"/>
      <c r="O4" s="423"/>
      <c r="P4" s="423"/>
      <c r="Q4" s="423"/>
      <c r="R4" s="423"/>
      <c r="S4" s="423"/>
    </row>
    <row r="5" spans="1:21" s="3" customFormat="1" ht="38.25" customHeight="1" x14ac:dyDescent="0.3">
      <c r="B5" s="208" t="s">
        <v>20</v>
      </c>
      <c r="F5" s="147"/>
      <c r="G5" s="47"/>
      <c r="H5" s="47"/>
      <c r="I5" s="47"/>
      <c r="K5" s="47"/>
      <c r="L5" s="47"/>
      <c r="M5" s="47"/>
      <c r="N5" s="47"/>
      <c r="O5" s="47"/>
      <c r="P5" s="47"/>
      <c r="Q5" s="47"/>
    </row>
    <row r="6" spans="1:21" s="3" customFormat="1" x14ac:dyDescent="0.3">
      <c r="B6" s="48" t="s">
        <v>17</v>
      </c>
      <c r="P6" s="48"/>
    </row>
    <row r="7" spans="1:21" ht="23.4" x14ac:dyDescent="0.45">
      <c r="A7" s="18"/>
      <c r="B7" s="419" t="s">
        <v>20</v>
      </c>
      <c r="C7" s="420"/>
      <c r="D7" s="420"/>
      <c r="E7" s="420"/>
      <c r="F7" s="420"/>
      <c r="G7" s="320"/>
      <c r="H7" s="320"/>
      <c r="I7" s="320"/>
      <c r="J7" s="320"/>
      <c r="K7" s="320"/>
      <c r="L7" s="320"/>
      <c r="M7" s="320"/>
      <c r="N7" s="320"/>
      <c r="O7" s="320"/>
      <c r="P7" s="320"/>
      <c r="Q7" s="421"/>
      <c r="R7" s="18"/>
      <c r="S7" s="16" t="s">
        <v>18</v>
      </c>
    </row>
    <row r="8" spans="1:21" x14ac:dyDescent="0.3">
      <c r="B8" s="129"/>
      <c r="C8" s="131"/>
      <c r="D8" s="125"/>
      <c r="E8" s="132"/>
      <c r="F8" s="125"/>
      <c r="G8" s="7"/>
      <c r="H8" s="7"/>
      <c r="I8" s="7"/>
      <c r="J8" s="7"/>
      <c r="K8" s="7"/>
      <c r="L8" s="7"/>
      <c r="M8" s="7"/>
      <c r="N8" s="7"/>
      <c r="O8" s="7"/>
      <c r="P8" s="7"/>
      <c r="Q8" s="6"/>
    </row>
    <row r="9" spans="1:21" ht="15.75" customHeight="1" x14ac:dyDescent="0.3">
      <c r="B9" s="409">
        <v>42814</v>
      </c>
      <c r="C9" s="410" t="s">
        <v>44</v>
      </c>
      <c r="D9" s="410" t="s">
        <v>111</v>
      </c>
      <c r="E9" s="126"/>
      <c r="F9" s="412" t="e">
        <f>+'GRUPO A'!$W$34</f>
        <v>#N/A</v>
      </c>
      <c r="G9" s="417" t="str">
        <f>IF(AND(J9&lt;&gt;"",L9&lt;&gt;""),IF(J9=L9,"E",IF(J9&gt;L9,"G","P")),"")</f>
        <v>G</v>
      </c>
      <c r="H9" s="9"/>
      <c r="I9" s="9"/>
      <c r="J9" s="272">
        <v>2</v>
      </c>
      <c r="K9" s="274" t="s">
        <v>15</v>
      </c>
      <c r="L9" s="272">
        <v>0</v>
      </c>
      <c r="M9" s="418" t="str">
        <f>IF(AND(L9&lt;&gt;"",J9&lt;&gt;""),IF(L9=J9,"E",IF(L9&gt;J9,"G","P")),"")</f>
        <v>P</v>
      </c>
      <c r="N9" s="212"/>
      <c r="O9" s="412" t="str">
        <f>+'GRUPO B'!$W$35</f>
        <v>CLUB CAMPESTRE IBAGUE</v>
      </c>
      <c r="P9" s="10" t="s">
        <v>27</v>
      </c>
      <c r="Q9" s="413" t="s">
        <v>38</v>
      </c>
      <c r="S9" s="411" t="e">
        <f>IF(OR(G9="E",G9=""),"",IF(G9="G",F9,O9))</f>
        <v>#N/A</v>
      </c>
      <c r="U9" s="416" t="str">
        <f>IF(OR(G9="E",G9=""),"",IF(G9="P",F9,O9))</f>
        <v>CLUB CAMPESTRE IBAGUE</v>
      </c>
    </row>
    <row r="10" spans="1:21" x14ac:dyDescent="0.3">
      <c r="B10" s="409"/>
      <c r="C10" s="410"/>
      <c r="D10" s="410"/>
      <c r="E10" s="126"/>
      <c r="F10" s="412"/>
      <c r="G10" s="417"/>
      <c r="H10" s="9"/>
      <c r="I10" s="9"/>
      <c r="J10" s="273"/>
      <c r="K10" s="274"/>
      <c r="L10" s="273"/>
      <c r="M10" s="418"/>
      <c r="N10" s="212"/>
      <c r="O10" s="412"/>
      <c r="P10" s="10"/>
      <c r="Q10" s="413"/>
      <c r="S10" s="411"/>
      <c r="U10" s="416"/>
    </row>
    <row r="11" spans="1:21" x14ac:dyDescent="0.3">
      <c r="B11" s="130"/>
      <c r="C11" s="126"/>
      <c r="D11" s="126"/>
      <c r="E11" s="126"/>
      <c r="F11" s="126"/>
      <c r="G11" s="40"/>
      <c r="H11" s="8"/>
      <c r="I11" s="8"/>
      <c r="J11" s="37"/>
      <c r="K11" s="13"/>
      <c r="L11" s="37"/>
      <c r="M11" s="8"/>
      <c r="N11" s="8"/>
      <c r="O11" s="126"/>
      <c r="P11" s="11"/>
      <c r="Q11" s="50"/>
      <c r="S11" s="31"/>
    </row>
    <row r="12" spans="1:21" x14ac:dyDescent="0.3">
      <c r="B12" s="409">
        <v>42814</v>
      </c>
      <c r="C12" s="410" t="s">
        <v>45</v>
      </c>
      <c r="D12" s="410" t="s">
        <v>112</v>
      </c>
      <c r="E12" s="126"/>
      <c r="F12" s="412" t="str">
        <f>+'GRUPO B'!$W$34</f>
        <v>TEMPLO DEL FÚTBOL</v>
      </c>
      <c r="G12" s="417" t="str">
        <f>IF(AND(J12&lt;&gt;"",L12&lt;&gt;""),IF(J12=L12,"E",IF(J12&gt;L12,"G","P")),"")</f>
        <v>G</v>
      </c>
      <c r="H12" s="9"/>
      <c r="I12" s="415">
        <v>4</v>
      </c>
      <c r="J12" s="272">
        <v>1</v>
      </c>
      <c r="K12" s="274" t="s">
        <v>15</v>
      </c>
      <c r="L12" s="272">
        <v>0</v>
      </c>
      <c r="M12" s="418" t="str">
        <f>IF(AND(L12&lt;&gt;"",J12&lt;&gt;""),IF(L12=J12,"E",IF(L12&gt;J12,"G","P")),"")</f>
        <v>P</v>
      </c>
      <c r="N12" s="414">
        <v>3</v>
      </c>
      <c r="O12" s="412" t="e">
        <f>+'GRUPO A'!$W$35</f>
        <v>#N/A</v>
      </c>
      <c r="P12" s="12" t="s">
        <v>27</v>
      </c>
      <c r="Q12" s="413" t="s">
        <v>38</v>
      </c>
      <c r="S12" s="411" t="str">
        <f>IF(OR(G12="E",G12=""),"",IF(G12="G",F12,O12))</f>
        <v>TEMPLO DEL FÚTBOL</v>
      </c>
      <c r="U12" s="416" t="e">
        <f>IF(OR(G12="E",G12=""),"",IF(G12="P",F12,O12))</f>
        <v>#N/A</v>
      </c>
    </row>
    <row r="13" spans="1:21" x14ac:dyDescent="0.3">
      <c r="B13" s="409"/>
      <c r="C13" s="410"/>
      <c r="D13" s="410"/>
      <c r="E13" s="126"/>
      <c r="F13" s="412"/>
      <c r="G13" s="417"/>
      <c r="H13" s="9"/>
      <c r="I13" s="415"/>
      <c r="J13" s="273"/>
      <c r="K13" s="274"/>
      <c r="L13" s="273"/>
      <c r="M13" s="418"/>
      <c r="N13" s="414"/>
      <c r="O13" s="412"/>
      <c r="P13" s="12"/>
      <c r="Q13" s="413"/>
      <c r="S13" s="411"/>
      <c r="U13" s="416"/>
    </row>
    <row r="14" spans="1:21" x14ac:dyDescent="0.3">
      <c r="B14" s="127"/>
      <c r="C14" s="128"/>
      <c r="D14" s="128"/>
      <c r="E14" s="128"/>
      <c r="F14" s="128"/>
      <c r="G14" s="42"/>
      <c r="H14" s="30"/>
      <c r="I14" s="30"/>
      <c r="J14" s="30"/>
      <c r="K14" s="30"/>
      <c r="L14" s="30"/>
      <c r="M14" s="30"/>
      <c r="N14" s="30"/>
      <c r="O14" s="30"/>
      <c r="P14" s="30"/>
      <c r="Q14" s="29"/>
    </row>
    <row r="15" spans="1:21" s="3" customFormat="1" x14ac:dyDescent="0.3"/>
    <row r="16" spans="1:21" s="3" customFormat="1" ht="21.75" customHeight="1" x14ac:dyDescent="0.85">
      <c r="G16" s="97"/>
      <c r="H16" s="97"/>
      <c r="I16" s="97"/>
    </row>
  </sheetData>
  <mergeCells count="33">
    <mergeCell ref="A1:S1"/>
    <mergeCell ref="B7:Q7"/>
    <mergeCell ref="G9:G10"/>
    <mergeCell ref="J9:J10"/>
    <mergeCell ref="K9:K10"/>
    <mergeCell ref="L9:L10"/>
    <mergeCell ref="M9:M10"/>
    <mergeCell ref="Q9:Q10"/>
    <mergeCell ref="B9:B10"/>
    <mergeCell ref="C9:C10"/>
    <mergeCell ref="D9:D10"/>
    <mergeCell ref="F9:F10"/>
    <mergeCell ref="O9:O10"/>
    <mergeCell ref="A2:S2"/>
    <mergeCell ref="A3:S3"/>
    <mergeCell ref="A4:S4"/>
    <mergeCell ref="U9:U10"/>
    <mergeCell ref="S9:S10"/>
    <mergeCell ref="U12:U13"/>
    <mergeCell ref="F12:F13"/>
    <mergeCell ref="G12:G13"/>
    <mergeCell ref="J12:J13"/>
    <mergeCell ref="K12:K13"/>
    <mergeCell ref="L12:L13"/>
    <mergeCell ref="M12:M13"/>
    <mergeCell ref="B12:B13"/>
    <mergeCell ref="C12:C13"/>
    <mergeCell ref="D12:D13"/>
    <mergeCell ref="S12:S13"/>
    <mergeCell ref="O12:O13"/>
    <mergeCell ref="Q12:Q13"/>
    <mergeCell ref="N12:N13"/>
    <mergeCell ref="I12:I13"/>
  </mergeCells>
  <conditionalFormatting sqref="J9:J10 J12:J13">
    <cfRule type="expression" dxfId="215" priority="22" stopIfTrue="1">
      <formula>G9="P"</formula>
    </cfRule>
    <cfRule type="expression" dxfId="214" priority="23" stopIfTrue="1">
      <formula>G9="E"</formula>
    </cfRule>
    <cfRule type="expression" dxfId="213" priority="24" stopIfTrue="1">
      <formula>G9="G"</formula>
    </cfRule>
  </conditionalFormatting>
  <conditionalFormatting sqref="L9:L10 L12:L13">
    <cfRule type="expression" dxfId="212" priority="19" stopIfTrue="1">
      <formula>M9="P"</formula>
    </cfRule>
    <cfRule type="expression" dxfId="211" priority="20" stopIfTrue="1">
      <formula>M9="E"</formula>
    </cfRule>
    <cfRule type="expression" dxfId="210" priority="21" stopIfTrue="1">
      <formula>M9="G"</formula>
    </cfRule>
  </conditionalFormatting>
  <printOptions verticalCentered="1"/>
  <pageMargins left="0" right="0.31496062992125984" top="0.35433070866141736" bottom="0.35433070866141736" header="0" footer="0"/>
  <pageSetup scale="79" orientation="landscape" r:id="rId1"/>
  <rowBreaks count="1" manualBreakCount="1">
    <brk id="17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2"/>
  <sheetViews>
    <sheetView zoomScale="90" zoomScaleNormal="90" workbookViewId="0">
      <selection sqref="A1:Q23"/>
    </sheetView>
  </sheetViews>
  <sheetFormatPr baseColWidth="10" defaultColWidth="11.44140625" defaultRowHeight="14.4" x14ac:dyDescent="0.3"/>
  <cols>
    <col min="1" max="1" width="5.109375" style="3" customWidth="1"/>
    <col min="2" max="2" width="11.44140625" style="3"/>
    <col min="3" max="3" width="10" style="3" customWidth="1"/>
    <col min="4" max="4" width="13.33203125" style="3" customWidth="1"/>
    <col min="5" max="5" width="0" style="3" hidden="1" customWidth="1"/>
    <col min="6" max="6" width="8.6640625" style="3" hidden="1" customWidth="1"/>
    <col min="7" max="7" width="0" style="3" hidden="1" customWidth="1"/>
    <col min="8" max="8" width="25.33203125" style="3" customWidth="1"/>
    <col min="9" max="9" width="5.6640625" style="3" customWidth="1"/>
    <col min="10" max="10" width="7.109375" style="3" customWidth="1"/>
    <col min="11" max="11" width="5.6640625" style="3" customWidth="1"/>
    <col min="12" max="12" width="0" style="3" hidden="1" customWidth="1"/>
    <col min="13" max="13" width="25.33203125" style="3" customWidth="1"/>
    <col min="14" max="14" width="0" style="3" hidden="1" customWidth="1"/>
    <col min="15" max="15" width="11.44140625" style="3"/>
    <col min="16" max="16" width="2.88671875" style="3" customWidth="1"/>
    <col min="17" max="17" width="26.88671875" style="3" customWidth="1"/>
    <col min="18" max="18" width="3.33203125" style="3" customWidth="1"/>
    <col min="19" max="16384" width="11.44140625" style="3"/>
  </cols>
  <sheetData>
    <row r="1" spans="1:18" ht="34.799999999999997" x14ac:dyDescent="0.3">
      <c r="A1" s="313" t="str">
        <f>+DEFINICION!A1</f>
        <v>XVIII Festival Nacional de Fútbol Infantil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</row>
    <row r="2" spans="1:18" ht="24.6" x14ac:dyDescent="0.3">
      <c r="A2" s="314" t="str">
        <f>+DEFINICION!A2</f>
        <v>“COPA FUTURO TALENTO”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  <c r="O2" s="314"/>
      <c r="P2" s="314"/>
      <c r="Q2" s="314"/>
    </row>
    <row r="3" spans="1:18" ht="30.6" customHeight="1" x14ac:dyDescent="0.3">
      <c r="A3" s="437" t="str">
        <f>+'GRUPOS INFANTIL'!B3</f>
        <v>NACIDOS 2014 2015</v>
      </c>
      <c r="B3" s="437"/>
      <c r="C3" s="437"/>
      <c r="D3" s="437"/>
      <c r="E3" s="437"/>
      <c r="F3" s="437"/>
      <c r="G3" s="437"/>
      <c r="H3" s="437"/>
      <c r="I3" s="437"/>
      <c r="J3" s="437"/>
      <c r="K3" s="437"/>
      <c r="L3" s="437"/>
      <c r="M3" s="437"/>
      <c r="N3" s="437"/>
      <c r="O3" s="437"/>
      <c r="P3" s="437"/>
      <c r="Q3" s="437"/>
    </row>
    <row r="4" spans="1:18" ht="24" customHeight="1" x14ac:dyDescent="0.3">
      <c r="A4" s="438" t="str">
        <f>+'GRUPOS INFANTIL'!B4</f>
        <v>SEPTIEMBRE 28 Y 29 DEL 2024</v>
      </c>
      <c r="B4" s="438"/>
      <c r="C4" s="438"/>
      <c r="D4" s="438"/>
      <c r="E4" s="438"/>
      <c r="F4" s="438"/>
      <c r="G4" s="438"/>
      <c r="H4" s="438"/>
      <c r="I4" s="438"/>
      <c r="J4" s="438"/>
      <c r="K4" s="438"/>
      <c r="L4" s="438"/>
      <c r="M4" s="438"/>
      <c r="N4" s="438"/>
      <c r="O4" s="438"/>
      <c r="P4" s="438"/>
      <c r="Q4" s="438"/>
    </row>
    <row r="5" spans="1:18" ht="37.5" customHeight="1" x14ac:dyDescent="0.3">
      <c r="B5" s="209" t="s">
        <v>26</v>
      </c>
      <c r="L5" s="46"/>
    </row>
    <row r="6" spans="1:18" ht="15" customHeight="1" x14ac:dyDescent="0.3">
      <c r="B6" s="48" t="s">
        <v>17</v>
      </c>
      <c r="C6"/>
      <c r="D6"/>
      <c r="E6"/>
      <c r="F6"/>
      <c r="G6"/>
      <c r="H6"/>
      <c r="I6"/>
      <c r="J6"/>
      <c r="K6" s="47"/>
      <c r="L6" s="47"/>
      <c r="M6" s="47"/>
      <c r="N6" s="47"/>
      <c r="O6" s="47"/>
      <c r="P6" s="47"/>
      <c r="Q6" s="47"/>
      <c r="R6" s="47"/>
    </row>
    <row r="7" spans="1:18" ht="18" x14ac:dyDescent="0.3">
      <c r="B7" s="445" t="s">
        <v>21</v>
      </c>
      <c r="C7" s="446"/>
      <c r="D7" s="446"/>
      <c r="E7" s="446"/>
      <c r="F7" s="447"/>
      <c r="G7" s="447"/>
      <c r="H7" s="447"/>
      <c r="I7" s="447"/>
      <c r="J7" s="447"/>
      <c r="K7" s="447"/>
      <c r="L7" s="447"/>
      <c r="M7" s="447"/>
      <c r="N7" s="447"/>
      <c r="O7" s="448"/>
      <c r="Q7" s="33" t="s">
        <v>22</v>
      </c>
    </row>
    <row r="8" spans="1:18" ht="15" customHeight="1" x14ac:dyDescent="0.3">
      <c r="B8" s="44"/>
      <c r="C8" s="44"/>
      <c r="D8" s="7"/>
      <c r="E8" s="40"/>
      <c r="F8" s="7"/>
      <c r="G8" s="7"/>
      <c r="H8" s="7"/>
      <c r="I8" s="7"/>
      <c r="J8" s="7"/>
      <c r="K8" s="7"/>
      <c r="L8" s="7"/>
      <c r="M8" s="7"/>
      <c r="N8" s="7"/>
      <c r="O8" s="6"/>
      <c r="Q8" s="442" t="str">
        <f>IF(OR(G9="E",G9=""),"",IF(G9="G",H9,M9))</f>
        <v/>
      </c>
    </row>
    <row r="9" spans="1:18" ht="15" customHeight="1" x14ac:dyDescent="0.3">
      <c r="B9" s="434">
        <v>42814</v>
      </c>
      <c r="C9" s="122"/>
      <c r="D9" s="424" t="s">
        <v>113</v>
      </c>
      <c r="E9" s="43"/>
      <c r="G9" s="418" t="str">
        <f>IF(AND(I9&lt;&gt;"",K9&lt;&gt;""),IF(I9=K9,"E",IF(I9&gt;K9,"G","P")),"")</f>
        <v>E</v>
      </c>
      <c r="H9" s="349" t="str">
        <f>+DEFINICION!U9</f>
        <v>CLUB CAMPESTRE IBAGUE</v>
      </c>
      <c r="I9" s="272" t="s">
        <v>36</v>
      </c>
      <c r="J9" s="324" t="s">
        <v>15</v>
      </c>
      <c r="K9" s="272" t="s">
        <v>36</v>
      </c>
      <c r="L9" s="418" t="str">
        <f>IF(AND(K9&lt;&gt;"",I9&lt;&gt;""),IF(K9=I9,"E",IF(K9&gt;I9,"G","P")),"")</f>
        <v>E</v>
      </c>
      <c r="M9" s="349" t="e">
        <f>+DEFINICION!U12</f>
        <v>#N/A</v>
      </c>
      <c r="N9" s="10"/>
      <c r="O9" s="413" t="s">
        <v>38</v>
      </c>
      <c r="Q9" s="443"/>
    </row>
    <row r="10" spans="1:18" ht="15" customHeight="1" x14ac:dyDescent="0.3">
      <c r="B10" s="434"/>
      <c r="C10" s="122"/>
      <c r="D10" s="424"/>
      <c r="E10" s="43"/>
      <c r="G10" s="418"/>
      <c r="H10" s="349"/>
      <c r="I10" s="273"/>
      <c r="J10" s="324"/>
      <c r="K10" s="273"/>
      <c r="L10" s="418"/>
      <c r="M10" s="349"/>
      <c r="N10" s="10"/>
      <c r="O10" s="413"/>
      <c r="Q10" s="443"/>
    </row>
    <row r="11" spans="1:18" x14ac:dyDescent="0.3">
      <c r="B11" s="121"/>
      <c r="C11" s="121"/>
      <c r="D11" s="30"/>
      <c r="E11" s="30"/>
      <c r="F11" s="30"/>
      <c r="G11" s="30"/>
      <c r="H11" s="30"/>
      <c r="I11" s="30"/>
      <c r="J11" s="30"/>
      <c r="K11" s="39"/>
      <c r="L11" s="30"/>
      <c r="M11" s="30"/>
      <c r="N11" s="30"/>
      <c r="O11" s="29"/>
      <c r="Q11" s="444"/>
    </row>
    <row r="13" spans="1:18" ht="21" x14ac:dyDescent="0.3">
      <c r="B13" s="431" t="s">
        <v>23</v>
      </c>
      <c r="C13" s="432"/>
      <c r="D13" s="432"/>
      <c r="E13" s="432"/>
      <c r="F13" s="432"/>
      <c r="G13" s="432"/>
      <c r="H13" s="432"/>
      <c r="I13" s="432"/>
      <c r="J13" s="432"/>
      <c r="K13" s="432"/>
      <c r="L13" s="432"/>
      <c r="M13" s="432"/>
      <c r="N13" s="432"/>
      <c r="O13" s="433"/>
      <c r="Q13" s="34" t="s">
        <v>24</v>
      </c>
    </row>
    <row r="14" spans="1:18" ht="15" customHeight="1" x14ac:dyDescent="0.3">
      <c r="B14" s="6"/>
      <c r="C14" s="44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6"/>
      <c r="Q14" s="439" t="str">
        <f>IF(OR(G15="E",G15=""),"",IF(G15="P",H15,M15))</f>
        <v/>
      </c>
    </row>
    <row r="15" spans="1:18" ht="15" customHeight="1" x14ac:dyDescent="0.3">
      <c r="B15" s="434">
        <v>42814</v>
      </c>
      <c r="C15" s="122"/>
      <c r="D15" s="424" t="s">
        <v>114</v>
      </c>
      <c r="E15" s="32"/>
      <c r="G15" s="418" t="str">
        <f>IF(AND(I15&lt;&gt;"",K15&lt;&gt;""),IF(I15=K15,"E",IF(I15&gt;K15,"G","P")),"")</f>
        <v>E</v>
      </c>
      <c r="H15" s="349" t="e">
        <f>+DEFINICION!S9</f>
        <v>#N/A</v>
      </c>
      <c r="I15" s="272" t="s">
        <v>86</v>
      </c>
      <c r="J15" s="324" t="s">
        <v>15</v>
      </c>
      <c r="K15" s="272" t="s">
        <v>86</v>
      </c>
      <c r="L15" s="418" t="str">
        <f>IF(AND(K15&lt;&gt;"",I15&lt;&gt;""),IF(K15=I15,"E",IF(K15&gt;I15,"G","P")),"")</f>
        <v>E</v>
      </c>
      <c r="M15" s="349" t="str">
        <f>+DEFINICION!S12</f>
        <v>TEMPLO DEL FÚTBOL</v>
      </c>
      <c r="N15" s="435"/>
      <c r="O15" s="413" t="s">
        <v>38</v>
      </c>
      <c r="Q15" s="440"/>
    </row>
    <row r="16" spans="1:18" ht="15" customHeight="1" x14ac:dyDescent="0.3">
      <c r="B16" s="434"/>
      <c r="C16" s="122"/>
      <c r="D16" s="424"/>
      <c r="E16" s="32"/>
      <c r="G16" s="418"/>
      <c r="H16" s="349"/>
      <c r="I16" s="273"/>
      <c r="J16" s="324"/>
      <c r="K16" s="273"/>
      <c r="L16" s="418"/>
      <c r="M16" s="349"/>
      <c r="N16" s="435"/>
      <c r="O16" s="413"/>
      <c r="Q16" s="440"/>
    </row>
    <row r="17" spans="2:17" x14ac:dyDescent="0.3">
      <c r="B17" s="29"/>
      <c r="C17" s="121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29"/>
      <c r="Q17" s="441"/>
    </row>
    <row r="19" spans="2:17" x14ac:dyDescent="0.3">
      <c r="C19" s="436" t="s">
        <v>25</v>
      </c>
      <c r="D19" s="436"/>
      <c r="E19" s="436"/>
      <c r="F19" s="436"/>
      <c r="G19" s="436"/>
      <c r="H19" s="436"/>
      <c r="I19" s="436"/>
      <c r="J19" s="436"/>
      <c r="K19" s="436"/>
      <c r="L19" s="436"/>
      <c r="M19" s="436"/>
      <c r="N19" s="436"/>
    </row>
    <row r="20" spans="2:17" x14ac:dyDescent="0.3">
      <c r="C20" s="436"/>
      <c r="D20" s="436"/>
      <c r="E20" s="436"/>
      <c r="F20" s="436"/>
      <c r="G20" s="436"/>
      <c r="H20" s="436"/>
      <c r="I20" s="436"/>
      <c r="J20" s="436"/>
      <c r="K20" s="436"/>
      <c r="L20" s="436"/>
      <c r="M20" s="436"/>
      <c r="N20" s="436"/>
    </row>
    <row r="21" spans="2:17" x14ac:dyDescent="0.3">
      <c r="C21" s="425" t="str">
        <f>IF(OR(G15="E",G15=""),"",IF(G15="G",H15,M15))</f>
        <v/>
      </c>
      <c r="D21" s="426"/>
      <c r="E21" s="426"/>
      <c r="F21" s="426"/>
      <c r="G21" s="426"/>
      <c r="H21" s="426"/>
      <c r="I21" s="426"/>
      <c r="J21" s="426"/>
      <c r="K21" s="426"/>
      <c r="L21" s="426"/>
      <c r="M21" s="426"/>
      <c r="N21" s="427"/>
    </row>
    <row r="22" spans="2:17" ht="33.75" customHeight="1" x14ac:dyDescent="0.3">
      <c r="C22" s="428"/>
      <c r="D22" s="429"/>
      <c r="E22" s="429"/>
      <c r="F22" s="429"/>
      <c r="G22" s="429"/>
      <c r="H22" s="429"/>
      <c r="I22" s="429"/>
      <c r="J22" s="429"/>
      <c r="K22" s="429"/>
      <c r="L22" s="429"/>
      <c r="M22" s="429"/>
      <c r="N22" s="430"/>
    </row>
  </sheetData>
  <mergeCells count="31">
    <mergeCell ref="A1:Q1"/>
    <mergeCell ref="A2:Q2"/>
    <mergeCell ref="A3:Q3"/>
    <mergeCell ref="A4:Q4"/>
    <mergeCell ref="D15:D16"/>
    <mergeCell ref="Q14:Q17"/>
    <mergeCell ref="Q8:Q11"/>
    <mergeCell ref="K9:K10"/>
    <mergeCell ref="B7:O7"/>
    <mergeCell ref="G9:G10"/>
    <mergeCell ref="I9:I10"/>
    <mergeCell ref="J9:J10"/>
    <mergeCell ref="H9:H10"/>
    <mergeCell ref="M9:M10"/>
    <mergeCell ref="B9:B10"/>
    <mergeCell ref="O9:O10"/>
    <mergeCell ref="D9:D10"/>
    <mergeCell ref="L9:L10"/>
    <mergeCell ref="M15:M16"/>
    <mergeCell ref="C21:N22"/>
    <mergeCell ref="B13:O13"/>
    <mergeCell ref="B15:B16"/>
    <mergeCell ref="H15:H16"/>
    <mergeCell ref="G15:G16"/>
    <mergeCell ref="I15:I16"/>
    <mergeCell ref="J15:J16"/>
    <mergeCell ref="K15:K16"/>
    <mergeCell ref="L15:L16"/>
    <mergeCell ref="N15:N16"/>
    <mergeCell ref="O15:O16"/>
    <mergeCell ref="C19:N20"/>
  </mergeCells>
  <conditionalFormatting sqref="I9:I10">
    <cfRule type="expression" dxfId="209" priority="4" stopIfTrue="1">
      <formula>G9="P"</formula>
    </cfRule>
    <cfRule type="expression" dxfId="208" priority="5" stopIfTrue="1">
      <formula>G9="E"</formula>
    </cfRule>
    <cfRule type="expression" dxfId="207" priority="6" stopIfTrue="1">
      <formula>G9="G"</formula>
    </cfRule>
  </conditionalFormatting>
  <conditionalFormatting sqref="I15:I16">
    <cfRule type="expression" dxfId="206" priority="1" stopIfTrue="1">
      <formula>G15="P"</formula>
    </cfRule>
    <cfRule type="expression" dxfId="205" priority="2" stopIfTrue="1">
      <formula>G15="E"</formula>
    </cfRule>
    <cfRule type="expression" dxfId="204" priority="3" stopIfTrue="1">
      <formula>G15="G"</formula>
    </cfRule>
  </conditionalFormatting>
  <conditionalFormatting sqref="K9:K10">
    <cfRule type="expression" dxfId="203" priority="7" stopIfTrue="1">
      <formula>L9="P"</formula>
    </cfRule>
    <cfRule type="expression" dxfId="202" priority="8" stopIfTrue="1">
      <formula>L9="E"</formula>
    </cfRule>
    <cfRule type="expression" dxfId="201" priority="9" stopIfTrue="1">
      <formula>L9="G"</formula>
    </cfRule>
  </conditionalFormatting>
  <conditionalFormatting sqref="K15:K16">
    <cfRule type="expression" dxfId="200" priority="10" stopIfTrue="1">
      <formula>L15="P"</formula>
    </cfRule>
    <cfRule type="expression" dxfId="199" priority="11" stopIfTrue="1">
      <formula>L15="E"</formula>
    </cfRule>
    <cfRule type="expression" dxfId="198" priority="12" stopIfTrue="1">
      <formula>L15="G"</formula>
    </cfRule>
  </conditionalFormatting>
  <printOptions verticalCentered="1"/>
  <pageMargins left="0" right="0" top="0.74803149606299213" bottom="0.35433070866141736" header="0" footer="0"/>
  <pageSetup scale="8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O49"/>
  <sheetViews>
    <sheetView zoomScaleNormal="100" zoomScaleSheetLayoutView="100" workbookViewId="0">
      <selection activeCell="A5" sqref="A5"/>
    </sheetView>
  </sheetViews>
  <sheetFormatPr baseColWidth="10" defaultRowHeight="14.4" x14ac:dyDescent="0.3"/>
  <cols>
    <col min="1" max="1" width="12.109375" customWidth="1"/>
    <col min="2" max="2" width="22.88671875" customWidth="1"/>
    <col min="3" max="3" width="1.44140625" customWidth="1"/>
    <col min="4" max="4" width="22.88671875" customWidth="1"/>
    <col min="5" max="5" width="1.44140625" customWidth="1"/>
    <col min="6" max="6" width="0" hidden="1" customWidth="1"/>
    <col min="7" max="7" width="5.6640625" customWidth="1"/>
    <col min="8" max="8" width="4.109375" customWidth="1"/>
    <col min="9" max="9" width="5.6640625" customWidth="1"/>
    <col min="10" max="10" width="17.109375" hidden="1" customWidth="1"/>
    <col min="11" max="11" width="7" customWidth="1"/>
    <col min="12" max="12" width="0" hidden="1" customWidth="1"/>
    <col min="13" max="13" width="1.44140625" customWidth="1"/>
    <col min="14" max="14" width="22.88671875" customWidth="1"/>
    <col min="15" max="15" width="15.6640625" customWidth="1"/>
  </cols>
  <sheetData>
    <row r="1" spans="1:15" s="3" customFormat="1" ht="40.5" customHeight="1" x14ac:dyDescent="0.75">
      <c r="A1" s="457" t="s">
        <v>5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</row>
    <row r="2" spans="1:15" s="3" customFormat="1" ht="23.25" customHeight="1" x14ac:dyDescent="0.5">
      <c r="A2" s="365" t="s">
        <v>6</v>
      </c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</row>
    <row r="3" spans="1:15" s="3" customFormat="1" ht="9.75" customHeight="1" x14ac:dyDescent="0.3">
      <c r="N3" s="101"/>
      <c r="O3" s="101"/>
    </row>
    <row r="4" spans="1:15" s="3" customFormat="1" ht="25.5" customHeight="1" x14ac:dyDescent="0.5">
      <c r="B4" s="135" t="str">
        <f>+'GRUPOS INFANTIL'!B6</f>
        <v>GRUPO A</v>
      </c>
      <c r="C4" s="139"/>
      <c r="D4" s="137" t="str">
        <f>+'GRUPOS INFANTIL'!D6</f>
        <v>GRUPO B</v>
      </c>
      <c r="E4" s="118"/>
      <c r="F4" s="118"/>
      <c r="G4" s="461" t="str">
        <f>+'GRUPOS INFANTIL'!F6</f>
        <v>GRUPO C</v>
      </c>
      <c r="H4" s="461"/>
      <c r="I4" s="461"/>
      <c r="J4" s="461"/>
      <c r="K4" s="461"/>
      <c r="N4" s="142" t="e">
        <f>+'GRUPOS INFANTIL'!#REF!</f>
        <v>#REF!</v>
      </c>
    </row>
    <row r="5" spans="1:15" s="3" customFormat="1" ht="45" customHeight="1" x14ac:dyDescent="0.3">
      <c r="B5" s="136" t="str">
        <f>+'GRUPOS INFANTIL'!B7</f>
        <v>AJAX AIMARA</v>
      </c>
      <c r="C5" s="140"/>
      <c r="D5" s="141" t="str">
        <f>+'GRUPOS INFANTIL'!D7</f>
        <v>ESCUELA DEPORTIVA FÚTBOL RAQUIRA</v>
      </c>
      <c r="E5" s="35"/>
      <c r="F5" s="35"/>
      <c r="G5" s="460" t="str">
        <f>+'GRUPOS INFANTIL'!F7</f>
        <v>BLUEMARTIN F.C .</v>
      </c>
      <c r="H5" s="460"/>
      <c r="I5" s="460"/>
      <c r="J5" s="460"/>
      <c r="K5" s="460"/>
      <c r="L5" s="35"/>
      <c r="M5" s="35"/>
      <c r="N5" s="143" t="e">
        <f>+'GRUPOS INFANTIL'!#REF!</f>
        <v>#REF!</v>
      </c>
    </row>
    <row r="6" spans="1:15" s="3" customFormat="1" ht="45" customHeight="1" x14ac:dyDescent="0.3">
      <c r="B6" s="136" t="str">
        <f>+'GRUPOS INFANTIL'!B8</f>
        <v>CLUB DEPORTIVO OS FUTSAL</v>
      </c>
      <c r="C6" s="140"/>
      <c r="D6" s="141" t="str">
        <f>+'GRUPOS INFANTIL'!D8</f>
        <v>TEMPLO DEL FÚTBOL</v>
      </c>
      <c r="E6" s="35"/>
      <c r="F6" s="35"/>
      <c r="G6" s="460" t="str">
        <f>+'GRUPOS INFANTIL'!F8</f>
        <v>EIFD TESOROS SPORTS</v>
      </c>
      <c r="H6" s="460"/>
      <c r="I6" s="460"/>
      <c r="J6" s="460"/>
      <c r="K6" s="460"/>
      <c r="L6" s="35"/>
      <c r="M6" s="35"/>
      <c r="N6" s="143" t="e">
        <f>+'GRUPOS INFANTIL'!#REF!</f>
        <v>#REF!</v>
      </c>
    </row>
    <row r="7" spans="1:15" s="3" customFormat="1" ht="45" customHeight="1" x14ac:dyDescent="0.3">
      <c r="B7" s="136" t="str">
        <f>+'GRUPOS INFANTIL'!B9</f>
        <v>ESCUELA DE FORMACION DEPORTIVA MARACANA</v>
      </c>
      <c r="C7" s="140"/>
      <c r="D7" s="141" t="str">
        <f>+'GRUPOS INFANTIL'!D9</f>
        <v>CLUB CAMPESTRE IBAGUE</v>
      </c>
      <c r="E7" s="35"/>
      <c r="F7" s="35"/>
      <c r="G7" s="460" t="str">
        <f>+'GRUPOS INFANTIL'!F9</f>
        <v>CENTAUROS DEL ARIARI</v>
      </c>
      <c r="H7" s="460"/>
      <c r="I7" s="460"/>
      <c r="J7" s="460"/>
      <c r="K7" s="460"/>
      <c r="L7" s="35"/>
      <c r="M7" s="35"/>
      <c r="N7" s="143" t="e">
        <f>+'GRUPOS INFANTIL'!#REF!</f>
        <v>#REF!</v>
      </c>
    </row>
    <row r="8" spans="1:15" s="3" customFormat="1" ht="45" customHeight="1" x14ac:dyDescent="0.3">
      <c r="B8" s="136" t="str">
        <f>+'GRUPOS INFANTIL'!B10</f>
        <v>CLUB LOS PAPETICOS</v>
      </c>
      <c r="C8" s="140"/>
      <c r="D8" s="141">
        <f>+'GRUPOS INFANTIL'!D10</f>
        <v>0</v>
      </c>
      <c r="E8" s="35"/>
      <c r="F8" s="35"/>
      <c r="G8" s="460" t="e">
        <f>+'GRUPOS INFANTIL'!#REF!</f>
        <v>#REF!</v>
      </c>
      <c r="H8" s="460"/>
      <c r="I8" s="460"/>
      <c r="J8" s="460"/>
      <c r="K8" s="460"/>
      <c r="L8" s="35"/>
      <c r="M8" s="35"/>
      <c r="N8" s="143" t="e">
        <f>+'GRUPOS INFANTIL'!#REF!</f>
        <v>#REF!</v>
      </c>
    </row>
    <row r="9" spans="1:15" s="3" customFormat="1" ht="7.5" customHeight="1" x14ac:dyDescent="0.3"/>
    <row r="10" spans="1:15" s="3" customFormat="1" ht="24" customHeight="1" x14ac:dyDescent="0.55000000000000004">
      <c r="B10" s="81" t="str">
        <f>+'GRUPOS INFANTIL'!B3</f>
        <v>NACIDOS 2014 2015</v>
      </c>
      <c r="C10" s="81"/>
      <c r="N10" s="464">
        <f>+'GRUPOS INFANTIL'!F10</f>
        <v>0</v>
      </c>
      <c r="O10" s="464"/>
    </row>
    <row r="11" spans="1:15" s="3" customFormat="1" ht="21" x14ac:dyDescent="0.4">
      <c r="B11" s="100" t="str">
        <f>+'GRUPOS INFANTIL'!B4</f>
        <v>SEPTIEMBRE 28 Y 29 DEL 2024</v>
      </c>
      <c r="C11" s="100"/>
      <c r="N11" s="464"/>
      <c r="O11" s="464"/>
    </row>
    <row r="12" spans="1:15" s="3" customFormat="1" ht="11.25" customHeight="1" x14ac:dyDescent="0.3">
      <c r="A12" s="458" t="str">
        <f>+'GRUPO A'!B4</f>
        <v>GRUPO A</v>
      </c>
      <c r="B12" s="458"/>
      <c r="C12" s="458"/>
      <c r="D12" s="458"/>
      <c r="E12" s="458"/>
      <c r="F12" s="458"/>
      <c r="G12" s="458"/>
      <c r="H12" s="458"/>
      <c r="I12" s="458"/>
      <c r="J12" s="458"/>
      <c r="K12" s="458"/>
      <c r="L12" s="458"/>
      <c r="M12" s="458"/>
      <c r="N12" s="458"/>
      <c r="O12" s="458"/>
    </row>
    <row r="13" spans="1:15" s="3" customFormat="1" ht="21" customHeight="1" x14ac:dyDescent="0.3">
      <c r="A13" s="459"/>
      <c r="B13" s="459"/>
      <c r="C13" s="459"/>
      <c r="D13" s="459"/>
      <c r="E13" s="459"/>
      <c r="F13" s="459"/>
      <c r="G13" s="459"/>
      <c r="H13" s="459"/>
      <c r="I13" s="459"/>
      <c r="J13" s="459"/>
      <c r="K13" s="459"/>
      <c r="L13" s="459"/>
      <c r="M13" s="459"/>
      <c r="N13" s="459"/>
      <c r="O13" s="459"/>
    </row>
    <row r="14" spans="1:15" ht="23.4" x14ac:dyDescent="0.3">
      <c r="A14" s="419" t="s">
        <v>33</v>
      </c>
      <c r="B14" s="420"/>
      <c r="C14" s="420"/>
      <c r="D14" s="420"/>
      <c r="E14" s="420"/>
      <c r="F14" s="420"/>
      <c r="G14" s="420"/>
      <c r="H14" s="420"/>
      <c r="I14" s="420"/>
      <c r="J14" s="420"/>
      <c r="K14" s="420"/>
      <c r="L14" s="420"/>
      <c r="M14" s="420"/>
      <c r="N14" s="420"/>
      <c r="O14" s="420"/>
    </row>
    <row r="15" spans="1:15" ht="7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33.75" customHeight="1" x14ac:dyDescent="0.35">
      <c r="A16" s="90">
        <f>+'GRUPO A'!B20</f>
        <v>42812</v>
      </c>
      <c r="B16" s="91" t="str">
        <f>+'GRUPO A'!C20</f>
        <v>07:15. a.m.</v>
      </c>
      <c r="C16" s="91"/>
      <c r="D16" s="455" t="str">
        <f>+'GRUPO A'!E20</f>
        <v>AJAX AIMARA</v>
      </c>
      <c r="E16" s="455"/>
      <c r="F16" s="109" t="str">
        <f>IF(AND(G16&lt;&gt;"",I16&lt;&gt;""),IF(G16=I16,"E",IF(G16&gt;I16,"G","P")),"")</f>
        <v/>
      </c>
      <c r="G16" s="110"/>
      <c r="H16" s="85" t="s">
        <v>15</v>
      </c>
      <c r="I16" s="110"/>
      <c r="J16" s="109" t="str">
        <f>IF(AND(I16&lt;&gt;"",G16&lt;&gt;""),IF(I16=G16,"E",IF(I16&gt;G16,"G","P")),"")</f>
        <v/>
      </c>
      <c r="K16" s="455" t="str">
        <f>+'GRUPO A'!K20</f>
        <v>CLUB DEPORTIVO OS FUTSAL</v>
      </c>
      <c r="L16" s="455"/>
      <c r="M16" s="455"/>
      <c r="N16" s="455"/>
      <c r="O16" s="92" t="str">
        <f>+'GRUPO A'!M20</f>
        <v>CANCHA 2</v>
      </c>
    </row>
    <row r="17" spans="1:15" ht="7.5" customHeight="1" x14ac:dyDescent="0.35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5" ht="33.75" customHeight="1" x14ac:dyDescent="0.35">
      <c r="A18" s="93">
        <f>+'GRUPO A'!B23</f>
        <v>42812</v>
      </c>
      <c r="B18" s="94" t="str">
        <f>+'GRUPO A'!C23</f>
        <v>08:20. a.m.</v>
      </c>
      <c r="C18" s="94"/>
      <c r="D18" s="456" t="str">
        <f>+'GRUPO A'!E23</f>
        <v>ESCUELA DE FORMACION DEPORTIVA MARACANA</v>
      </c>
      <c r="E18" s="456"/>
      <c r="F18" s="109" t="str">
        <f>IF(AND(G18&lt;&gt;"",I18&lt;&gt;""),IF(G18=I18,"E",IF(G18&gt;I18,"G","P")),"")</f>
        <v/>
      </c>
      <c r="G18" s="110"/>
      <c r="H18" s="85" t="s">
        <v>15</v>
      </c>
      <c r="I18" s="110"/>
      <c r="J18" s="109" t="str">
        <f>IF(AND(I18&lt;&gt;"",G18&lt;&gt;""),IF(I18=G18,"E",IF(I18&gt;G18,"G","P")),"")</f>
        <v/>
      </c>
      <c r="K18" s="456" t="str">
        <f>+'GRUPO A'!K23</f>
        <v>CLUB LOS PAPETICOS</v>
      </c>
      <c r="L18" s="456"/>
      <c r="M18" s="456"/>
      <c r="N18" s="456"/>
      <c r="O18" s="96" t="str">
        <f>+'GRUPO A'!M23</f>
        <v>LAS VEGAS</v>
      </c>
    </row>
    <row r="19" spans="1:15" hidden="1" x14ac:dyDescent="0.3"/>
    <row r="20" spans="1:15" ht="11.25" customHeight="1" x14ac:dyDescent="0.3">
      <c r="A20" s="465" t="str">
        <f>+'GRUPO B'!B4</f>
        <v>GRUPO B</v>
      </c>
      <c r="B20" s="465"/>
      <c r="C20" s="465"/>
      <c r="D20" s="465"/>
      <c r="E20" s="465"/>
      <c r="F20" s="465"/>
      <c r="G20" s="465"/>
      <c r="H20" s="465"/>
      <c r="I20" s="465"/>
      <c r="J20" s="465"/>
      <c r="K20" s="465"/>
      <c r="L20" s="465"/>
      <c r="M20" s="465"/>
      <c r="N20" s="465"/>
      <c r="O20" s="465"/>
    </row>
    <row r="21" spans="1:15" ht="21" customHeight="1" x14ac:dyDescent="0.3">
      <c r="A21" s="465"/>
      <c r="B21" s="465"/>
      <c r="C21" s="465"/>
      <c r="D21" s="465"/>
      <c r="E21" s="465"/>
      <c r="F21" s="465"/>
      <c r="G21" s="465"/>
      <c r="H21" s="465"/>
      <c r="I21" s="465"/>
      <c r="J21" s="465"/>
      <c r="K21" s="465"/>
      <c r="L21" s="465"/>
      <c r="M21" s="465"/>
      <c r="N21" s="465"/>
      <c r="O21" s="465"/>
    </row>
    <row r="22" spans="1:15" ht="23.4" x14ac:dyDescent="0.3">
      <c r="A22" s="419" t="s">
        <v>33</v>
      </c>
      <c r="B22" s="420"/>
      <c r="C22" s="420"/>
      <c r="D22" s="420"/>
      <c r="E22" s="420"/>
      <c r="F22" s="420"/>
      <c r="G22" s="420"/>
      <c r="H22" s="420"/>
      <c r="I22" s="420"/>
      <c r="J22" s="420"/>
      <c r="K22" s="420"/>
      <c r="L22" s="420"/>
      <c r="M22" s="420"/>
      <c r="N22" s="420"/>
      <c r="O22" s="420"/>
    </row>
    <row r="23" spans="1:15" ht="7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33.75" customHeight="1" x14ac:dyDescent="0.3">
      <c r="A24" s="90">
        <f>+'GRUPO B'!B20</f>
        <v>42812</v>
      </c>
      <c r="B24" s="91" t="str">
        <f>+'GRUPO B'!C20</f>
        <v>12:00. m.d.</v>
      </c>
      <c r="C24" s="91"/>
      <c r="D24" s="455" t="str">
        <f>+'GRUPO B'!E20</f>
        <v>ESCUELA DEPORTIVA FÚTBOL RAQUIRA</v>
      </c>
      <c r="E24" s="455"/>
      <c r="F24" s="58" t="str">
        <f>IF(AND(G24&lt;&gt;"",I24&lt;&gt;""),IF(G24=I24,"E",IF(G24&gt;I24,"G","P")),"")</f>
        <v/>
      </c>
      <c r="G24" s="102"/>
      <c r="H24" s="13" t="s">
        <v>15</v>
      </c>
      <c r="I24" s="102"/>
      <c r="J24" s="58" t="str">
        <f>IF(AND(I24&lt;&gt;"",G24&lt;&gt;""),IF(I24=G24,"E",IF(I24&gt;G24,"G","P")),"")</f>
        <v/>
      </c>
      <c r="K24" s="455" t="str">
        <f>+'GRUPO B'!K20</f>
        <v>TEMPLO DEL FÚTBOL</v>
      </c>
      <c r="L24" s="455"/>
      <c r="M24" s="455"/>
      <c r="N24" s="455"/>
      <c r="O24" s="92" t="str">
        <f>+'GRUPO B'!M20</f>
        <v>CANCHA 2</v>
      </c>
    </row>
    <row r="25" spans="1:15" ht="6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33.75" customHeight="1" x14ac:dyDescent="0.3">
      <c r="A26" s="93">
        <f>+'GRUPO B'!B23</f>
        <v>42812</v>
      </c>
      <c r="B26" s="94" t="str">
        <f>+'GRUPO B'!C23</f>
        <v>01:10. p.m.</v>
      </c>
      <c r="C26" s="94"/>
      <c r="D26" s="456" t="str">
        <f>+'GRUPO B'!E23</f>
        <v>CLUB CAMPESTRE IBAGUE</v>
      </c>
      <c r="E26" s="456"/>
      <c r="F26" s="58" t="str">
        <f>IF(AND(G26&lt;&gt;"",I26&lt;&gt;""),IF(G26=I26,"E",IF(G26&gt;I26,"G","P")),"")</f>
        <v/>
      </c>
      <c r="G26" s="102"/>
      <c r="H26" s="13" t="s">
        <v>15</v>
      </c>
      <c r="I26" s="102"/>
      <c r="J26" s="58" t="str">
        <f>IF(AND(I26&lt;&gt;"",G26&lt;&gt;""),IF(I26=G26,"E",IF(I26&gt;G26,"G","P")),"")</f>
        <v/>
      </c>
      <c r="K26" s="456" t="str">
        <f>+'GRUPO B'!K23</f>
        <v>CENTAUROS DEL ARIARI</v>
      </c>
      <c r="L26" s="456"/>
      <c r="M26" s="456"/>
      <c r="N26" s="456"/>
      <c r="O26" s="96" t="str">
        <f>+'GRUPO B'!M23</f>
        <v>CANCHA 2</v>
      </c>
    </row>
    <row r="27" spans="1:15" ht="11.25" customHeight="1" x14ac:dyDescent="0.3">
      <c r="A27" s="462" t="e">
        <f>+#REF!</f>
        <v>#REF!</v>
      </c>
      <c r="B27" s="462"/>
      <c r="C27" s="462"/>
      <c r="D27" s="462"/>
      <c r="E27" s="462"/>
      <c r="F27" s="462"/>
      <c r="G27" s="462"/>
      <c r="H27" s="462"/>
      <c r="I27" s="462"/>
      <c r="J27" s="462"/>
      <c r="K27" s="462"/>
      <c r="L27" s="462"/>
      <c r="M27" s="462"/>
      <c r="N27" s="462"/>
      <c r="O27" s="462"/>
    </row>
    <row r="28" spans="1:15" ht="21" customHeight="1" x14ac:dyDescent="0.3">
      <c r="A28" s="463"/>
      <c r="B28" s="463"/>
      <c r="C28" s="463"/>
      <c r="D28" s="463"/>
      <c r="E28" s="463"/>
      <c r="F28" s="463"/>
      <c r="G28" s="463"/>
      <c r="H28" s="463"/>
      <c r="I28" s="463"/>
      <c r="J28" s="463"/>
      <c r="K28" s="463"/>
      <c r="L28" s="463"/>
      <c r="M28" s="463"/>
      <c r="N28" s="463"/>
      <c r="O28" s="463"/>
    </row>
    <row r="29" spans="1:15" s="3" customFormat="1" ht="18.75" customHeight="1" x14ac:dyDescent="0.3">
      <c r="A29" s="419" t="s">
        <v>33</v>
      </c>
      <c r="B29" s="420"/>
      <c r="C29" s="420"/>
      <c r="D29" s="420"/>
      <c r="E29" s="420"/>
      <c r="F29" s="420"/>
      <c r="G29" s="420"/>
      <c r="H29" s="420"/>
      <c r="I29" s="420"/>
      <c r="J29" s="420"/>
      <c r="K29" s="420"/>
      <c r="L29" s="420"/>
      <c r="M29" s="420"/>
      <c r="N29" s="420"/>
      <c r="O29" s="420"/>
    </row>
    <row r="30" spans="1:15" s="3" customFormat="1" ht="15" customHeight="1" x14ac:dyDescent="0.3"/>
    <row r="31" spans="1:15" s="3" customFormat="1" ht="33.75" customHeight="1" x14ac:dyDescent="0.35">
      <c r="A31" s="90" t="e">
        <f>+#REF!</f>
        <v>#REF!</v>
      </c>
      <c r="B31" s="91" t="e">
        <f>+#REF!</f>
        <v>#REF!</v>
      </c>
      <c r="C31" s="91"/>
      <c r="D31" s="455" t="e">
        <f>+#REF!</f>
        <v>#REF!</v>
      </c>
      <c r="E31" s="455"/>
      <c r="F31" s="109" t="str">
        <f>IF(AND(G31&lt;&gt;"",I31&lt;&gt;""),IF(G31=I31,"E",IF(G31&gt;I31,"G","P")),"")</f>
        <v/>
      </c>
      <c r="G31" s="110"/>
      <c r="H31" s="85" t="s">
        <v>15</v>
      </c>
      <c r="I31" s="110"/>
      <c r="J31" s="109" t="str">
        <f>IF(AND(I31&lt;&gt;"",G31&lt;&gt;""),IF(I31=G31,"E",IF(I31&gt;G31,"G","P")),"")</f>
        <v/>
      </c>
      <c r="K31" s="455" t="e">
        <f>+#REF!</f>
        <v>#REF!</v>
      </c>
      <c r="L31" s="455"/>
      <c r="M31" s="455"/>
      <c r="N31" s="455"/>
      <c r="O31" s="92" t="e">
        <f>+#REF!</f>
        <v>#REF!</v>
      </c>
    </row>
    <row r="32" spans="1:15" s="3" customFormat="1" ht="17.399999999999999" x14ac:dyDescent="0.35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</row>
    <row r="33" spans="1:15" s="3" customFormat="1" ht="33.75" customHeight="1" x14ac:dyDescent="0.35">
      <c r="A33" s="93" t="e">
        <f>+#REF!</f>
        <v>#REF!</v>
      </c>
      <c r="B33" s="94" t="e">
        <f>+#REF!</f>
        <v>#REF!</v>
      </c>
      <c r="C33" s="94"/>
      <c r="D33" s="456" t="e">
        <f>+#REF!</f>
        <v>#REF!</v>
      </c>
      <c r="E33" s="456"/>
      <c r="F33" s="109" t="str">
        <f>IF(AND(G33&lt;&gt;"",I33&lt;&gt;""),IF(G33=I33,"E",IF(G33&gt;I33,"G","P")),"")</f>
        <v/>
      </c>
      <c r="G33" s="110"/>
      <c r="H33" s="85" t="s">
        <v>15</v>
      </c>
      <c r="I33" s="110"/>
      <c r="J33" s="109" t="str">
        <f>IF(AND(I33&lt;&gt;"",G33&lt;&gt;""),IF(I33=G33,"E",IF(I33&gt;G33,"G","P")),"")</f>
        <v/>
      </c>
      <c r="K33" s="456" t="e">
        <f>+#REF!</f>
        <v>#REF!</v>
      </c>
      <c r="L33" s="456"/>
      <c r="M33" s="456"/>
      <c r="N33" s="456"/>
      <c r="O33" s="96" t="e">
        <f>+#REF!</f>
        <v>#REF!</v>
      </c>
    </row>
    <row r="34" spans="1:15" s="3" customFormat="1" ht="11.25" customHeight="1" x14ac:dyDescent="0.3">
      <c r="A34" s="452" t="e">
        <f>+#REF!</f>
        <v>#REF!</v>
      </c>
      <c r="B34" s="453"/>
      <c r="C34" s="453"/>
      <c r="D34" s="453"/>
      <c r="E34" s="453"/>
      <c r="F34" s="453"/>
      <c r="G34" s="453"/>
      <c r="H34" s="453"/>
      <c r="I34" s="453"/>
      <c r="J34" s="453"/>
      <c r="K34" s="453"/>
      <c r="L34" s="453"/>
      <c r="M34" s="453"/>
      <c r="N34" s="453"/>
      <c r="O34" s="453"/>
    </row>
    <row r="35" spans="1:15" s="3" customFormat="1" ht="21" customHeight="1" x14ac:dyDescent="0.3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  <c r="O35" s="454"/>
    </row>
    <row r="36" spans="1:15" s="3" customFormat="1" ht="23.4" x14ac:dyDescent="0.3">
      <c r="A36" s="419" t="s">
        <v>33</v>
      </c>
      <c r="B36" s="420"/>
      <c r="C36" s="420"/>
      <c r="D36" s="420"/>
      <c r="E36" s="420"/>
      <c r="F36" s="420"/>
      <c r="G36" s="420"/>
      <c r="H36" s="420"/>
      <c r="I36" s="420"/>
      <c r="J36" s="420"/>
      <c r="K36" s="420"/>
      <c r="L36" s="420"/>
      <c r="M36" s="420"/>
      <c r="N36" s="420"/>
      <c r="O36" s="420"/>
    </row>
    <row r="37" spans="1:15" s="3" customFormat="1" x14ac:dyDescent="0.3"/>
    <row r="38" spans="1:15" s="3" customFormat="1" ht="33.75" customHeight="1" x14ac:dyDescent="0.35">
      <c r="A38" s="90" t="e">
        <f>+#REF!</f>
        <v>#REF!</v>
      </c>
      <c r="B38" s="91" t="e">
        <f>+#REF!</f>
        <v>#REF!</v>
      </c>
      <c r="C38" s="91"/>
      <c r="D38" s="455" t="e">
        <f>+#REF!</f>
        <v>#REF!</v>
      </c>
      <c r="E38" s="455"/>
      <c r="F38" s="109" t="str">
        <f>IF(AND(G38&lt;&gt;"",I38&lt;&gt;""),IF(G38=I38,"E",IF(G38&gt;I38,"G","P")),"")</f>
        <v/>
      </c>
      <c r="G38" s="110"/>
      <c r="H38" s="85" t="s">
        <v>15</v>
      </c>
      <c r="I38" s="110"/>
      <c r="J38" s="109" t="str">
        <f>IF(AND(I38&lt;&gt;"",G38&lt;&gt;""),IF(I38=G38,"E",IF(I38&gt;G38,"G","P")),"")</f>
        <v/>
      </c>
      <c r="K38" s="455" t="e">
        <f>+#REF!</f>
        <v>#REF!</v>
      </c>
      <c r="L38" s="455"/>
      <c r="M38" s="455"/>
      <c r="N38" s="455"/>
      <c r="O38" s="92" t="e">
        <f>+#REF!</f>
        <v>#REF!</v>
      </c>
    </row>
    <row r="39" spans="1:15" s="3" customFormat="1" ht="17.399999999999999" x14ac:dyDescent="0.35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</row>
    <row r="40" spans="1:15" s="3" customFormat="1" ht="33.75" customHeight="1" x14ac:dyDescent="0.35">
      <c r="A40" s="93" t="e">
        <f>+#REF!</f>
        <v>#REF!</v>
      </c>
      <c r="B40" s="94" t="e">
        <f>+#REF!</f>
        <v>#REF!</v>
      </c>
      <c r="C40" s="94"/>
      <c r="D40" s="456" t="e">
        <f>+#REF!</f>
        <v>#REF!</v>
      </c>
      <c r="E40" s="456"/>
      <c r="F40" s="109" t="str">
        <f>IF(AND(G40&lt;&gt;"",I40&lt;&gt;""),IF(G40=I40,"E",IF(G40&gt;I40,"G","P")),"")</f>
        <v/>
      </c>
      <c r="G40" s="110"/>
      <c r="H40" s="85" t="s">
        <v>15</v>
      </c>
      <c r="I40" s="110"/>
      <c r="J40" s="109" t="str">
        <f>IF(AND(I40&lt;&gt;"",G40&lt;&gt;""),IF(I40=G40,"E",IF(I40&gt;G40,"G","P")),"")</f>
        <v/>
      </c>
      <c r="K40" s="456" t="e">
        <f>+#REF!</f>
        <v>#REF!</v>
      </c>
      <c r="L40" s="456"/>
      <c r="M40" s="456"/>
      <c r="N40" s="456"/>
      <c r="O40" s="96" t="e">
        <f>+#REF!</f>
        <v>#REF!</v>
      </c>
    </row>
    <row r="41" spans="1:15" s="3" customFormat="1" ht="15" customHeight="1" x14ac:dyDescent="0.3">
      <c r="A41" s="451" t="s">
        <v>41</v>
      </c>
      <c r="B41" s="451"/>
      <c r="C41" s="451"/>
      <c r="D41" s="451"/>
      <c r="E41" s="451"/>
      <c r="F41" s="451"/>
      <c r="G41" s="451"/>
      <c r="H41" s="451"/>
      <c r="I41" s="451"/>
      <c r="J41" s="451"/>
      <c r="K41" s="451"/>
      <c r="L41" s="451"/>
      <c r="M41" s="451"/>
      <c r="N41" s="451"/>
      <c r="O41" s="451"/>
    </row>
    <row r="42" spans="1:15" s="3" customFormat="1" ht="15" customHeight="1" x14ac:dyDescent="0.3">
      <c r="A42" s="451"/>
      <c r="B42" s="451"/>
      <c r="C42" s="451"/>
      <c r="D42" s="451"/>
      <c r="E42" s="451"/>
      <c r="F42" s="451"/>
      <c r="G42" s="451"/>
      <c r="H42" s="451"/>
      <c r="I42" s="451"/>
      <c r="J42" s="451"/>
      <c r="K42" s="451"/>
      <c r="L42" s="451"/>
      <c r="M42" s="451"/>
      <c r="N42" s="451"/>
      <c r="O42" s="451"/>
    </row>
    <row r="43" spans="1:15" s="3" customFormat="1" ht="15" customHeight="1" x14ac:dyDescent="0.3">
      <c r="A43" s="451"/>
      <c r="B43" s="451"/>
      <c r="C43" s="451"/>
      <c r="D43" s="451"/>
      <c r="E43" s="451"/>
      <c r="F43" s="451"/>
      <c r="G43" s="451"/>
      <c r="H43" s="451"/>
      <c r="I43" s="451"/>
      <c r="J43" s="451"/>
      <c r="K43" s="451"/>
      <c r="L43" s="451"/>
      <c r="M43" s="451"/>
      <c r="N43" s="451"/>
      <c r="O43" s="451"/>
    </row>
    <row r="44" spans="1:15" s="3" customFormat="1" ht="15" customHeight="1" x14ac:dyDescent="0.3">
      <c r="A44" s="451"/>
      <c r="B44" s="451"/>
      <c r="C44" s="451"/>
      <c r="D44" s="451"/>
      <c r="E44" s="451"/>
      <c r="F44" s="451"/>
      <c r="G44" s="451"/>
      <c r="H44" s="451"/>
      <c r="I44" s="451"/>
      <c r="J44" s="451"/>
      <c r="K44" s="451"/>
      <c r="L44" s="451"/>
      <c r="M44" s="451"/>
      <c r="N44" s="451"/>
      <c r="O44" s="451"/>
    </row>
    <row r="45" spans="1:15" s="3" customFormat="1" ht="15" customHeight="1" x14ac:dyDescent="0.3">
      <c r="A45" s="451"/>
      <c r="B45" s="451"/>
      <c r="C45" s="451"/>
      <c r="D45" s="451"/>
      <c r="E45" s="451"/>
      <c r="F45" s="451"/>
      <c r="G45" s="451"/>
      <c r="H45" s="451"/>
      <c r="I45" s="451"/>
      <c r="J45" s="451"/>
      <c r="K45" s="451"/>
      <c r="L45" s="451"/>
      <c r="M45" s="451"/>
      <c r="N45" s="451"/>
      <c r="O45" s="451"/>
    </row>
    <row r="46" spans="1:15" s="3" customFormat="1" x14ac:dyDescent="0.3">
      <c r="A46" s="449" t="s">
        <v>28</v>
      </c>
      <c r="B46" s="449"/>
      <c r="C46" s="449"/>
      <c r="D46" s="449"/>
      <c r="E46" s="449"/>
      <c r="F46" s="449"/>
      <c r="G46" s="449"/>
      <c r="H46" s="449"/>
      <c r="I46" s="449"/>
      <c r="J46" s="449"/>
      <c r="K46" s="449"/>
      <c r="L46" s="449"/>
      <c r="M46" s="449"/>
      <c r="N46" s="449"/>
      <c r="O46" s="449"/>
    </row>
    <row r="47" spans="1:15" s="3" customFormat="1" x14ac:dyDescent="0.3">
      <c r="A47" s="449" t="s">
        <v>29</v>
      </c>
      <c r="B47" s="449"/>
      <c r="C47" s="449"/>
      <c r="D47" s="449"/>
      <c r="E47" s="449"/>
      <c r="F47" s="449"/>
      <c r="G47" s="449"/>
      <c r="H47" s="449"/>
      <c r="I47" s="449"/>
      <c r="J47" s="449"/>
      <c r="K47" s="449"/>
      <c r="L47" s="449"/>
      <c r="M47" s="449"/>
      <c r="N47" s="449"/>
      <c r="O47" s="449"/>
    </row>
    <row r="48" spans="1:15" s="3" customFormat="1" x14ac:dyDescent="0.3">
      <c r="A48" s="450" t="s">
        <v>30</v>
      </c>
      <c r="B48" s="450"/>
      <c r="C48" s="450"/>
      <c r="D48" s="450"/>
      <c r="E48" s="450"/>
      <c r="F48" s="450"/>
      <c r="G48" s="450"/>
      <c r="H48" s="450"/>
      <c r="I48" s="450"/>
      <c r="J48" s="450"/>
      <c r="K48" s="450"/>
      <c r="L48" s="450"/>
      <c r="M48" s="450"/>
      <c r="N48" s="450"/>
      <c r="O48" s="450"/>
    </row>
    <row r="49" spans="1:15" s="3" customFormat="1" x14ac:dyDescent="0.3">
      <c r="A49" s="449" t="s">
        <v>31</v>
      </c>
      <c r="B49" s="449"/>
      <c r="C49" s="449"/>
      <c r="D49" s="449"/>
      <c r="E49" s="449"/>
      <c r="F49" s="449"/>
      <c r="G49" s="449"/>
      <c r="H49" s="449"/>
      <c r="I49" s="449"/>
      <c r="J49" s="449"/>
      <c r="K49" s="449"/>
      <c r="L49" s="449"/>
      <c r="M49" s="449"/>
      <c r="N49" s="449"/>
      <c r="O49" s="449"/>
    </row>
  </sheetData>
  <mergeCells count="37">
    <mergeCell ref="D26:E26"/>
    <mergeCell ref="K24:N24"/>
    <mergeCell ref="K26:N26"/>
    <mergeCell ref="A27:O28"/>
    <mergeCell ref="N10:O11"/>
    <mergeCell ref="A22:O22"/>
    <mergeCell ref="A20:O21"/>
    <mergeCell ref="K18:N18"/>
    <mergeCell ref="D18:E18"/>
    <mergeCell ref="D24:E24"/>
    <mergeCell ref="A1:O1"/>
    <mergeCell ref="A2:O2"/>
    <mergeCell ref="K16:N16"/>
    <mergeCell ref="D16:E16"/>
    <mergeCell ref="A12:O13"/>
    <mergeCell ref="G5:K5"/>
    <mergeCell ref="G4:K4"/>
    <mergeCell ref="G8:K8"/>
    <mergeCell ref="G7:K7"/>
    <mergeCell ref="G6:K6"/>
    <mergeCell ref="A14:O14"/>
    <mergeCell ref="A29:O29"/>
    <mergeCell ref="D31:E31"/>
    <mergeCell ref="K31:N31"/>
    <mergeCell ref="D33:E33"/>
    <mergeCell ref="K33:N33"/>
    <mergeCell ref="A34:O35"/>
    <mergeCell ref="A36:O36"/>
    <mergeCell ref="D38:E38"/>
    <mergeCell ref="K38:N38"/>
    <mergeCell ref="D40:E40"/>
    <mergeCell ref="K40:N40"/>
    <mergeCell ref="A46:O46"/>
    <mergeCell ref="A47:O47"/>
    <mergeCell ref="A48:O48"/>
    <mergeCell ref="A49:O49"/>
    <mergeCell ref="A41:O45"/>
  </mergeCells>
  <conditionalFormatting sqref="G16">
    <cfRule type="expression" dxfId="197" priority="74" stopIfTrue="1">
      <formula>F16="E"</formula>
    </cfRule>
    <cfRule type="expression" dxfId="196" priority="73" stopIfTrue="1">
      <formula>F16="P"</formula>
    </cfRule>
    <cfRule type="expression" dxfId="195" priority="75" stopIfTrue="1">
      <formula>F16="G"</formula>
    </cfRule>
  </conditionalFormatting>
  <conditionalFormatting sqref="G18">
    <cfRule type="expression" dxfId="194" priority="36" stopIfTrue="1">
      <formula>F18="G"</formula>
    </cfRule>
    <cfRule type="expression" dxfId="193" priority="35" stopIfTrue="1">
      <formula>F18="E"</formula>
    </cfRule>
    <cfRule type="expression" dxfId="192" priority="34" stopIfTrue="1">
      <formula>F18="P"</formula>
    </cfRule>
  </conditionalFormatting>
  <conditionalFormatting sqref="G24 G26">
    <cfRule type="expression" dxfId="191" priority="28" stopIfTrue="1">
      <formula>F24="P"</formula>
    </cfRule>
    <cfRule type="expression" dxfId="190" priority="30" stopIfTrue="1">
      <formula>F24="G"</formula>
    </cfRule>
    <cfRule type="expression" dxfId="189" priority="29" stopIfTrue="1">
      <formula>F24="E"</formula>
    </cfRule>
  </conditionalFormatting>
  <conditionalFormatting sqref="G31">
    <cfRule type="expression" dxfId="188" priority="24" stopIfTrue="1">
      <formula>F31="G"</formula>
    </cfRule>
    <cfRule type="expression" dxfId="187" priority="23" stopIfTrue="1">
      <formula>F31="E"</formula>
    </cfRule>
    <cfRule type="expression" dxfId="186" priority="22" stopIfTrue="1">
      <formula>F31="P"</formula>
    </cfRule>
  </conditionalFormatting>
  <conditionalFormatting sqref="G33">
    <cfRule type="expression" dxfId="185" priority="17" stopIfTrue="1">
      <formula>F33="E"</formula>
    </cfRule>
    <cfRule type="expression" dxfId="184" priority="16" stopIfTrue="1">
      <formula>F33="P"</formula>
    </cfRule>
    <cfRule type="expression" dxfId="183" priority="18" stopIfTrue="1">
      <formula>F33="G"</formula>
    </cfRule>
  </conditionalFormatting>
  <conditionalFormatting sqref="G38">
    <cfRule type="expression" dxfId="182" priority="11" stopIfTrue="1">
      <formula>F38="E"</formula>
    </cfRule>
    <cfRule type="expression" dxfId="181" priority="10" stopIfTrue="1">
      <formula>F38="P"</formula>
    </cfRule>
    <cfRule type="expression" dxfId="180" priority="12" stopIfTrue="1">
      <formula>F38="G"</formula>
    </cfRule>
  </conditionalFormatting>
  <conditionalFormatting sqref="G40">
    <cfRule type="expression" dxfId="179" priority="6" stopIfTrue="1">
      <formula>F40="G"</formula>
    </cfRule>
    <cfRule type="expression" dxfId="178" priority="4" stopIfTrue="1">
      <formula>F40="P"</formula>
    </cfRule>
    <cfRule type="expression" dxfId="177" priority="5" stopIfTrue="1">
      <formula>F40="E"</formula>
    </cfRule>
  </conditionalFormatting>
  <conditionalFormatting sqref="I16">
    <cfRule type="expression" dxfId="176" priority="70" stopIfTrue="1">
      <formula>J16="P"</formula>
    </cfRule>
    <cfRule type="expression" dxfId="175" priority="71" stopIfTrue="1">
      <formula>J16="E"</formula>
    </cfRule>
    <cfRule type="expression" dxfId="174" priority="72" stopIfTrue="1">
      <formula>J16="G"</formula>
    </cfRule>
  </conditionalFormatting>
  <conditionalFormatting sqref="I18">
    <cfRule type="expression" dxfId="173" priority="31" stopIfTrue="1">
      <formula>J18="P"</formula>
    </cfRule>
    <cfRule type="expression" dxfId="172" priority="33" stopIfTrue="1">
      <formula>J18="G"</formula>
    </cfRule>
    <cfRule type="expression" dxfId="171" priority="32" stopIfTrue="1">
      <formula>J18="E"</formula>
    </cfRule>
  </conditionalFormatting>
  <conditionalFormatting sqref="I24 I26">
    <cfRule type="expression" dxfId="170" priority="25" stopIfTrue="1">
      <formula>J24="P"</formula>
    </cfRule>
    <cfRule type="expression" dxfId="169" priority="26" stopIfTrue="1">
      <formula>J24="E"</formula>
    </cfRule>
    <cfRule type="expression" dxfId="168" priority="27" stopIfTrue="1">
      <formula>J24="G"</formula>
    </cfRule>
  </conditionalFormatting>
  <conditionalFormatting sqref="I31">
    <cfRule type="expression" dxfId="167" priority="21" stopIfTrue="1">
      <formula>J31="G"</formula>
    </cfRule>
    <cfRule type="expression" dxfId="166" priority="20" stopIfTrue="1">
      <formula>J31="E"</formula>
    </cfRule>
    <cfRule type="expression" dxfId="165" priority="19" stopIfTrue="1">
      <formula>J31="P"</formula>
    </cfRule>
  </conditionalFormatting>
  <conditionalFormatting sqref="I33">
    <cfRule type="expression" dxfId="164" priority="15" stopIfTrue="1">
      <formula>J33="G"</formula>
    </cfRule>
    <cfRule type="expression" dxfId="163" priority="14" stopIfTrue="1">
      <formula>J33="E"</formula>
    </cfRule>
    <cfRule type="expression" dxfId="162" priority="13" stopIfTrue="1">
      <formula>J33="P"</formula>
    </cfRule>
  </conditionalFormatting>
  <conditionalFormatting sqref="I38">
    <cfRule type="expression" dxfId="161" priority="9" stopIfTrue="1">
      <formula>J38="G"</formula>
    </cfRule>
    <cfRule type="expression" dxfId="160" priority="8" stopIfTrue="1">
      <formula>J38="E"</formula>
    </cfRule>
    <cfRule type="expression" dxfId="159" priority="7" stopIfTrue="1">
      <formula>J38="P"</formula>
    </cfRule>
  </conditionalFormatting>
  <conditionalFormatting sqref="I40">
    <cfRule type="expression" dxfId="158" priority="2" stopIfTrue="1">
      <formula>J40="E"</formula>
    </cfRule>
    <cfRule type="expression" dxfId="157" priority="1" stopIfTrue="1">
      <formula>J40="P"</formula>
    </cfRule>
    <cfRule type="expression" dxfId="156" priority="3" stopIfTrue="1">
      <formula>J40="G"</formula>
    </cfRule>
  </conditionalFormatting>
  <hyperlinks>
    <hyperlink ref="A48" r:id="rId1" display="mailto:soccermelgar@outlook.com" xr:uid="{00000000-0004-0000-0900-000000000000}"/>
  </hyperlinks>
  <pageMargins left="0.7" right="0.7" top="0.75" bottom="0.75" header="0.3" footer="0.3"/>
  <pageSetup scale="68" orientation="portrait" r:id="rId2"/>
  <rowBreaks count="1" manualBreakCount="1">
    <brk id="49" max="14" man="1"/>
  </rowBrea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O49"/>
  <sheetViews>
    <sheetView zoomScaleNormal="100" zoomScaleSheetLayoutView="100" workbookViewId="0">
      <selection sqref="A1:O1"/>
    </sheetView>
  </sheetViews>
  <sheetFormatPr baseColWidth="10" defaultRowHeight="14.4" x14ac:dyDescent="0.3"/>
  <cols>
    <col min="1" max="1" width="12.109375" customWidth="1"/>
    <col min="2" max="2" width="22.88671875" customWidth="1"/>
    <col min="3" max="3" width="1.44140625" customWidth="1"/>
    <col min="4" max="4" width="22.88671875" customWidth="1"/>
    <col min="5" max="5" width="1.44140625" customWidth="1"/>
    <col min="6" max="6" width="5.6640625" hidden="1" customWidth="1"/>
    <col min="7" max="7" width="5.6640625" customWidth="1"/>
    <col min="8" max="8" width="4.109375" customWidth="1"/>
    <col min="9" max="9" width="5.6640625" customWidth="1"/>
    <col min="10" max="10" width="17.109375" hidden="1" customWidth="1"/>
    <col min="11" max="11" width="7" customWidth="1"/>
    <col min="12" max="12" width="17.109375" hidden="1" customWidth="1"/>
    <col min="13" max="13" width="1.44140625" customWidth="1"/>
    <col min="14" max="14" width="22.88671875" customWidth="1"/>
    <col min="15" max="15" width="15.6640625" customWidth="1"/>
  </cols>
  <sheetData>
    <row r="1" spans="1:15" s="3" customFormat="1" ht="40.5" customHeight="1" x14ac:dyDescent="0.75">
      <c r="A1" s="457" t="s">
        <v>5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</row>
    <row r="2" spans="1:15" s="3" customFormat="1" ht="23.25" customHeight="1" x14ac:dyDescent="0.5">
      <c r="A2" s="365" t="s">
        <v>6</v>
      </c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</row>
    <row r="3" spans="1:15" s="3" customFormat="1" ht="9.75" customHeight="1" x14ac:dyDescent="0.3">
      <c r="N3" s="101"/>
      <c r="O3" s="101"/>
    </row>
    <row r="4" spans="1:15" s="3" customFormat="1" ht="25.5" customHeight="1" x14ac:dyDescent="0.5">
      <c r="B4" s="135" t="str">
        <f>+'GRUPOS INFANTIL'!B6</f>
        <v>GRUPO A</v>
      </c>
      <c r="C4" s="139"/>
      <c r="D4" s="137" t="str">
        <f>+'GRUPOS INFANTIL'!D6</f>
        <v>GRUPO B</v>
      </c>
      <c r="E4" s="118"/>
      <c r="F4" s="118"/>
      <c r="G4" s="461" t="str">
        <f>+'GRUPOS INFANTIL'!F6</f>
        <v>GRUPO C</v>
      </c>
      <c r="H4" s="461"/>
      <c r="I4" s="461"/>
      <c r="J4" s="461"/>
      <c r="K4" s="461"/>
      <c r="N4" s="142" t="e">
        <f>+'GRUPOS INFANTIL'!#REF!</f>
        <v>#REF!</v>
      </c>
    </row>
    <row r="5" spans="1:15" s="3" customFormat="1" ht="45" customHeight="1" x14ac:dyDescent="0.3">
      <c r="B5" s="136" t="str">
        <f>+'GRUPOS INFANTIL'!B7</f>
        <v>AJAX AIMARA</v>
      </c>
      <c r="C5" s="140"/>
      <c r="D5" s="141" t="str">
        <f>+'GRUPOS INFANTIL'!D7</f>
        <v>ESCUELA DEPORTIVA FÚTBOL RAQUIRA</v>
      </c>
      <c r="E5" s="35"/>
      <c r="F5" s="35"/>
      <c r="G5" s="460" t="str">
        <f>+'GRUPOS INFANTIL'!F7</f>
        <v>BLUEMARTIN F.C .</v>
      </c>
      <c r="H5" s="460"/>
      <c r="I5" s="460"/>
      <c r="J5" s="460"/>
      <c r="K5" s="460"/>
      <c r="L5" s="35"/>
      <c r="M5" s="35"/>
      <c r="N5" s="143" t="e">
        <f>+'GRUPOS INFANTIL'!#REF!</f>
        <v>#REF!</v>
      </c>
    </row>
    <row r="6" spans="1:15" s="3" customFormat="1" ht="45" customHeight="1" x14ac:dyDescent="0.3">
      <c r="B6" s="136" t="str">
        <f>+'GRUPOS INFANTIL'!B8</f>
        <v>CLUB DEPORTIVO OS FUTSAL</v>
      </c>
      <c r="C6" s="140"/>
      <c r="D6" s="141" t="str">
        <f>+'GRUPOS INFANTIL'!D8</f>
        <v>TEMPLO DEL FÚTBOL</v>
      </c>
      <c r="E6" s="35"/>
      <c r="F6" s="35"/>
      <c r="G6" s="460" t="str">
        <f>+'GRUPOS INFANTIL'!F8</f>
        <v>EIFD TESOROS SPORTS</v>
      </c>
      <c r="H6" s="460"/>
      <c r="I6" s="460"/>
      <c r="J6" s="460"/>
      <c r="K6" s="460"/>
      <c r="L6" s="35"/>
      <c r="M6" s="35"/>
      <c r="N6" s="143" t="e">
        <f>+'GRUPOS INFANTIL'!#REF!</f>
        <v>#REF!</v>
      </c>
    </row>
    <row r="7" spans="1:15" s="3" customFormat="1" ht="45" customHeight="1" x14ac:dyDescent="0.3">
      <c r="B7" s="136" t="str">
        <f>+'GRUPOS INFANTIL'!B9</f>
        <v>ESCUELA DE FORMACION DEPORTIVA MARACANA</v>
      </c>
      <c r="C7" s="140"/>
      <c r="D7" s="141" t="str">
        <f>+'GRUPOS INFANTIL'!D9</f>
        <v>CLUB CAMPESTRE IBAGUE</v>
      </c>
      <c r="E7" s="35"/>
      <c r="F7" s="35"/>
      <c r="G7" s="460" t="str">
        <f>+'GRUPOS INFANTIL'!F9</f>
        <v>CENTAUROS DEL ARIARI</v>
      </c>
      <c r="H7" s="460"/>
      <c r="I7" s="460"/>
      <c r="J7" s="460"/>
      <c r="K7" s="460"/>
      <c r="L7" s="35"/>
      <c r="M7" s="35"/>
      <c r="N7" s="143" t="e">
        <f>+'GRUPOS INFANTIL'!#REF!</f>
        <v>#REF!</v>
      </c>
    </row>
    <row r="8" spans="1:15" s="3" customFormat="1" ht="45" customHeight="1" x14ac:dyDescent="0.3">
      <c r="B8" s="136" t="str">
        <f>+'GRUPOS INFANTIL'!B10</f>
        <v>CLUB LOS PAPETICOS</v>
      </c>
      <c r="C8" s="140"/>
      <c r="D8" s="141">
        <f>+'GRUPOS INFANTIL'!D10</f>
        <v>0</v>
      </c>
      <c r="E8" s="35"/>
      <c r="F8" s="35"/>
      <c r="G8" s="460" t="e">
        <f>+'GRUPOS INFANTIL'!#REF!</f>
        <v>#REF!</v>
      </c>
      <c r="H8" s="460"/>
      <c r="I8" s="460"/>
      <c r="J8" s="460"/>
      <c r="K8" s="460"/>
      <c r="L8" s="35"/>
      <c r="M8" s="35"/>
      <c r="N8" s="143" t="e">
        <f>+'GRUPOS INFANTIL'!#REF!</f>
        <v>#REF!</v>
      </c>
    </row>
    <row r="9" spans="1:15" s="3" customFormat="1" ht="7.5" customHeight="1" x14ac:dyDescent="0.3"/>
    <row r="10" spans="1:15" s="3" customFormat="1" ht="24" customHeight="1" x14ac:dyDescent="0.55000000000000004">
      <c r="B10" s="81" t="str">
        <f>+'GRUPOS INFANTIL'!B3</f>
        <v>NACIDOS 2014 2015</v>
      </c>
      <c r="C10" s="81"/>
      <c r="N10" s="464">
        <f>+'GRUPOS INFANTIL'!F10</f>
        <v>0</v>
      </c>
      <c r="O10" s="464"/>
    </row>
    <row r="11" spans="1:15" s="3" customFormat="1" ht="21" x14ac:dyDescent="0.4">
      <c r="B11" s="100" t="str">
        <f>+'GRUPOS INFANTIL'!B4</f>
        <v>SEPTIEMBRE 28 Y 29 DEL 2024</v>
      </c>
      <c r="C11" s="100"/>
      <c r="N11" s="464"/>
      <c r="O11" s="464"/>
    </row>
    <row r="12" spans="1:15" s="3" customFormat="1" ht="11.25" customHeight="1" x14ac:dyDescent="0.3">
      <c r="A12" s="458" t="str">
        <f>+'GRUPO A'!B4</f>
        <v>GRUPO A</v>
      </c>
      <c r="B12" s="458"/>
      <c r="C12" s="458"/>
      <c r="D12" s="458"/>
      <c r="E12" s="458"/>
      <c r="F12" s="458"/>
      <c r="G12" s="458"/>
      <c r="H12" s="458"/>
      <c r="I12" s="458"/>
      <c r="J12" s="458"/>
      <c r="K12" s="458"/>
      <c r="L12" s="458"/>
      <c r="M12" s="458"/>
      <c r="N12" s="458"/>
      <c r="O12" s="458"/>
    </row>
    <row r="13" spans="1:15" s="3" customFormat="1" ht="21" customHeight="1" x14ac:dyDescent="0.3">
      <c r="A13" s="459"/>
      <c r="B13" s="459"/>
      <c r="C13" s="459"/>
      <c r="D13" s="459"/>
      <c r="E13" s="459"/>
      <c r="F13" s="459"/>
      <c r="G13" s="459"/>
      <c r="H13" s="459"/>
      <c r="I13" s="459"/>
      <c r="J13" s="459"/>
      <c r="K13" s="459"/>
      <c r="L13" s="459"/>
      <c r="M13" s="459"/>
      <c r="N13" s="459"/>
      <c r="O13" s="459"/>
    </row>
    <row r="14" spans="1:15" ht="23.4" x14ac:dyDescent="0.3">
      <c r="A14" s="419" t="s">
        <v>42</v>
      </c>
      <c r="B14" s="420"/>
      <c r="C14" s="420"/>
      <c r="D14" s="420"/>
      <c r="E14" s="420"/>
      <c r="F14" s="420"/>
      <c r="G14" s="420"/>
      <c r="H14" s="420"/>
      <c r="I14" s="420"/>
      <c r="J14" s="420"/>
      <c r="K14" s="420"/>
      <c r="L14" s="420"/>
      <c r="M14" s="420"/>
      <c r="N14" s="420"/>
      <c r="O14" s="420"/>
    </row>
    <row r="15" spans="1:15" ht="7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33.75" customHeight="1" x14ac:dyDescent="0.35">
      <c r="A16" s="90">
        <f>+'GRUPO A'!B26</f>
        <v>42812</v>
      </c>
      <c r="B16" s="91" t="str">
        <f>+'GRUPO A'!C26</f>
        <v>03:00. p.m.</v>
      </c>
      <c r="C16" s="91"/>
      <c r="D16" s="455" t="str">
        <f>+'GRUPO A'!E26</f>
        <v>AJAX AIMARA</v>
      </c>
      <c r="E16" s="455"/>
      <c r="F16" s="109" t="str">
        <f>IF(AND(G16&lt;&gt;"",I16&lt;&gt;""),IF(G16=I16,"E",IF(G16&gt;I16,"G","P")),"")</f>
        <v/>
      </c>
      <c r="G16" s="110"/>
      <c r="H16" s="85" t="s">
        <v>15</v>
      </c>
      <c r="I16" s="110"/>
      <c r="J16" s="109" t="str">
        <f>IF(AND(I16&lt;&gt;"",G16&lt;&gt;""),IF(I16=G16,"E",IF(I16&gt;G16,"G","P")),"")</f>
        <v/>
      </c>
      <c r="K16" s="455" t="str">
        <f>+'GRUPO A'!K26</f>
        <v>ESCUELA DE FORMACION DEPORTIVA MARACANA</v>
      </c>
      <c r="L16" s="455"/>
      <c r="M16" s="455"/>
      <c r="N16" s="455"/>
      <c r="O16" s="92" t="str">
        <f>+'GRUPO A'!M26</f>
        <v>LAS VEGAS</v>
      </c>
    </row>
    <row r="17" spans="1:15" ht="7.5" customHeight="1" x14ac:dyDescent="0.35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5" ht="33.75" customHeight="1" x14ac:dyDescent="0.35">
      <c r="A18" s="93">
        <f>+'GRUPO A'!B29</f>
        <v>42812</v>
      </c>
      <c r="B18" s="94" t="str">
        <f>+'GRUPO A'!C29</f>
        <v>04:00. p.m.</v>
      </c>
      <c r="C18" s="94"/>
      <c r="D18" s="456" t="str">
        <f>+'GRUPO A'!E29</f>
        <v>CLUB DEPORTIVO OS FUTSAL</v>
      </c>
      <c r="E18" s="456"/>
      <c r="F18" s="109" t="str">
        <f>IF(AND(G18&lt;&gt;"",I18&lt;&gt;""),IF(G18=I18,"E",IF(G18&gt;I18,"G","P")),"")</f>
        <v/>
      </c>
      <c r="G18" s="110"/>
      <c r="H18" s="85" t="s">
        <v>15</v>
      </c>
      <c r="I18" s="110"/>
      <c r="J18" s="109" t="str">
        <f>IF(AND(I18&lt;&gt;"",G18&lt;&gt;""),IF(I18=G18,"E",IF(I18&gt;G18,"G","P")),"")</f>
        <v/>
      </c>
      <c r="K18" s="456" t="str">
        <f>+'GRUPO A'!K29</f>
        <v>CLUB LOS PAPETICOS</v>
      </c>
      <c r="L18" s="456"/>
      <c r="M18" s="456"/>
      <c r="N18" s="456"/>
      <c r="O18" s="96" t="str">
        <f>+'GRUPO A'!M29</f>
        <v>LAS VEGAS</v>
      </c>
    </row>
    <row r="19" spans="1:15" ht="15" hidden="1" customHeight="1" x14ac:dyDescent="0.3"/>
    <row r="20" spans="1:15" s="3" customFormat="1" ht="11.25" customHeight="1" x14ac:dyDescent="0.3">
      <c r="A20" s="465" t="str">
        <f>+'GRUPO B'!B4</f>
        <v>GRUPO B</v>
      </c>
      <c r="B20" s="465"/>
      <c r="C20" s="465"/>
      <c r="D20" s="465"/>
      <c r="E20" s="465"/>
      <c r="F20" s="465"/>
      <c r="G20" s="465"/>
      <c r="H20" s="465"/>
      <c r="I20" s="465"/>
      <c r="J20" s="465"/>
      <c r="K20" s="465"/>
      <c r="L20" s="465"/>
      <c r="M20" s="465"/>
      <c r="N20" s="465"/>
      <c r="O20" s="465"/>
    </row>
    <row r="21" spans="1:15" ht="21" customHeight="1" x14ac:dyDescent="0.3">
      <c r="A21" s="465"/>
      <c r="B21" s="465"/>
      <c r="C21" s="465"/>
      <c r="D21" s="465"/>
      <c r="E21" s="465"/>
      <c r="F21" s="465"/>
      <c r="G21" s="465"/>
      <c r="H21" s="465"/>
      <c r="I21" s="465"/>
      <c r="J21" s="465"/>
      <c r="K21" s="465"/>
      <c r="L21" s="465"/>
      <c r="M21" s="465"/>
      <c r="N21" s="465"/>
      <c r="O21" s="465"/>
    </row>
    <row r="22" spans="1:15" ht="36.75" customHeight="1" x14ac:dyDescent="0.3">
      <c r="A22" s="419" t="s">
        <v>42</v>
      </c>
      <c r="B22" s="420"/>
      <c r="C22" s="420"/>
      <c r="D22" s="420"/>
      <c r="E22" s="420"/>
      <c r="F22" s="420"/>
      <c r="G22" s="420"/>
      <c r="H22" s="420"/>
      <c r="I22" s="420"/>
      <c r="J22" s="420"/>
      <c r="K22" s="420"/>
      <c r="L22" s="420"/>
      <c r="M22" s="420"/>
      <c r="N22" s="420"/>
      <c r="O22" s="420"/>
    </row>
    <row r="23" spans="1:15" ht="7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33.75" customHeight="1" x14ac:dyDescent="0.3">
      <c r="A24" s="90">
        <f>+'GRUPO B'!B26</f>
        <v>42813</v>
      </c>
      <c r="B24" s="91" t="str">
        <f>+'GRUPO B'!C26</f>
        <v>09:50. a.m.</v>
      </c>
      <c r="C24" s="91"/>
      <c r="D24" s="455" t="str">
        <f>+'GRUPO B'!E26</f>
        <v>ESCUELA DEPORTIVA FÚTBOL RAQUIRA</v>
      </c>
      <c r="E24" s="455"/>
      <c r="F24" s="58" t="str">
        <f>IF(AND(G24&lt;&gt;"",I24&lt;&gt;""),IF(G24=I24,"E",IF(G24&gt;I24,"G","P")),"")</f>
        <v/>
      </c>
      <c r="G24" s="102"/>
      <c r="H24" s="13" t="s">
        <v>15</v>
      </c>
      <c r="I24" s="102"/>
      <c r="J24" s="58" t="str">
        <f>IF(AND(I24&lt;&gt;"",G24&lt;&gt;""),IF(I24=G24,"E",IF(I24&gt;G24,"G","P")),"")</f>
        <v/>
      </c>
      <c r="K24" s="455" t="str">
        <f>+'GRUPO B'!K26</f>
        <v>CLUB CAMPESTRE IBAGUE</v>
      </c>
      <c r="L24" s="455"/>
      <c r="M24" s="455"/>
      <c r="N24" s="455"/>
      <c r="O24" s="92" t="str">
        <f>+'GRUPO B'!M26</f>
        <v>CANCHA 1</v>
      </c>
    </row>
    <row r="25" spans="1:15" ht="7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33.75" customHeight="1" x14ac:dyDescent="0.3">
      <c r="A26" s="93">
        <f>+'GRUPO B'!B29</f>
        <v>42813</v>
      </c>
      <c r="B26" s="94" t="str">
        <f>+'GRUPO B'!C29</f>
        <v>10:50. a.m.</v>
      </c>
      <c r="C26" s="94"/>
      <c r="D26" s="456" t="str">
        <f>+'GRUPO B'!E29</f>
        <v>TEMPLO DEL FÚTBOL</v>
      </c>
      <c r="E26" s="456"/>
      <c r="F26" s="58" t="str">
        <f>IF(AND(G26&lt;&gt;"",I26&lt;&gt;""),IF(G26=I26,"E",IF(G26&gt;I26,"G","P")),"")</f>
        <v/>
      </c>
      <c r="G26" s="102"/>
      <c r="H26" s="13" t="s">
        <v>15</v>
      </c>
      <c r="I26" s="102"/>
      <c r="J26" s="58" t="str">
        <f>IF(AND(I26&lt;&gt;"",G26&lt;&gt;""),IF(I26=G26,"E",IF(I26&gt;G26,"G","P")),"")</f>
        <v/>
      </c>
      <c r="K26" s="456" t="str">
        <f>+'GRUPO B'!K29</f>
        <v>EIFD TESOROS SPORTS</v>
      </c>
      <c r="L26" s="456"/>
      <c r="M26" s="456"/>
      <c r="N26" s="456"/>
      <c r="O26" s="96" t="str">
        <f>+'GRUPO B'!M29</f>
        <v>CANCHA 1</v>
      </c>
    </row>
    <row r="27" spans="1:15" ht="11.25" customHeight="1" x14ac:dyDescent="0.3">
      <c r="A27" s="462" t="e">
        <f>+#REF!</f>
        <v>#REF!</v>
      </c>
      <c r="B27" s="462"/>
      <c r="C27" s="462"/>
      <c r="D27" s="462"/>
      <c r="E27" s="462"/>
      <c r="F27" s="462"/>
      <c r="G27" s="462"/>
      <c r="H27" s="462"/>
      <c r="I27" s="462"/>
      <c r="J27" s="462"/>
      <c r="K27" s="462"/>
      <c r="L27" s="462"/>
      <c r="M27" s="462"/>
      <c r="N27" s="462"/>
      <c r="O27" s="462"/>
    </row>
    <row r="28" spans="1:15" ht="21" customHeight="1" x14ac:dyDescent="0.3">
      <c r="A28" s="463"/>
      <c r="B28" s="463"/>
      <c r="C28" s="463"/>
      <c r="D28" s="463"/>
      <c r="E28" s="463"/>
      <c r="F28" s="463"/>
      <c r="G28" s="463"/>
      <c r="H28" s="463"/>
      <c r="I28" s="463"/>
      <c r="J28" s="463"/>
      <c r="K28" s="463"/>
      <c r="L28" s="463"/>
      <c r="M28" s="463"/>
      <c r="N28" s="463"/>
      <c r="O28" s="463"/>
    </row>
    <row r="29" spans="1:15" ht="30" customHeight="1" x14ac:dyDescent="0.3">
      <c r="A29" s="419" t="s">
        <v>42</v>
      </c>
      <c r="B29" s="420"/>
      <c r="C29" s="420"/>
      <c r="D29" s="420"/>
      <c r="E29" s="420"/>
      <c r="F29" s="420"/>
      <c r="G29" s="420"/>
      <c r="H29" s="420"/>
      <c r="I29" s="420"/>
      <c r="J29" s="420"/>
      <c r="K29" s="420"/>
      <c r="L29" s="420"/>
      <c r="M29" s="420"/>
      <c r="N29" s="420"/>
      <c r="O29" s="420"/>
    </row>
    <row r="30" spans="1:15" s="3" customFormat="1" ht="7.5" customHeight="1" x14ac:dyDescent="0.3"/>
    <row r="31" spans="1:15" s="3" customFormat="1" ht="33.75" customHeight="1" x14ac:dyDescent="0.35">
      <c r="A31" s="90" t="e">
        <f>+#REF!</f>
        <v>#REF!</v>
      </c>
      <c r="B31" s="91" t="e">
        <f>+#REF!</f>
        <v>#REF!</v>
      </c>
      <c r="C31" s="91"/>
      <c r="D31" s="455" t="e">
        <f>+#REF!</f>
        <v>#REF!</v>
      </c>
      <c r="E31" s="455"/>
      <c r="F31" s="109" t="str">
        <f>IF(AND(G31&lt;&gt;"",I31&lt;&gt;""),IF(G31=I31,"E",IF(G31&gt;I31,"G","P")),"")</f>
        <v/>
      </c>
      <c r="G31" s="110"/>
      <c r="H31" s="85" t="s">
        <v>15</v>
      </c>
      <c r="I31" s="110"/>
      <c r="J31" s="109" t="str">
        <f>IF(AND(I31&lt;&gt;"",G31&lt;&gt;""),IF(I31=G31,"E",IF(I31&gt;G31,"G","P")),"")</f>
        <v/>
      </c>
      <c r="K31" s="455" t="e">
        <f>+#REF!</f>
        <v>#REF!</v>
      </c>
      <c r="L31" s="455"/>
      <c r="M31" s="455"/>
      <c r="N31" s="455"/>
      <c r="O31" s="92" t="e">
        <f>+#REF!</f>
        <v>#REF!</v>
      </c>
    </row>
    <row r="32" spans="1:15" s="3" customFormat="1" ht="7.5" customHeight="1" x14ac:dyDescent="0.35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</row>
    <row r="33" spans="1:15" s="3" customFormat="1" ht="33.75" customHeight="1" x14ac:dyDescent="0.35">
      <c r="A33" s="93" t="e">
        <f>+#REF!</f>
        <v>#REF!</v>
      </c>
      <c r="B33" s="94" t="e">
        <f>+#REF!</f>
        <v>#REF!</v>
      </c>
      <c r="C33" s="94"/>
      <c r="D33" s="456" t="e">
        <f>+#REF!</f>
        <v>#REF!</v>
      </c>
      <c r="E33" s="456"/>
      <c r="F33" s="109" t="str">
        <f>IF(AND(G33&lt;&gt;"",I33&lt;&gt;""),IF(G33=I33,"E",IF(G33&gt;I33,"G","P")),"")</f>
        <v/>
      </c>
      <c r="G33" s="110"/>
      <c r="H33" s="85" t="s">
        <v>15</v>
      </c>
      <c r="I33" s="110"/>
      <c r="J33" s="109" t="str">
        <f>IF(AND(I33&lt;&gt;"",G33&lt;&gt;""),IF(I33=G33,"E",IF(I33&gt;G33,"G","P")),"")</f>
        <v/>
      </c>
      <c r="K33" s="456" t="e">
        <f>+#REF!</f>
        <v>#REF!</v>
      </c>
      <c r="L33" s="456"/>
      <c r="M33" s="456"/>
      <c r="N33" s="456"/>
      <c r="O33" s="96" t="e">
        <f>+#REF!</f>
        <v>#REF!</v>
      </c>
    </row>
    <row r="34" spans="1:15" s="3" customFormat="1" ht="11.25" customHeight="1" x14ac:dyDescent="0.3">
      <c r="A34" s="452" t="e">
        <f>+#REF!</f>
        <v>#REF!</v>
      </c>
      <c r="B34" s="453"/>
      <c r="C34" s="453"/>
      <c r="D34" s="453"/>
      <c r="E34" s="453"/>
      <c r="F34" s="453"/>
      <c r="G34" s="453"/>
      <c r="H34" s="453"/>
      <c r="I34" s="453"/>
      <c r="J34" s="453"/>
      <c r="K34" s="453"/>
      <c r="L34" s="453"/>
      <c r="M34" s="453"/>
      <c r="N34" s="453"/>
      <c r="O34" s="453"/>
    </row>
    <row r="35" spans="1:15" s="3" customFormat="1" ht="21" customHeight="1" x14ac:dyDescent="0.3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  <c r="O35" s="454"/>
    </row>
    <row r="36" spans="1:15" s="3" customFormat="1" ht="23.4" x14ac:dyDescent="0.3">
      <c r="A36" s="419" t="s">
        <v>42</v>
      </c>
      <c r="B36" s="420"/>
      <c r="C36" s="420"/>
      <c r="D36" s="420"/>
      <c r="E36" s="420"/>
      <c r="F36" s="420"/>
      <c r="G36" s="420"/>
      <c r="H36" s="420"/>
      <c r="I36" s="420"/>
      <c r="J36" s="420"/>
      <c r="K36" s="420"/>
      <c r="L36" s="420"/>
      <c r="M36" s="420"/>
      <c r="N36" s="420"/>
      <c r="O36" s="420"/>
    </row>
    <row r="37" spans="1:15" s="3" customFormat="1" ht="7.5" customHeight="1" x14ac:dyDescent="0.3"/>
    <row r="38" spans="1:15" s="3" customFormat="1" ht="33.75" customHeight="1" x14ac:dyDescent="0.35">
      <c r="A38" s="90" t="e">
        <f>+#REF!</f>
        <v>#REF!</v>
      </c>
      <c r="B38" s="91" t="e">
        <f>+#REF!</f>
        <v>#REF!</v>
      </c>
      <c r="C38" s="91"/>
      <c r="D38" s="455" t="e">
        <f>+#REF!</f>
        <v>#REF!</v>
      </c>
      <c r="E38" s="455"/>
      <c r="F38" s="109" t="str">
        <f>IF(AND(G38&lt;&gt;"",I38&lt;&gt;""),IF(G38=I38,"E",IF(G38&gt;I38,"G","P")),"")</f>
        <v/>
      </c>
      <c r="G38" s="110"/>
      <c r="H38" s="85" t="s">
        <v>15</v>
      </c>
      <c r="I38" s="110"/>
      <c r="J38" s="109" t="str">
        <f>IF(AND(I38&lt;&gt;"",G38&lt;&gt;""),IF(I38=G38,"E",IF(I38&gt;G38,"G","P")),"")</f>
        <v/>
      </c>
      <c r="K38" s="455" t="e">
        <f>+#REF!</f>
        <v>#REF!</v>
      </c>
      <c r="L38" s="455"/>
      <c r="M38" s="455"/>
      <c r="N38" s="455"/>
      <c r="O38" s="92" t="e">
        <f>+#REF!</f>
        <v>#REF!</v>
      </c>
    </row>
    <row r="39" spans="1:15" s="3" customFormat="1" ht="7.5" customHeight="1" x14ac:dyDescent="0.35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</row>
    <row r="40" spans="1:15" s="3" customFormat="1" ht="33.75" customHeight="1" x14ac:dyDescent="0.35">
      <c r="A40" s="93" t="e">
        <f>+#REF!</f>
        <v>#REF!</v>
      </c>
      <c r="B40" s="94" t="e">
        <f>+#REF!</f>
        <v>#REF!</v>
      </c>
      <c r="C40" s="94"/>
      <c r="D40" s="456" t="e">
        <f>+#REF!</f>
        <v>#REF!</v>
      </c>
      <c r="E40" s="456"/>
      <c r="F40" s="109" t="str">
        <f>IF(AND(G40&lt;&gt;"",I40&lt;&gt;""),IF(G40=I40,"E",IF(G40&gt;I40,"G","P")),"")</f>
        <v/>
      </c>
      <c r="G40" s="110"/>
      <c r="H40" s="85" t="s">
        <v>15</v>
      </c>
      <c r="I40" s="110"/>
      <c r="J40" s="109" t="str">
        <f>IF(AND(I40&lt;&gt;"",G40&lt;&gt;""),IF(I40=G40,"E",IF(I40&gt;G40,"G","P")),"")</f>
        <v/>
      </c>
      <c r="K40" s="456" t="e">
        <f>+#REF!</f>
        <v>#REF!</v>
      </c>
      <c r="L40" s="456"/>
      <c r="M40" s="456"/>
      <c r="N40" s="456"/>
      <c r="O40" s="96" t="e">
        <f>+#REF!</f>
        <v>#REF!</v>
      </c>
    </row>
    <row r="41" spans="1:15" s="3" customFormat="1" x14ac:dyDescent="0.3">
      <c r="A41" s="451" t="s">
        <v>41</v>
      </c>
      <c r="B41" s="451"/>
      <c r="C41" s="451"/>
      <c r="D41" s="451"/>
      <c r="E41" s="451"/>
      <c r="F41" s="451"/>
      <c r="G41" s="451"/>
      <c r="H41" s="451"/>
      <c r="I41" s="451"/>
      <c r="J41" s="451"/>
      <c r="K41" s="451"/>
      <c r="L41" s="451"/>
      <c r="M41" s="451"/>
      <c r="N41" s="451"/>
      <c r="O41" s="451"/>
    </row>
    <row r="42" spans="1:15" s="3" customFormat="1" x14ac:dyDescent="0.3">
      <c r="A42" s="451"/>
      <c r="B42" s="451"/>
      <c r="C42" s="451"/>
      <c r="D42" s="451"/>
      <c r="E42" s="451"/>
      <c r="F42" s="451"/>
      <c r="G42" s="451"/>
      <c r="H42" s="451"/>
      <c r="I42" s="451"/>
      <c r="J42" s="451"/>
      <c r="K42" s="451"/>
      <c r="L42" s="451"/>
      <c r="M42" s="451"/>
      <c r="N42" s="451"/>
      <c r="O42" s="451"/>
    </row>
    <row r="43" spans="1:15" s="3" customFormat="1" x14ac:dyDescent="0.3">
      <c r="A43" s="451"/>
      <c r="B43" s="451"/>
      <c r="C43" s="451"/>
      <c r="D43" s="451"/>
      <c r="E43" s="451"/>
      <c r="F43" s="451"/>
      <c r="G43" s="451"/>
      <c r="H43" s="451"/>
      <c r="I43" s="451"/>
      <c r="J43" s="451"/>
      <c r="K43" s="451"/>
      <c r="L43" s="451"/>
      <c r="M43" s="451"/>
      <c r="N43" s="451"/>
      <c r="O43" s="451"/>
    </row>
    <row r="44" spans="1:15" s="3" customFormat="1" x14ac:dyDescent="0.3">
      <c r="A44" s="451"/>
      <c r="B44" s="451"/>
      <c r="C44" s="451"/>
      <c r="D44" s="451"/>
      <c r="E44" s="451"/>
      <c r="F44" s="451"/>
      <c r="G44" s="451"/>
      <c r="H44" s="451"/>
      <c r="I44" s="451"/>
      <c r="J44" s="451"/>
      <c r="K44" s="451"/>
      <c r="L44" s="451"/>
      <c r="M44" s="451"/>
      <c r="N44" s="451"/>
      <c r="O44" s="451"/>
    </row>
    <row r="45" spans="1:15" s="3" customFormat="1" x14ac:dyDescent="0.3">
      <c r="A45" s="451"/>
      <c r="B45" s="451"/>
      <c r="C45" s="451"/>
      <c r="D45" s="451"/>
      <c r="E45" s="451"/>
      <c r="F45" s="451"/>
      <c r="G45" s="451"/>
      <c r="H45" s="451"/>
      <c r="I45" s="451"/>
      <c r="J45" s="451"/>
      <c r="K45" s="451"/>
      <c r="L45" s="451"/>
      <c r="M45" s="451"/>
      <c r="N45" s="451"/>
      <c r="O45" s="451"/>
    </row>
    <row r="46" spans="1:15" s="3" customFormat="1" x14ac:dyDescent="0.3">
      <c r="A46" s="449" t="s">
        <v>28</v>
      </c>
      <c r="B46" s="449"/>
      <c r="C46" s="449"/>
      <c r="D46" s="449"/>
      <c r="E46" s="449"/>
      <c r="F46" s="449"/>
      <c r="G46" s="449"/>
      <c r="H46" s="449"/>
      <c r="I46" s="449"/>
      <c r="J46" s="449"/>
      <c r="K46" s="449"/>
      <c r="L46" s="449"/>
      <c r="M46" s="449"/>
      <c r="N46" s="449"/>
      <c r="O46" s="449"/>
    </row>
    <row r="47" spans="1:15" s="3" customFormat="1" x14ac:dyDescent="0.3">
      <c r="A47" s="449" t="s">
        <v>29</v>
      </c>
      <c r="B47" s="449"/>
      <c r="C47" s="449"/>
      <c r="D47" s="449"/>
      <c r="E47" s="449"/>
      <c r="F47" s="449"/>
      <c r="G47" s="449"/>
      <c r="H47" s="449"/>
      <c r="I47" s="449"/>
      <c r="J47" s="449"/>
      <c r="K47" s="449"/>
      <c r="L47" s="449"/>
      <c r="M47" s="449"/>
      <c r="N47" s="449"/>
      <c r="O47" s="449"/>
    </row>
    <row r="48" spans="1:15" s="3" customFormat="1" x14ac:dyDescent="0.3">
      <c r="A48" s="450" t="s">
        <v>30</v>
      </c>
      <c r="B48" s="450"/>
      <c r="C48" s="450"/>
      <c r="D48" s="450"/>
      <c r="E48" s="450"/>
      <c r="F48" s="450"/>
      <c r="G48" s="450"/>
      <c r="H48" s="450"/>
      <c r="I48" s="450"/>
      <c r="J48" s="450"/>
      <c r="K48" s="450"/>
      <c r="L48" s="450"/>
      <c r="M48" s="450"/>
      <c r="N48" s="450"/>
      <c r="O48" s="450"/>
    </row>
    <row r="49" spans="1:15" s="3" customFormat="1" x14ac:dyDescent="0.3">
      <c r="A49" s="449" t="s">
        <v>31</v>
      </c>
      <c r="B49" s="449"/>
      <c r="C49" s="449"/>
      <c r="D49" s="449"/>
      <c r="E49" s="449"/>
      <c r="F49" s="449"/>
      <c r="G49" s="449"/>
      <c r="H49" s="449"/>
      <c r="I49" s="449"/>
      <c r="J49" s="449"/>
      <c r="K49" s="449"/>
      <c r="L49" s="449"/>
      <c r="M49" s="449"/>
      <c r="N49" s="449"/>
      <c r="O49" s="449"/>
    </row>
  </sheetData>
  <mergeCells count="37">
    <mergeCell ref="A29:O29"/>
    <mergeCell ref="D31:E31"/>
    <mergeCell ref="K31:N31"/>
    <mergeCell ref="D33:E33"/>
    <mergeCell ref="K33:N33"/>
    <mergeCell ref="A49:O49"/>
    <mergeCell ref="A34:O35"/>
    <mergeCell ref="A36:O36"/>
    <mergeCell ref="D38:E38"/>
    <mergeCell ref="K38:N38"/>
    <mergeCell ref="D40:E40"/>
    <mergeCell ref="K40:N40"/>
    <mergeCell ref="A41:O45"/>
    <mergeCell ref="A46:O46"/>
    <mergeCell ref="A47:O47"/>
    <mergeCell ref="A48:O48"/>
    <mergeCell ref="A1:O1"/>
    <mergeCell ref="A2:O2"/>
    <mergeCell ref="G4:K4"/>
    <mergeCell ref="G5:K5"/>
    <mergeCell ref="G6:K6"/>
    <mergeCell ref="D26:E26"/>
    <mergeCell ref="K26:N26"/>
    <mergeCell ref="A27:O28"/>
    <mergeCell ref="G7:K7"/>
    <mergeCell ref="G8:K8"/>
    <mergeCell ref="A20:O21"/>
    <mergeCell ref="A22:O22"/>
    <mergeCell ref="D24:E24"/>
    <mergeCell ref="K24:N24"/>
    <mergeCell ref="N10:O11"/>
    <mergeCell ref="A12:O13"/>
    <mergeCell ref="A14:O14"/>
    <mergeCell ref="D16:E16"/>
    <mergeCell ref="K16:N16"/>
    <mergeCell ref="D18:E18"/>
    <mergeCell ref="K18:N18"/>
  </mergeCells>
  <conditionalFormatting sqref="G16">
    <cfRule type="expression" dxfId="155" priority="41" stopIfTrue="1">
      <formula>F16="E"</formula>
    </cfRule>
    <cfRule type="expression" dxfId="154" priority="40" stopIfTrue="1">
      <formula>F16="P"</formula>
    </cfRule>
    <cfRule type="expression" dxfId="153" priority="42" stopIfTrue="1">
      <formula>F16="G"</formula>
    </cfRule>
  </conditionalFormatting>
  <conditionalFormatting sqref="G18">
    <cfRule type="expression" dxfId="152" priority="36" stopIfTrue="1">
      <formula>F18="G"</formula>
    </cfRule>
    <cfRule type="expression" dxfId="151" priority="35" stopIfTrue="1">
      <formula>F18="E"</formula>
    </cfRule>
    <cfRule type="expression" dxfId="150" priority="34" stopIfTrue="1">
      <formula>F18="P"</formula>
    </cfRule>
  </conditionalFormatting>
  <conditionalFormatting sqref="G24 G26">
    <cfRule type="expression" dxfId="149" priority="28" stopIfTrue="1">
      <formula>F24="P"</formula>
    </cfRule>
    <cfRule type="expression" dxfId="148" priority="30" stopIfTrue="1">
      <formula>F24="G"</formula>
    </cfRule>
    <cfRule type="expression" dxfId="147" priority="29" stopIfTrue="1">
      <formula>F24="E"</formula>
    </cfRule>
  </conditionalFormatting>
  <conditionalFormatting sqref="G31">
    <cfRule type="expression" dxfId="146" priority="24" stopIfTrue="1">
      <formula>F31="G"</formula>
    </cfRule>
    <cfRule type="expression" dxfId="145" priority="23" stopIfTrue="1">
      <formula>F31="E"</formula>
    </cfRule>
    <cfRule type="expression" dxfId="144" priority="22" stopIfTrue="1">
      <formula>F31="P"</formula>
    </cfRule>
  </conditionalFormatting>
  <conditionalFormatting sqref="G33">
    <cfRule type="expression" dxfId="143" priority="17" stopIfTrue="1">
      <formula>F33="E"</formula>
    </cfRule>
    <cfRule type="expression" dxfId="142" priority="16" stopIfTrue="1">
      <formula>F33="P"</formula>
    </cfRule>
    <cfRule type="expression" dxfId="141" priority="18" stopIfTrue="1">
      <formula>F33="G"</formula>
    </cfRule>
  </conditionalFormatting>
  <conditionalFormatting sqref="G38">
    <cfRule type="expression" dxfId="140" priority="11" stopIfTrue="1">
      <formula>F38="E"</formula>
    </cfRule>
    <cfRule type="expression" dxfId="139" priority="10" stopIfTrue="1">
      <formula>F38="P"</formula>
    </cfRule>
    <cfRule type="expression" dxfId="138" priority="12" stopIfTrue="1">
      <formula>F38="G"</formula>
    </cfRule>
  </conditionalFormatting>
  <conditionalFormatting sqref="G40">
    <cfRule type="expression" dxfId="137" priority="6" stopIfTrue="1">
      <formula>F40="G"</formula>
    </cfRule>
    <cfRule type="expression" dxfId="136" priority="4" stopIfTrue="1">
      <formula>F40="P"</formula>
    </cfRule>
    <cfRule type="expression" dxfId="135" priority="5" stopIfTrue="1">
      <formula>F40="E"</formula>
    </cfRule>
  </conditionalFormatting>
  <conditionalFormatting sqref="I16">
    <cfRule type="expression" dxfId="134" priority="37" stopIfTrue="1">
      <formula>J16="P"</formula>
    </cfRule>
    <cfRule type="expression" dxfId="133" priority="38" stopIfTrue="1">
      <formula>J16="E"</formula>
    </cfRule>
    <cfRule type="expression" dxfId="132" priority="39" stopIfTrue="1">
      <formula>J16="G"</formula>
    </cfRule>
  </conditionalFormatting>
  <conditionalFormatting sqref="I18">
    <cfRule type="expression" dxfId="131" priority="31" stopIfTrue="1">
      <formula>J18="P"</formula>
    </cfRule>
    <cfRule type="expression" dxfId="130" priority="33" stopIfTrue="1">
      <formula>J18="G"</formula>
    </cfRule>
    <cfRule type="expression" dxfId="129" priority="32" stopIfTrue="1">
      <formula>J18="E"</formula>
    </cfRule>
  </conditionalFormatting>
  <conditionalFormatting sqref="I24 I26">
    <cfRule type="expression" dxfId="128" priority="25" stopIfTrue="1">
      <formula>J24="P"</formula>
    </cfRule>
    <cfRule type="expression" dxfId="127" priority="26" stopIfTrue="1">
      <formula>J24="E"</formula>
    </cfRule>
    <cfRule type="expression" dxfId="126" priority="27" stopIfTrue="1">
      <formula>J24="G"</formula>
    </cfRule>
  </conditionalFormatting>
  <conditionalFormatting sqref="I31">
    <cfRule type="expression" dxfId="125" priority="21" stopIfTrue="1">
      <formula>J31="G"</formula>
    </cfRule>
    <cfRule type="expression" dxfId="124" priority="20" stopIfTrue="1">
      <formula>J31="E"</formula>
    </cfRule>
    <cfRule type="expression" dxfId="123" priority="19" stopIfTrue="1">
      <formula>J31="P"</formula>
    </cfRule>
  </conditionalFormatting>
  <conditionalFormatting sqref="I33">
    <cfRule type="expression" dxfId="122" priority="15" stopIfTrue="1">
      <formula>J33="G"</formula>
    </cfRule>
    <cfRule type="expression" dxfId="121" priority="14" stopIfTrue="1">
      <formula>J33="E"</formula>
    </cfRule>
    <cfRule type="expression" dxfId="120" priority="13" stopIfTrue="1">
      <formula>J33="P"</formula>
    </cfRule>
  </conditionalFormatting>
  <conditionalFormatting sqref="I38">
    <cfRule type="expression" dxfId="119" priority="9" stopIfTrue="1">
      <formula>J38="G"</formula>
    </cfRule>
    <cfRule type="expression" dxfId="118" priority="8" stopIfTrue="1">
      <formula>J38="E"</formula>
    </cfRule>
    <cfRule type="expression" dxfId="117" priority="7" stopIfTrue="1">
      <formula>J38="P"</formula>
    </cfRule>
  </conditionalFormatting>
  <conditionalFormatting sqref="I40">
    <cfRule type="expression" dxfId="116" priority="2" stopIfTrue="1">
      <formula>J40="E"</formula>
    </cfRule>
    <cfRule type="expression" dxfId="115" priority="1" stopIfTrue="1">
      <formula>J40="P"</formula>
    </cfRule>
    <cfRule type="expression" dxfId="114" priority="3" stopIfTrue="1">
      <formula>J40="G"</formula>
    </cfRule>
  </conditionalFormatting>
  <hyperlinks>
    <hyperlink ref="A48" r:id="rId1" display="mailto:soccermelgar@outlook.com" xr:uid="{00000000-0004-0000-0A00-000000000000}"/>
  </hyperlinks>
  <pageMargins left="0.7" right="0.7" top="0.75" bottom="0.75" header="0.3" footer="0.3"/>
  <pageSetup scale="68"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  <pageSetUpPr fitToPage="1"/>
  </sheetPr>
  <dimension ref="A1:M81"/>
  <sheetViews>
    <sheetView zoomScaleNormal="100" workbookViewId="0">
      <selection activeCell="F19" sqref="F19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28.5546875" style="3" customWidth="1"/>
    <col min="4" max="6" width="6.6640625" style="3" customWidth="1"/>
    <col min="7" max="9" width="7.109375" style="3" customWidth="1"/>
    <col min="10" max="10" width="7.33203125" style="3" customWidth="1"/>
    <col min="11" max="12" width="6.6640625" style="3" customWidth="1"/>
    <col min="13" max="13" width="3.88671875" style="3" customWidth="1"/>
    <col min="14" max="16384" width="11.44140625" style="3"/>
  </cols>
  <sheetData>
    <row r="1" spans="2:12" ht="51" customHeight="1" x14ac:dyDescent="0.75">
      <c r="B1" s="57" t="s">
        <v>5</v>
      </c>
      <c r="C1" s="57"/>
    </row>
    <row r="2" spans="2:12" ht="40.5" customHeight="1" x14ac:dyDescent="0.5">
      <c r="B2" s="59" t="s">
        <v>6</v>
      </c>
      <c r="C2" s="59"/>
      <c r="D2" s="59"/>
      <c r="E2" s="59"/>
      <c r="F2" s="59"/>
      <c r="G2" s="59"/>
      <c r="H2" s="59"/>
      <c r="I2" s="59"/>
      <c r="J2" s="59"/>
      <c r="K2" s="59"/>
    </row>
    <row r="3" spans="2:12" ht="41.25" customHeight="1" x14ac:dyDescent="0.6">
      <c r="G3" s="80" t="str">
        <f>+'GRUPOS INFANTIL'!B3</f>
        <v>NACIDOS 2014 2015</v>
      </c>
    </row>
    <row r="4" spans="2:12" ht="29.25" customHeight="1" x14ac:dyDescent="0.6">
      <c r="C4" s="61"/>
      <c r="D4" s="62"/>
      <c r="E4" s="62"/>
      <c r="F4" s="62"/>
      <c r="G4" s="98" t="str">
        <f>+'GRUPOS INFANTIL'!B4</f>
        <v>SEPTIEMBRE 28 Y 29 DEL 2024</v>
      </c>
      <c r="I4" s="62"/>
      <c r="J4" s="62"/>
      <c r="K4" s="62"/>
    </row>
    <row r="5" spans="2:12" ht="15" customHeight="1" thickBot="1" x14ac:dyDescent="0.65">
      <c r="C5" s="61"/>
      <c r="D5" s="62"/>
      <c r="E5" s="62"/>
      <c r="F5" s="62"/>
      <c r="G5" s="62"/>
      <c r="H5" s="62"/>
      <c r="I5" s="62"/>
      <c r="J5" s="62"/>
      <c r="K5" s="62"/>
    </row>
    <row r="6" spans="2:12" ht="15" customHeight="1" x14ac:dyDescent="0.3">
      <c r="B6" s="477" t="str">
        <f>+'GRUPOS INFANTIL'!B6</f>
        <v>GRUPO A</v>
      </c>
      <c r="C6" s="478"/>
      <c r="D6" s="488" t="e">
        <f>+'GRUPO A'!Q20:Q21</f>
        <v>#VALUE!</v>
      </c>
      <c r="E6" s="487" t="e">
        <f>+'GRUPO A'!R20:R21</f>
        <v>#VALUE!</v>
      </c>
      <c r="F6" s="487" t="e">
        <f>+'GRUPO A'!S20:S21</f>
        <v>#VALUE!</v>
      </c>
      <c r="G6" s="487" t="e">
        <f>+'GRUPO A'!T20:T21</f>
        <v>#VALUE!</v>
      </c>
      <c r="H6" s="487" t="e">
        <f>+'GRUPO A'!U20:U21</f>
        <v>#VALUE!</v>
      </c>
      <c r="I6" s="487" t="e">
        <f>+'GRUPO A'!V20:V21</f>
        <v>#VALUE!</v>
      </c>
      <c r="J6" s="487" t="e">
        <f>+'GRUPO A'!W20:W21</f>
        <v>#VALUE!</v>
      </c>
      <c r="K6" s="487" t="e">
        <f>+'GRUPO A'!X20:X21</f>
        <v>#VALUE!</v>
      </c>
      <c r="L6" s="494" t="e">
        <f>+'GRUPO A'!Y20:Y21</f>
        <v>#VALUE!</v>
      </c>
    </row>
    <row r="7" spans="2:12" ht="15" customHeight="1" thickBot="1" x14ac:dyDescent="0.35">
      <c r="B7" s="479"/>
      <c r="C7" s="480"/>
      <c r="D7" s="486"/>
      <c r="E7" s="481"/>
      <c r="F7" s="481"/>
      <c r="G7" s="481"/>
      <c r="H7" s="481"/>
      <c r="I7" s="481"/>
      <c r="J7" s="481"/>
      <c r="K7" s="481"/>
      <c r="L7" s="495"/>
    </row>
    <row r="8" spans="2:12" ht="22.65" customHeight="1" x14ac:dyDescent="0.3">
      <c r="B8" s="482" t="e">
        <f>+'GRUPO A'!P22:P23</f>
        <v>#VALUE!</v>
      </c>
      <c r="C8" s="483"/>
      <c r="D8" s="488" t="e">
        <f>+'GRUPO A'!Q22:Q23</f>
        <v>#VALUE!</v>
      </c>
      <c r="E8" s="487" t="e">
        <f>+'GRUPO A'!R22:R23</f>
        <v>#VALUE!</v>
      </c>
      <c r="F8" s="487" t="e">
        <f>+'GRUPO A'!S22:S23</f>
        <v>#VALUE!</v>
      </c>
      <c r="G8" s="487" t="e">
        <f>+'GRUPO A'!T22:T23</f>
        <v>#VALUE!</v>
      </c>
      <c r="H8" s="487" t="e">
        <f>+'GRUPO A'!U22:U23</f>
        <v>#VALUE!</v>
      </c>
      <c r="I8" s="487" t="e">
        <f>+'GRUPO A'!V22:V23</f>
        <v>#VALUE!</v>
      </c>
      <c r="J8" s="487" t="e">
        <f>+'GRUPO A'!W22:W23</f>
        <v>#VALUE!</v>
      </c>
      <c r="K8" s="487" t="e">
        <f>+'GRUPO A'!X22:X23</f>
        <v>#VALUE!</v>
      </c>
      <c r="L8" s="496" t="e">
        <f>+'GRUPO A'!Y22:Y23</f>
        <v>#VALUE!</v>
      </c>
    </row>
    <row r="9" spans="2:12" ht="11.1" customHeight="1" x14ac:dyDescent="0.3">
      <c r="B9" s="475"/>
      <c r="C9" s="476"/>
      <c r="D9" s="467"/>
      <c r="E9" s="466"/>
      <c r="F9" s="466"/>
      <c r="G9" s="466"/>
      <c r="H9" s="466"/>
      <c r="I9" s="466"/>
      <c r="J9" s="466"/>
      <c r="K9" s="466"/>
      <c r="L9" s="497"/>
    </row>
    <row r="10" spans="2:12" ht="22.65" customHeight="1" x14ac:dyDescent="0.3">
      <c r="B10" s="475" t="e">
        <f>+'GRUPO A'!P24:P25</f>
        <v>#VALUE!</v>
      </c>
      <c r="C10" s="476"/>
      <c r="D10" s="467" t="e">
        <f>+'GRUPO A'!Q24:Q25</f>
        <v>#VALUE!</v>
      </c>
      <c r="E10" s="466" t="e">
        <f>+'GRUPO A'!R24:R25</f>
        <v>#VALUE!</v>
      </c>
      <c r="F10" s="466" t="e">
        <f>+'GRUPO A'!S24:S25</f>
        <v>#VALUE!</v>
      </c>
      <c r="G10" s="466" t="e">
        <f>+'GRUPO A'!T24:T25</f>
        <v>#VALUE!</v>
      </c>
      <c r="H10" s="466" t="e">
        <f>+'GRUPO A'!U24:U25</f>
        <v>#VALUE!</v>
      </c>
      <c r="I10" s="466" t="e">
        <f>+'GRUPO A'!V24:V25</f>
        <v>#VALUE!</v>
      </c>
      <c r="J10" s="466" t="e">
        <f>+'GRUPO A'!W24:W25</f>
        <v>#VALUE!</v>
      </c>
      <c r="K10" s="466" t="e">
        <f>+'GRUPO A'!X24:X25</f>
        <v>#VALUE!</v>
      </c>
      <c r="L10" s="497" t="e">
        <f>+'GRUPO A'!Y24:Y25</f>
        <v>#VALUE!</v>
      </c>
    </row>
    <row r="11" spans="2:12" ht="11.1" customHeight="1" x14ac:dyDescent="0.3">
      <c r="B11" s="475"/>
      <c r="C11" s="476"/>
      <c r="D11" s="467"/>
      <c r="E11" s="466"/>
      <c r="F11" s="466"/>
      <c r="G11" s="466"/>
      <c r="H11" s="466"/>
      <c r="I11" s="466"/>
      <c r="J11" s="466"/>
      <c r="K11" s="466"/>
      <c r="L11" s="497"/>
    </row>
    <row r="12" spans="2:12" ht="22.65" customHeight="1" x14ac:dyDescent="0.3">
      <c r="B12" s="475" t="e">
        <f>+'GRUPO A'!P26:P27</f>
        <v>#VALUE!</v>
      </c>
      <c r="C12" s="476"/>
      <c r="D12" s="467" t="e">
        <f>+'GRUPO A'!Q26:Q27</f>
        <v>#VALUE!</v>
      </c>
      <c r="E12" s="466" t="e">
        <f>+'GRUPO A'!R26:R27</f>
        <v>#VALUE!</v>
      </c>
      <c r="F12" s="466" t="e">
        <f>+'GRUPO A'!S26:S27</f>
        <v>#VALUE!</v>
      </c>
      <c r="G12" s="466" t="e">
        <f>+'GRUPO A'!T26:T27</f>
        <v>#VALUE!</v>
      </c>
      <c r="H12" s="466" t="e">
        <f>+'GRUPO A'!U26:U27</f>
        <v>#VALUE!</v>
      </c>
      <c r="I12" s="466" t="e">
        <f>+'GRUPO A'!V26:V27</f>
        <v>#VALUE!</v>
      </c>
      <c r="J12" s="466" t="e">
        <f>+'GRUPO A'!W26:W27</f>
        <v>#VALUE!</v>
      </c>
      <c r="K12" s="466" t="e">
        <f>+'GRUPO A'!X26:X27</f>
        <v>#VALUE!</v>
      </c>
      <c r="L12" s="497" t="e">
        <f>+'GRUPO A'!Y26:Y27</f>
        <v>#VALUE!</v>
      </c>
    </row>
    <row r="13" spans="2:12" ht="11.1" customHeight="1" x14ac:dyDescent="0.3">
      <c r="B13" s="475"/>
      <c r="C13" s="476"/>
      <c r="D13" s="467"/>
      <c r="E13" s="466"/>
      <c r="F13" s="466"/>
      <c r="G13" s="466"/>
      <c r="H13" s="466"/>
      <c r="I13" s="466"/>
      <c r="J13" s="466"/>
      <c r="K13" s="466"/>
      <c r="L13" s="497"/>
    </row>
    <row r="14" spans="2:12" ht="22.65" customHeight="1" x14ac:dyDescent="0.3">
      <c r="B14" s="475" t="e">
        <f>+'GRUPO A'!P28:P29</f>
        <v>#VALUE!</v>
      </c>
      <c r="C14" s="476"/>
      <c r="D14" s="467" t="e">
        <f>+'GRUPO A'!Q28:Q29</f>
        <v>#VALUE!</v>
      </c>
      <c r="E14" s="466" t="e">
        <f>+'GRUPO A'!R28:R29</f>
        <v>#VALUE!</v>
      </c>
      <c r="F14" s="466" t="e">
        <f>+'GRUPO A'!S28:S29</f>
        <v>#VALUE!</v>
      </c>
      <c r="G14" s="466" t="e">
        <f>+'GRUPO A'!T28:T29</f>
        <v>#VALUE!</v>
      </c>
      <c r="H14" s="466" t="e">
        <f>+'GRUPO A'!U28:U29</f>
        <v>#VALUE!</v>
      </c>
      <c r="I14" s="466" t="e">
        <f>+'GRUPO A'!V28:V29</f>
        <v>#VALUE!</v>
      </c>
      <c r="J14" s="466" t="e">
        <f>+'GRUPO A'!W28:W29</f>
        <v>#VALUE!</v>
      </c>
      <c r="K14" s="466" t="e">
        <f>+'GRUPO A'!X28:X29</f>
        <v>#VALUE!</v>
      </c>
      <c r="L14" s="497" t="e">
        <f>+'GRUPO A'!Y28:Y29</f>
        <v>#VALUE!</v>
      </c>
    </row>
    <row r="15" spans="2:12" ht="11.1" customHeight="1" thickBot="1" x14ac:dyDescent="0.35">
      <c r="B15" s="484"/>
      <c r="C15" s="485"/>
      <c r="D15" s="486"/>
      <c r="E15" s="481"/>
      <c r="F15" s="481"/>
      <c r="G15" s="481"/>
      <c r="H15" s="481"/>
      <c r="I15" s="481"/>
      <c r="J15" s="481"/>
      <c r="K15" s="481"/>
      <c r="L15" s="498"/>
    </row>
    <row r="16" spans="2:12" ht="7.5" customHeight="1" x14ac:dyDescent="0.3"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3" ht="23.25" customHeight="1" x14ac:dyDescent="0.3">
      <c r="A17" s="471" t="s">
        <v>34</v>
      </c>
      <c r="B17" s="334"/>
      <c r="C17" s="334"/>
      <c r="D17" s="334"/>
      <c r="E17" s="334"/>
      <c r="F17" s="334"/>
      <c r="G17" s="334"/>
      <c r="H17" s="334"/>
      <c r="I17" s="334"/>
      <c r="J17" s="334"/>
      <c r="K17" s="334"/>
      <c r="L17" s="334"/>
    </row>
    <row r="18" spans="1:13" ht="7.5" customHeight="1" x14ac:dyDescent="0.3"/>
    <row r="19" spans="1:13" ht="33.75" customHeight="1" x14ac:dyDescent="0.3">
      <c r="A19" s="90">
        <f>+'GRUPO A'!B32</f>
        <v>42813</v>
      </c>
      <c r="B19" s="91" t="str">
        <f>+'GRUPO A'!C32</f>
        <v>01:15. p.m.</v>
      </c>
      <c r="C19" s="119" t="str">
        <f>+'GRUPO A'!E32</f>
        <v>CLUB DEPORTIVO OS FUTSAL</v>
      </c>
      <c r="D19" s="95"/>
      <c r="E19" s="85" t="s">
        <v>15</v>
      </c>
      <c r="F19" s="95"/>
      <c r="G19" s="469" t="str">
        <f>+'GRUPO A'!K32</f>
        <v>ESCUELA DE FORMACION DEPORTIVA MARACANA</v>
      </c>
      <c r="H19" s="455"/>
      <c r="I19" s="455"/>
      <c r="J19" s="455"/>
      <c r="K19" s="105" t="str">
        <f>+'GRUPO A'!M32</f>
        <v>CANCHA 2</v>
      </c>
      <c r="L19" s="92"/>
    </row>
    <row r="20" spans="1:13" ht="7.5" customHeight="1" x14ac:dyDescent="0.35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103"/>
      <c r="L20" s="84"/>
    </row>
    <row r="21" spans="1:13" ht="33.75" customHeight="1" x14ac:dyDescent="0.3">
      <c r="A21" s="93">
        <f>+'GRUPO A'!B35</f>
        <v>42813</v>
      </c>
      <c r="B21" s="94" t="str">
        <f>+'GRUPO A'!C35</f>
        <v>02:30. p.m.</v>
      </c>
      <c r="C21" s="120" t="str">
        <f>+'GRUPO A'!E35</f>
        <v>AJAX AIMARA</v>
      </c>
      <c r="D21" s="95"/>
      <c r="E21" s="85" t="s">
        <v>15</v>
      </c>
      <c r="F21" s="95"/>
      <c r="G21" s="470" t="str">
        <f>+'GRUPO A'!K35</f>
        <v>CLUB LOS PAPETICOS</v>
      </c>
      <c r="H21" s="456"/>
      <c r="I21" s="456"/>
      <c r="J21" s="456"/>
      <c r="K21" s="104" t="str">
        <f>+'GRUPO A'!M35</f>
        <v>CANCHA 1</v>
      </c>
      <c r="L21" s="96"/>
    </row>
    <row r="22" spans="1:13" ht="7.5" customHeight="1" thickBot="1" x14ac:dyDescent="0.35">
      <c r="A22" s="63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</row>
    <row r="23" spans="1:13" ht="15" customHeight="1" x14ac:dyDescent="0.3">
      <c r="B23" s="500" t="str">
        <f>+'GRUPOS INFANTIL'!D6</f>
        <v>GRUPO B</v>
      </c>
      <c r="C23" s="501"/>
      <c r="D23" s="504" t="str">
        <f>+'GRUPO B'!Q8</f>
        <v>Pts.</v>
      </c>
      <c r="E23" s="506" t="str">
        <f>+'GRUPO B'!R8</f>
        <v>PJ</v>
      </c>
      <c r="F23" s="506" t="str">
        <f>+'GRUPO B'!S8</f>
        <v>Gan.</v>
      </c>
      <c r="G23" s="506" t="str">
        <f>+'GRUPO B'!T8</f>
        <v>Emp.</v>
      </c>
      <c r="H23" s="506" t="str">
        <f>+'GRUPO B'!U8</f>
        <v>Per.</v>
      </c>
      <c r="I23" s="506" t="str">
        <f>+'GRUPO B'!V8</f>
        <v>GF</v>
      </c>
      <c r="J23" s="506" t="str">
        <f>+'GRUPO B'!W8</f>
        <v>GC</v>
      </c>
      <c r="K23" s="506" t="str">
        <f>+'GRUPO B'!X8</f>
        <v>Dif.</v>
      </c>
      <c r="L23" s="494" t="str">
        <f>+'GRUPO B'!Y8</f>
        <v>Tj</v>
      </c>
    </row>
    <row r="24" spans="1:13" ht="15" customHeight="1" thickBot="1" x14ac:dyDescent="0.35">
      <c r="B24" s="502"/>
      <c r="C24" s="503"/>
      <c r="D24" s="505"/>
      <c r="E24" s="507"/>
      <c r="F24" s="507"/>
      <c r="G24" s="507"/>
      <c r="H24" s="507"/>
      <c r="I24" s="507"/>
      <c r="J24" s="507"/>
      <c r="K24" s="507"/>
      <c r="L24" s="495"/>
    </row>
    <row r="25" spans="1:13" ht="10.5" customHeight="1" x14ac:dyDescent="0.3">
      <c r="B25" s="482" t="str">
        <f>+'GRUPO B'!P10</f>
        <v xml:space="preserve">  1)  TEMPLO DEL FÚTBOL</v>
      </c>
      <c r="C25" s="499"/>
      <c r="D25" s="488">
        <f>+'GRUPO B'!Q10</f>
        <v>7</v>
      </c>
      <c r="E25" s="487">
        <f>+'GRUPO B'!R10</f>
        <v>3</v>
      </c>
      <c r="F25" s="487">
        <f>+'GRUPO B'!S10</f>
        <v>2</v>
      </c>
      <c r="G25" s="487">
        <f>+'GRUPO B'!T10</f>
        <v>1</v>
      </c>
      <c r="H25" s="487">
        <f>+'GRUPO B'!U10</f>
        <v>0</v>
      </c>
      <c r="I25" s="487">
        <f>+'GRUPO B'!V10</f>
        <v>9</v>
      </c>
      <c r="J25" s="487">
        <f>+'GRUPO B'!W10</f>
        <v>1</v>
      </c>
      <c r="K25" s="487">
        <f>+'GRUPO B'!X10</f>
        <v>8</v>
      </c>
      <c r="L25" s="494">
        <f>+'GRUPO B'!Y10</f>
        <v>0</v>
      </c>
    </row>
    <row r="26" spans="1:13" ht="22.5" customHeight="1" x14ac:dyDescent="0.3">
      <c r="B26" s="475"/>
      <c r="C26" s="493"/>
      <c r="D26" s="467"/>
      <c r="E26" s="466"/>
      <c r="F26" s="466"/>
      <c r="G26" s="466"/>
      <c r="H26" s="466"/>
      <c r="I26" s="466"/>
      <c r="J26" s="466"/>
      <c r="K26" s="466"/>
      <c r="L26" s="472"/>
    </row>
    <row r="27" spans="1:13" ht="10.5" customHeight="1" x14ac:dyDescent="0.3">
      <c r="B27" s="475" t="str">
        <f>+'GRUPO B'!P12</f>
        <v xml:space="preserve">  2)  CLUB CAMPESTRE IBAGUE</v>
      </c>
      <c r="C27" s="493"/>
      <c r="D27" s="467">
        <f>+'GRUPO B'!Q12</f>
        <v>7</v>
      </c>
      <c r="E27" s="466">
        <f>+'GRUPO B'!R12</f>
        <v>3</v>
      </c>
      <c r="F27" s="466">
        <f>+'GRUPO B'!S12</f>
        <v>2</v>
      </c>
      <c r="G27" s="466">
        <f>+'GRUPO B'!T12</f>
        <v>1</v>
      </c>
      <c r="H27" s="466">
        <f>+'GRUPO B'!U12</f>
        <v>0</v>
      </c>
      <c r="I27" s="466">
        <f>+'GRUPO B'!V12</f>
        <v>9</v>
      </c>
      <c r="J27" s="466">
        <f>+'GRUPO B'!W12</f>
        <v>3</v>
      </c>
      <c r="K27" s="466">
        <f>+'GRUPO B'!X12</f>
        <v>6</v>
      </c>
      <c r="L27" s="472">
        <f>+'GRUPO B'!Y12</f>
        <v>0</v>
      </c>
    </row>
    <row r="28" spans="1:13" ht="22.5" customHeight="1" x14ac:dyDescent="0.3">
      <c r="B28" s="475"/>
      <c r="C28" s="493"/>
      <c r="D28" s="467"/>
      <c r="E28" s="466"/>
      <c r="F28" s="466"/>
      <c r="G28" s="466"/>
      <c r="H28" s="466"/>
      <c r="I28" s="466"/>
      <c r="J28" s="466"/>
      <c r="K28" s="466"/>
      <c r="L28" s="472"/>
    </row>
    <row r="29" spans="1:13" ht="22.5" customHeight="1" x14ac:dyDescent="0.3">
      <c r="B29" s="475" t="str">
        <f>+'GRUPO B'!P14</f>
        <v xml:space="preserve">  3)  ESCUELA DEPORTIVA FÚTBOL RAQUIRA</v>
      </c>
      <c r="C29" s="493"/>
      <c r="D29" s="467">
        <f>+'GRUPO B'!Q14</f>
        <v>0</v>
      </c>
      <c r="E29" s="466">
        <f>+'GRUPO B'!R14</f>
        <v>3</v>
      </c>
      <c r="F29" s="466">
        <f>+'GRUPO B'!S14</f>
        <v>0</v>
      </c>
      <c r="G29" s="466">
        <f>+'GRUPO B'!T14</f>
        <v>0</v>
      </c>
      <c r="H29" s="466">
        <f>+'GRUPO B'!U14</f>
        <v>3</v>
      </c>
      <c r="I29" s="466">
        <f>+'GRUPO B'!V14</f>
        <v>2</v>
      </c>
      <c r="J29" s="466">
        <f>+'GRUPO B'!W14</f>
        <v>10</v>
      </c>
      <c r="K29" s="466">
        <f>+'GRUPO B'!X14</f>
        <v>-8</v>
      </c>
      <c r="L29" s="472">
        <f>+'GRUPO B'!Y14</f>
        <v>0</v>
      </c>
    </row>
    <row r="30" spans="1:13" ht="11.1" customHeight="1" x14ac:dyDescent="0.3">
      <c r="B30" s="475"/>
      <c r="C30" s="493"/>
      <c r="D30" s="467"/>
      <c r="E30" s="466"/>
      <c r="F30" s="466"/>
      <c r="G30" s="466"/>
      <c r="H30" s="466"/>
      <c r="I30" s="466"/>
      <c r="J30" s="466"/>
      <c r="K30" s="466"/>
      <c r="L30" s="472"/>
    </row>
    <row r="31" spans="1:13" ht="22.5" customHeight="1" x14ac:dyDescent="0.3">
      <c r="B31" s="475">
        <f>+'GRUPO B'!P16</f>
        <v>0</v>
      </c>
      <c r="C31" s="493"/>
      <c r="D31" s="467">
        <f>+'GRUPO B'!Q16</f>
        <v>0</v>
      </c>
      <c r="E31" s="466">
        <f>+'GRUPO B'!R16</f>
        <v>0</v>
      </c>
      <c r="F31" s="466">
        <f>+'GRUPO B'!S16</f>
        <v>0</v>
      </c>
      <c r="G31" s="466">
        <f>+'GRUPO B'!T16</f>
        <v>0</v>
      </c>
      <c r="H31" s="466">
        <f>+'GRUPO B'!U16</f>
        <v>0</v>
      </c>
      <c r="I31" s="466">
        <f>+'GRUPO B'!V16</f>
        <v>0</v>
      </c>
      <c r="J31" s="466">
        <f>+'GRUPO B'!W16</f>
        <v>0</v>
      </c>
      <c r="K31" s="466">
        <f>+'GRUPO B'!X16</f>
        <v>0</v>
      </c>
      <c r="L31" s="472">
        <f>+'GRUPO B'!Y16</f>
        <v>0</v>
      </c>
    </row>
    <row r="32" spans="1:13" ht="11.1" customHeight="1" thickBot="1" x14ac:dyDescent="0.35">
      <c r="B32" s="484"/>
      <c r="C32" s="510"/>
      <c r="D32" s="486"/>
      <c r="E32" s="481"/>
      <c r="F32" s="481"/>
      <c r="G32" s="481"/>
      <c r="H32" s="481"/>
      <c r="I32" s="481"/>
      <c r="J32" s="481"/>
      <c r="K32" s="481"/>
      <c r="L32" s="495"/>
    </row>
    <row r="33" spans="1:13" ht="7.5" customHeight="1" x14ac:dyDescent="0.3"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3" ht="23.25" customHeight="1" x14ac:dyDescent="0.3">
      <c r="A34" s="471" t="s">
        <v>34</v>
      </c>
      <c r="B34" s="334"/>
      <c r="C34" s="334"/>
      <c r="D34" s="334"/>
      <c r="E34" s="334"/>
      <c r="F34" s="334"/>
      <c r="G34" s="334"/>
      <c r="H34" s="334"/>
      <c r="I34" s="334"/>
      <c r="J34" s="334"/>
      <c r="K34" s="334"/>
      <c r="L34" s="334"/>
    </row>
    <row r="35" spans="1:13" ht="7.5" customHeight="1" x14ac:dyDescent="0.3"/>
    <row r="36" spans="1:13" ht="33.75" customHeight="1" x14ac:dyDescent="0.3">
      <c r="A36" s="90">
        <f>+'GRUPO B'!B32</f>
        <v>42813</v>
      </c>
      <c r="B36" s="91" t="str">
        <f>+'GRUPO B'!C32</f>
        <v>04:30. p.m.</v>
      </c>
      <c r="C36" s="119" t="str">
        <f>+'GRUPO B'!E32</f>
        <v>ESCUELA DEPORTIVA FÚTBOL RAQUIRA</v>
      </c>
      <c r="D36" s="95"/>
      <c r="E36" s="85" t="s">
        <v>15</v>
      </c>
      <c r="F36" s="95"/>
      <c r="G36" s="469" t="str">
        <f>+'GRUPO B'!K32</f>
        <v>BLUEMARTIN F.C .</v>
      </c>
      <c r="H36" s="455"/>
      <c r="I36" s="455"/>
      <c r="J36" s="455"/>
      <c r="K36" s="105" t="str">
        <f>+'GRUPO B'!M32</f>
        <v>CANCHA 1</v>
      </c>
      <c r="L36" s="92"/>
    </row>
    <row r="37" spans="1:13" ht="7.5" customHeight="1" x14ac:dyDescent="0.35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103"/>
      <c r="L37" s="84"/>
    </row>
    <row r="38" spans="1:13" ht="33.75" customHeight="1" x14ac:dyDescent="0.3">
      <c r="A38" s="93">
        <f>+'GRUPO B'!B35</f>
        <v>42813</v>
      </c>
      <c r="B38" s="94" t="str">
        <f>+'GRUPO B'!C32</f>
        <v>04:30. p.m.</v>
      </c>
      <c r="C38" s="120" t="str">
        <f>+'GRUPO B'!E35</f>
        <v>TEMPLO DEL FÚTBOL</v>
      </c>
      <c r="D38" s="95"/>
      <c r="E38" s="85" t="s">
        <v>15</v>
      </c>
      <c r="F38" s="95"/>
      <c r="G38" s="470" t="str">
        <f>+'GRUPO B'!K35</f>
        <v>CLUB CAMPESTRE IBAGUE</v>
      </c>
      <c r="H38" s="456"/>
      <c r="I38" s="456"/>
      <c r="J38" s="456"/>
      <c r="K38" s="104" t="str">
        <f>+'GRUPO B'!M35</f>
        <v>CANCHA 2</v>
      </c>
      <c r="L38" s="96"/>
    </row>
    <row r="39" spans="1:13" ht="7.5" customHeight="1" thickBot="1" x14ac:dyDescent="0.35">
      <c r="A39" s="63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</row>
    <row r="40" spans="1:13" ht="7.5" hidden="1" customHeight="1" thickBot="1" x14ac:dyDescent="0.35"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3" ht="15" hidden="1" customHeight="1" x14ac:dyDescent="0.3">
      <c r="B41" s="489" t="str">
        <f>+'GRUPOS INFANTIL'!F6</f>
        <v>GRUPO C</v>
      </c>
      <c r="C41" s="490"/>
      <c r="D41" s="488" t="str">
        <f>+'GRUPO B'!Q8</f>
        <v>Pts.</v>
      </c>
      <c r="E41" s="487" t="str">
        <f>+'GRUPO B'!R8</f>
        <v>PJ</v>
      </c>
      <c r="F41" s="487" t="str">
        <f>+'GRUPO B'!S8</f>
        <v>Gan.</v>
      </c>
      <c r="G41" s="487" t="str">
        <f>+'GRUPO B'!T8</f>
        <v>Emp.</v>
      </c>
      <c r="H41" s="487" t="str">
        <f>+'GRUPO B'!U8</f>
        <v>Per.</v>
      </c>
      <c r="I41" s="487" t="str">
        <f>+'GRUPO B'!V8</f>
        <v>GF</v>
      </c>
      <c r="J41" s="487" t="str">
        <f>+'GRUPO B'!W8</f>
        <v>GC</v>
      </c>
      <c r="K41" s="487" t="str">
        <f>+'GRUPO B'!X8</f>
        <v>Dif.</v>
      </c>
      <c r="L41" s="494" t="str">
        <f>+'GRUPO B'!Y8</f>
        <v>Tj</v>
      </c>
    </row>
    <row r="42" spans="1:13" ht="7.5" hidden="1" customHeight="1" thickBot="1" x14ac:dyDescent="0.35">
      <c r="B42" s="491"/>
      <c r="C42" s="492"/>
      <c r="D42" s="486"/>
      <c r="E42" s="481"/>
      <c r="F42" s="481"/>
      <c r="G42" s="481"/>
      <c r="H42" s="481"/>
      <c r="I42" s="481"/>
      <c r="J42" s="481"/>
      <c r="K42" s="481"/>
      <c r="L42" s="495"/>
    </row>
    <row r="43" spans="1:13" ht="15" hidden="1" customHeight="1" x14ac:dyDescent="0.3">
      <c r="B43" s="473" t="str">
        <f>+'GRUPO B'!P10</f>
        <v xml:space="preserve">  1)  TEMPLO DEL FÚTBOL</v>
      </c>
      <c r="C43" s="474"/>
      <c r="D43" s="488">
        <f>+'GRUPO B'!Q10</f>
        <v>7</v>
      </c>
      <c r="E43" s="487">
        <f>+'GRUPO B'!R10</f>
        <v>3</v>
      </c>
      <c r="F43" s="487">
        <f>+'GRUPO B'!S10</f>
        <v>2</v>
      </c>
      <c r="G43" s="487">
        <f>+'GRUPO B'!T10</f>
        <v>1</v>
      </c>
      <c r="H43" s="487">
        <f>+'GRUPO B'!U10</f>
        <v>0</v>
      </c>
      <c r="I43" s="487">
        <f>+'GRUPO B'!V10</f>
        <v>9</v>
      </c>
      <c r="J43" s="487">
        <f>+'GRUPO B'!W10</f>
        <v>1</v>
      </c>
      <c r="K43" s="487">
        <f>+'GRUPO B'!X10</f>
        <v>8</v>
      </c>
      <c r="L43" s="494">
        <f>+'GRUPO B'!Y10</f>
        <v>0</v>
      </c>
    </row>
    <row r="44" spans="1:13" ht="15" hidden="1" customHeight="1" x14ac:dyDescent="0.3">
      <c r="B44" s="475"/>
      <c r="C44" s="476"/>
      <c r="D44" s="467"/>
      <c r="E44" s="466"/>
      <c r="F44" s="466"/>
      <c r="G44" s="466"/>
      <c r="H44" s="466"/>
      <c r="I44" s="466"/>
      <c r="J44" s="466"/>
      <c r="K44" s="466"/>
      <c r="L44" s="472"/>
    </row>
    <row r="45" spans="1:13" ht="15" hidden="1" customHeight="1" x14ac:dyDescent="0.3">
      <c r="B45" s="475" t="str">
        <f>+'GRUPO B'!P12</f>
        <v xml:space="preserve">  2)  CLUB CAMPESTRE IBAGUE</v>
      </c>
      <c r="C45" s="476"/>
      <c r="D45" s="467">
        <f>+'GRUPO B'!Q12</f>
        <v>7</v>
      </c>
      <c r="E45" s="466">
        <f>+'GRUPO B'!R12</f>
        <v>3</v>
      </c>
      <c r="F45" s="466">
        <f>+'GRUPO B'!S12</f>
        <v>2</v>
      </c>
      <c r="G45" s="466">
        <f>+'GRUPO B'!T12</f>
        <v>1</v>
      </c>
      <c r="H45" s="466">
        <f>+'GRUPO B'!U12</f>
        <v>0</v>
      </c>
      <c r="I45" s="466">
        <f>+'GRUPO B'!V12</f>
        <v>9</v>
      </c>
      <c r="J45" s="466">
        <f>+'GRUPO B'!W12</f>
        <v>3</v>
      </c>
      <c r="K45" s="466">
        <f>+'GRUPO B'!X12</f>
        <v>6</v>
      </c>
      <c r="L45" s="472">
        <f>+'GRUPO B'!Y12</f>
        <v>0</v>
      </c>
    </row>
    <row r="46" spans="1:13" ht="15" hidden="1" customHeight="1" x14ac:dyDescent="0.3">
      <c r="B46" s="475"/>
      <c r="C46" s="476"/>
      <c r="D46" s="467"/>
      <c r="E46" s="466"/>
      <c r="F46" s="466"/>
      <c r="G46" s="466"/>
      <c r="H46" s="466"/>
      <c r="I46" s="466"/>
      <c r="J46" s="466"/>
      <c r="K46" s="466"/>
      <c r="L46" s="472"/>
    </row>
    <row r="47" spans="1:13" ht="15" hidden="1" customHeight="1" x14ac:dyDescent="0.3">
      <c r="B47" s="475" t="str">
        <f>+'GRUPO B'!P14</f>
        <v xml:space="preserve">  3)  ESCUELA DEPORTIVA FÚTBOL RAQUIRA</v>
      </c>
      <c r="C47" s="476"/>
      <c r="D47" s="467">
        <f>+'GRUPO B'!Q14</f>
        <v>0</v>
      </c>
      <c r="E47" s="466">
        <f>+'GRUPO B'!R14</f>
        <v>3</v>
      </c>
      <c r="F47" s="466">
        <f>+'GRUPO B'!S14</f>
        <v>0</v>
      </c>
      <c r="G47" s="466">
        <f>+'GRUPO B'!T14</f>
        <v>0</v>
      </c>
      <c r="H47" s="466">
        <f>+'GRUPO B'!U14</f>
        <v>3</v>
      </c>
      <c r="I47" s="466">
        <f>+'GRUPO B'!V14</f>
        <v>2</v>
      </c>
      <c r="J47" s="466">
        <f>+'GRUPO B'!W14</f>
        <v>10</v>
      </c>
      <c r="K47" s="466">
        <f>+'GRUPO B'!X14</f>
        <v>-8</v>
      </c>
      <c r="L47" s="472">
        <f>+'GRUPO B'!Y14</f>
        <v>0</v>
      </c>
    </row>
    <row r="48" spans="1:13" ht="15" hidden="1" customHeight="1" x14ac:dyDescent="0.3">
      <c r="B48" s="475"/>
      <c r="C48" s="476"/>
      <c r="D48" s="467"/>
      <c r="E48" s="466"/>
      <c r="F48" s="466"/>
      <c r="G48" s="466"/>
      <c r="H48" s="466"/>
      <c r="I48" s="466"/>
      <c r="J48" s="466"/>
      <c r="K48" s="466"/>
      <c r="L48" s="472"/>
    </row>
    <row r="49" spans="1:13" hidden="1" x14ac:dyDescent="0.3">
      <c r="B49" s="475">
        <f>+'GRUPO B'!P16</f>
        <v>0</v>
      </c>
      <c r="C49" s="476"/>
      <c r="D49" s="467">
        <f>+'GRUPO B'!Q16</f>
        <v>0</v>
      </c>
      <c r="E49" s="466">
        <f>+'GRUPO B'!R16</f>
        <v>0</v>
      </c>
      <c r="F49" s="466">
        <f>+'GRUPO B'!S16</f>
        <v>0</v>
      </c>
      <c r="G49" s="466">
        <f>+'GRUPO B'!T16</f>
        <v>0</v>
      </c>
      <c r="H49" s="466">
        <f>+'GRUPO B'!U16</f>
        <v>0</v>
      </c>
      <c r="I49" s="466">
        <f>+'GRUPO B'!V16</f>
        <v>0</v>
      </c>
      <c r="J49" s="466">
        <f>+'GRUPO B'!W16</f>
        <v>0</v>
      </c>
      <c r="K49" s="466">
        <f>+'GRUPO B'!X16</f>
        <v>0</v>
      </c>
      <c r="L49" s="472">
        <f>+'GRUPO B'!Y16</f>
        <v>0</v>
      </c>
    </row>
    <row r="50" spans="1:13" ht="15" hidden="1" thickBot="1" x14ac:dyDescent="0.35">
      <c r="B50" s="484"/>
      <c r="C50" s="485"/>
      <c r="D50" s="486"/>
      <c r="E50" s="481"/>
      <c r="F50" s="481"/>
      <c r="G50" s="481"/>
      <c r="H50" s="481"/>
      <c r="I50" s="481"/>
      <c r="J50" s="481"/>
      <c r="K50" s="481"/>
      <c r="L50" s="495"/>
    </row>
    <row r="51" spans="1:13" ht="7.5" hidden="1" customHeight="1" x14ac:dyDescent="0.3"/>
    <row r="52" spans="1:13" ht="23.4" hidden="1" x14ac:dyDescent="0.3">
      <c r="A52" s="471" t="s">
        <v>34</v>
      </c>
      <c r="B52" s="334"/>
      <c r="C52" s="334"/>
      <c r="D52" s="334"/>
      <c r="E52" s="334"/>
      <c r="F52" s="334"/>
      <c r="G52" s="334"/>
      <c r="H52" s="334"/>
      <c r="I52" s="334"/>
      <c r="J52" s="334"/>
      <c r="K52" s="334"/>
      <c r="L52" s="334"/>
    </row>
    <row r="53" spans="1:13" hidden="1" x14ac:dyDescent="0.3"/>
    <row r="54" spans="1:13" ht="33.75" hidden="1" customHeight="1" x14ac:dyDescent="0.3">
      <c r="A54" s="90" t="e">
        <f>+#REF!</f>
        <v>#REF!</v>
      </c>
      <c r="B54" s="91" t="e">
        <f>+#REF!</f>
        <v>#REF!</v>
      </c>
      <c r="C54" s="119" t="e">
        <f>+#REF!</f>
        <v>#REF!</v>
      </c>
      <c r="D54" s="95"/>
      <c r="E54" s="85" t="s">
        <v>15</v>
      </c>
      <c r="F54" s="95"/>
      <c r="G54" s="469" t="e">
        <f>+#REF!</f>
        <v>#REF!</v>
      </c>
      <c r="H54" s="455"/>
      <c r="I54" s="455"/>
      <c r="J54" s="455"/>
      <c r="K54" s="105" t="e">
        <f>+#REF!</f>
        <v>#REF!</v>
      </c>
      <c r="L54" s="105"/>
    </row>
    <row r="55" spans="1:13" ht="17.399999999999999" hidden="1" x14ac:dyDescent="0.3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103"/>
      <c r="L55" s="103"/>
    </row>
    <row r="56" spans="1:13" ht="33.75" hidden="1" customHeight="1" x14ac:dyDescent="0.3">
      <c r="A56" s="93" t="e">
        <f>+#REF!</f>
        <v>#REF!</v>
      </c>
      <c r="B56" s="94" t="e">
        <f>+#REF!</f>
        <v>#REF!</v>
      </c>
      <c r="C56" s="120" t="e">
        <f>+#REF!</f>
        <v>#REF!</v>
      </c>
      <c r="D56" s="95"/>
      <c r="E56" s="85" t="s">
        <v>15</v>
      </c>
      <c r="F56" s="95"/>
      <c r="G56" s="470" t="e">
        <f>+#REF!</f>
        <v>#REF!</v>
      </c>
      <c r="H56" s="456"/>
      <c r="I56" s="456"/>
      <c r="J56" s="456"/>
      <c r="K56" s="108" t="e">
        <f>+#REF!</f>
        <v>#REF!</v>
      </c>
      <c r="L56" s="108"/>
    </row>
    <row r="57" spans="1:13" ht="15" hidden="1" thickBot="1" x14ac:dyDescent="0.35">
      <c r="A57" s="63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</row>
    <row r="58" spans="1:13" ht="15" hidden="1" thickBot="1" x14ac:dyDescent="0.35"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3" ht="15" hidden="1" customHeight="1" x14ac:dyDescent="0.3">
      <c r="B59" s="508" t="e">
        <f>+'GRUPOS INFANTIL'!#REF!</f>
        <v>#REF!</v>
      </c>
      <c r="C59" s="508"/>
      <c r="D59" s="488" t="e">
        <f>+#REF!</f>
        <v>#REF!</v>
      </c>
      <c r="E59" s="487" t="e">
        <f>+#REF!</f>
        <v>#REF!</v>
      </c>
      <c r="F59" s="487" t="e">
        <f>+#REF!</f>
        <v>#REF!</v>
      </c>
      <c r="G59" s="487" t="e">
        <f>+#REF!</f>
        <v>#REF!</v>
      </c>
      <c r="H59" s="487" t="e">
        <f>+#REF!</f>
        <v>#REF!</v>
      </c>
      <c r="I59" s="487" t="e">
        <f>+#REF!</f>
        <v>#REF!</v>
      </c>
      <c r="J59" s="487" t="e">
        <f>+#REF!</f>
        <v>#REF!</v>
      </c>
      <c r="K59" s="487" t="e">
        <f>+#REF!</f>
        <v>#REF!</v>
      </c>
      <c r="L59" s="494" t="e">
        <f>+#REF!</f>
        <v>#REF!</v>
      </c>
    </row>
    <row r="60" spans="1:13" ht="15.75" hidden="1" customHeight="1" thickBot="1" x14ac:dyDescent="0.35">
      <c r="B60" s="509"/>
      <c r="C60" s="509"/>
      <c r="D60" s="467"/>
      <c r="E60" s="466"/>
      <c r="F60" s="466"/>
      <c r="G60" s="466"/>
      <c r="H60" s="466"/>
      <c r="I60" s="466"/>
      <c r="J60" s="466"/>
      <c r="K60" s="466"/>
      <c r="L60" s="472"/>
    </row>
    <row r="61" spans="1:13" ht="15" hidden="1" customHeight="1" x14ac:dyDescent="0.3">
      <c r="B61" s="473" t="e">
        <f>+#REF!</f>
        <v>#REF!</v>
      </c>
      <c r="C61" s="474"/>
      <c r="D61" s="467" t="e">
        <f>+#REF!</f>
        <v>#REF!</v>
      </c>
      <c r="E61" s="466" t="e">
        <f>+#REF!</f>
        <v>#REF!</v>
      </c>
      <c r="F61" s="466" t="e">
        <f>+#REF!</f>
        <v>#REF!</v>
      </c>
      <c r="G61" s="466" t="e">
        <f>+#REF!</f>
        <v>#REF!</v>
      </c>
      <c r="H61" s="466" t="e">
        <f>+#REF!</f>
        <v>#REF!</v>
      </c>
      <c r="I61" s="466" t="e">
        <f>+#REF!</f>
        <v>#REF!</v>
      </c>
      <c r="J61" s="466" t="e">
        <f>+#REF!</f>
        <v>#REF!</v>
      </c>
      <c r="K61" s="466" t="e">
        <f>+#REF!</f>
        <v>#REF!</v>
      </c>
      <c r="L61" s="472" t="e">
        <f>+#REF!</f>
        <v>#REF!</v>
      </c>
    </row>
    <row r="62" spans="1:13" ht="15" hidden="1" customHeight="1" x14ac:dyDescent="0.3">
      <c r="B62" s="475"/>
      <c r="C62" s="476"/>
      <c r="D62" s="467"/>
      <c r="E62" s="466"/>
      <c r="F62" s="466"/>
      <c r="G62" s="466"/>
      <c r="H62" s="466"/>
      <c r="I62" s="466"/>
      <c r="J62" s="466"/>
      <c r="K62" s="466"/>
      <c r="L62" s="472"/>
    </row>
    <row r="63" spans="1:13" ht="15" hidden="1" customHeight="1" x14ac:dyDescent="0.3">
      <c r="B63" s="473" t="e">
        <f>+#REF!</f>
        <v>#REF!</v>
      </c>
      <c r="C63" s="474"/>
      <c r="D63" s="467" t="e">
        <f>+#REF!</f>
        <v>#REF!</v>
      </c>
      <c r="E63" s="466" t="e">
        <f>+#REF!</f>
        <v>#REF!</v>
      </c>
      <c r="F63" s="466" t="e">
        <f>+#REF!</f>
        <v>#REF!</v>
      </c>
      <c r="G63" s="466" t="e">
        <f>+#REF!</f>
        <v>#REF!</v>
      </c>
      <c r="H63" s="466" t="e">
        <f>+#REF!</f>
        <v>#REF!</v>
      </c>
      <c r="I63" s="466" t="e">
        <f>+#REF!</f>
        <v>#REF!</v>
      </c>
      <c r="J63" s="466" t="e">
        <f>+#REF!</f>
        <v>#REF!</v>
      </c>
      <c r="K63" s="466" t="e">
        <f>+#REF!</f>
        <v>#REF!</v>
      </c>
      <c r="L63" s="472" t="e">
        <f>+#REF!</f>
        <v>#REF!</v>
      </c>
    </row>
    <row r="64" spans="1:13" ht="15" hidden="1" customHeight="1" x14ac:dyDescent="0.3">
      <c r="B64" s="475"/>
      <c r="C64" s="476"/>
      <c r="D64" s="467"/>
      <c r="E64" s="466"/>
      <c r="F64" s="466"/>
      <c r="G64" s="466"/>
      <c r="H64" s="466"/>
      <c r="I64" s="466"/>
      <c r="J64" s="466"/>
      <c r="K64" s="466"/>
      <c r="L64" s="472"/>
    </row>
    <row r="65" spans="1:13" ht="15" hidden="1" customHeight="1" x14ac:dyDescent="0.3">
      <c r="B65" s="473" t="e">
        <f>+#REF!</f>
        <v>#REF!</v>
      </c>
      <c r="C65" s="474"/>
      <c r="D65" s="467" t="e">
        <f>+#REF!</f>
        <v>#REF!</v>
      </c>
      <c r="E65" s="466" t="e">
        <f>+#REF!</f>
        <v>#REF!</v>
      </c>
      <c r="F65" s="466" t="e">
        <f>+#REF!</f>
        <v>#REF!</v>
      </c>
      <c r="G65" s="466" t="e">
        <f>+#REF!</f>
        <v>#REF!</v>
      </c>
      <c r="H65" s="466" t="e">
        <f>+#REF!</f>
        <v>#REF!</v>
      </c>
      <c r="I65" s="466" t="e">
        <f>+#REF!</f>
        <v>#REF!</v>
      </c>
      <c r="J65" s="466" t="e">
        <f>+#REF!</f>
        <v>#REF!</v>
      </c>
      <c r="K65" s="466" t="e">
        <f>+#REF!</f>
        <v>#REF!</v>
      </c>
      <c r="L65" s="472" t="e">
        <f>+#REF!</f>
        <v>#REF!</v>
      </c>
    </row>
    <row r="66" spans="1:13" ht="15" hidden="1" customHeight="1" x14ac:dyDescent="0.3">
      <c r="B66" s="475"/>
      <c r="C66" s="476"/>
      <c r="D66" s="467"/>
      <c r="E66" s="466"/>
      <c r="F66" s="466"/>
      <c r="G66" s="466"/>
      <c r="H66" s="466"/>
      <c r="I66" s="466"/>
      <c r="J66" s="466"/>
      <c r="K66" s="466"/>
      <c r="L66" s="472"/>
    </row>
    <row r="67" spans="1:13" ht="15" hidden="1" customHeight="1" x14ac:dyDescent="0.3">
      <c r="B67" s="473" t="e">
        <f>+#REF!</f>
        <v>#REF!</v>
      </c>
      <c r="C67" s="474"/>
      <c r="D67" s="467" t="e">
        <f>+#REF!</f>
        <v>#REF!</v>
      </c>
      <c r="E67" s="466" t="e">
        <f>+#REF!</f>
        <v>#REF!</v>
      </c>
      <c r="F67" s="466" t="e">
        <f>+#REF!</f>
        <v>#REF!</v>
      </c>
      <c r="G67" s="466" t="e">
        <f>+#REF!</f>
        <v>#REF!</v>
      </c>
      <c r="H67" s="466" t="e">
        <f>+#REF!</f>
        <v>#REF!</v>
      </c>
      <c r="I67" s="466" t="e">
        <f>+#REF!</f>
        <v>#REF!</v>
      </c>
      <c r="J67" s="466" t="e">
        <f>+#REF!</f>
        <v>#REF!</v>
      </c>
      <c r="K67" s="466" t="e">
        <f>+#REF!</f>
        <v>#REF!</v>
      </c>
      <c r="L67" s="472" t="e">
        <f>+#REF!</f>
        <v>#REF!</v>
      </c>
    </row>
    <row r="68" spans="1:13" ht="15.75" hidden="1" customHeight="1" thickBot="1" x14ac:dyDescent="0.35">
      <c r="B68" s="475"/>
      <c r="C68" s="476"/>
      <c r="D68" s="486"/>
      <c r="E68" s="481"/>
      <c r="F68" s="481"/>
      <c r="G68" s="481"/>
      <c r="H68" s="481"/>
      <c r="I68" s="481"/>
      <c r="J68" s="481"/>
      <c r="K68" s="481"/>
      <c r="L68" s="495"/>
    </row>
    <row r="69" spans="1:13" hidden="1" x14ac:dyDescent="0.3"/>
    <row r="70" spans="1:13" ht="23.4" hidden="1" x14ac:dyDescent="0.3">
      <c r="A70" s="471" t="s">
        <v>34</v>
      </c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</row>
    <row r="71" spans="1:13" hidden="1" x14ac:dyDescent="0.3"/>
    <row r="72" spans="1:13" ht="33.75" hidden="1" customHeight="1" x14ac:dyDescent="0.3">
      <c r="A72" s="90" t="e">
        <f>+#REF!</f>
        <v>#REF!</v>
      </c>
      <c r="B72" s="91" t="e">
        <f>+#REF!</f>
        <v>#REF!</v>
      </c>
      <c r="C72" s="119" t="e">
        <f>+#REF!</f>
        <v>#REF!</v>
      </c>
      <c r="D72" s="95"/>
      <c r="E72" s="85" t="s">
        <v>15</v>
      </c>
      <c r="F72" s="95"/>
      <c r="G72" s="469" t="e">
        <f>+#REF!</f>
        <v>#REF!</v>
      </c>
      <c r="H72" s="455"/>
      <c r="I72" s="455"/>
      <c r="J72" s="455"/>
      <c r="K72" s="105" t="e">
        <f>+#REF!</f>
        <v>#REF!</v>
      </c>
      <c r="L72" s="105"/>
    </row>
    <row r="73" spans="1:13" ht="17.399999999999999" hidden="1" x14ac:dyDescent="0.35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103"/>
      <c r="L73" s="103"/>
    </row>
    <row r="74" spans="1:13" ht="33.75" hidden="1" customHeight="1" x14ac:dyDescent="0.3">
      <c r="A74" s="93" t="e">
        <f>+#REF!</f>
        <v>#REF!</v>
      </c>
      <c r="B74" s="94" t="e">
        <f>+#REF!</f>
        <v>#REF!</v>
      </c>
      <c r="C74" s="120" t="e">
        <f>+#REF!</f>
        <v>#REF!</v>
      </c>
      <c r="D74" s="95"/>
      <c r="E74" s="85" t="s">
        <v>15</v>
      </c>
      <c r="F74" s="95"/>
      <c r="G74" s="470" t="e">
        <f>+#REF!</f>
        <v>#REF!</v>
      </c>
      <c r="H74" s="456"/>
      <c r="I74" s="456"/>
      <c r="J74" s="456"/>
      <c r="K74" s="108" t="e">
        <f>+#REF!</f>
        <v>#REF!</v>
      </c>
      <c r="L74" s="108"/>
    </row>
    <row r="75" spans="1:13" x14ac:dyDescent="0.3">
      <c r="A75" s="468" t="s">
        <v>32</v>
      </c>
      <c r="B75" s="468"/>
      <c r="C75" s="468"/>
      <c r="D75" s="468"/>
      <c r="E75" s="468"/>
      <c r="F75" s="468"/>
      <c r="G75" s="468"/>
      <c r="H75" s="468"/>
      <c r="I75" s="468"/>
      <c r="J75" s="468"/>
      <c r="K75" s="468"/>
      <c r="L75" s="468"/>
      <c r="M75" s="468"/>
    </row>
    <row r="76" spans="1:13" x14ac:dyDescent="0.3">
      <c r="A76" s="468"/>
      <c r="B76" s="468"/>
      <c r="C76" s="468"/>
      <c r="D76" s="468"/>
      <c r="E76" s="468"/>
      <c r="F76" s="468"/>
      <c r="G76" s="468"/>
      <c r="H76" s="468"/>
      <c r="I76" s="468"/>
      <c r="J76" s="468"/>
      <c r="K76" s="468"/>
      <c r="L76" s="468"/>
      <c r="M76" s="468"/>
    </row>
    <row r="77" spans="1:13" x14ac:dyDescent="0.3">
      <c r="A77" s="468"/>
      <c r="B77" s="468"/>
      <c r="C77" s="468"/>
      <c r="D77" s="468"/>
      <c r="E77" s="468"/>
      <c r="F77" s="468"/>
      <c r="G77" s="468"/>
      <c r="H77" s="468"/>
      <c r="I77" s="468"/>
      <c r="J77" s="468"/>
      <c r="K77" s="468"/>
      <c r="L77" s="468"/>
      <c r="M77" s="468"/>
    </row>
    <row r="78" spans="1:13" x14ac:dyDescent="0.3">
      <c r="A78" s="449" t="s">
        <v>28</v>
      </c>
      <c r="B78" s="449"/>
      <c r="C78" s="449"/>
      <c r="D78" s="449"/>
      <c r="E78" s="449"/>
      <c r="F78" s="449"/>
      <c r="G78" s="449"/>
      <c r="H78" s="449"/>
      <c r="I78" s="449"/>
      <c r="J78" s="449"/>
      <c r="K78" s="449"/>
      <c r="L78" s="449"/>
      <c r="M78" s="449"/>
    </row>
    <row r="79" spans="1:13" x14ac:dyDescent="0.3">
      <c r="A79" s="449" t="s">
        <v>29</v>
      </c>
      <c r="B79" s="449"/>
      <c r="C79" s="449"/>
      <c r="D79" s="449"/>
      <c r="E79" s="449"/>
      <c r="F79" s="449"/>
      <c r="G79" s="449"/>
      <c r="H79" s="449"/>
      <c r="I79" s="449"/>
      <c r="J79" s="449"/>
      <c r="K79" s="449"/>
      <c r="L79" s="449"/>
      <c r="M79" s="449"/>
    </row>
    <row r="80" spans="1:13" x14ac:dyDescent="0.3">
      <c r="A80" s="450" t="s">
        <v>30</v>
      </c>
      <c r="B80" s="450"/>
      <c r="C80" s="450"/>
      <c r="D80" s="450"/>
      <c r="E80" s="450"/>
      <c r="F80" s="450"/>
      <c r="G80" s="450"/>
      <c r="H80" s="450"/>
      <c r="I80" s="450"/>
      <c r="J80" s="450"/>
      <c r="K80" s="450"/>
      <c r="L80" s="450"/>
      <c r="M80" s="450"/>
    </row>
    <row r="81" spans="1:13" x14ac:dyDescent="0.3">
      <c r="A81" s="449" t="s">
        <v>31</v>
      </c>
      <c r="B81" s="449"/>
      <c r="C81" s="449"/>
      <c r="D81" s="449"/>
      <c r="E81" s="449"/>
      <c r="F81" s="449"/>
      <c r="G81" s="449"/>
      <c r="H81" s="449"/>
      <c r="I81" s="449"/>
      <c r="J81" s="449"/>
      <c r="K81" s="449"/>
      <c r="L81" s="449"/>
      <c r="M81" s="449"/>
    </row>
  </sheetData>
  <mergeCells count="217">
    <mergeCell ref="A70:L70"/>
    <mergeCell ref="G72:J72"/>
    <mergeCell ref="G74:J74"/>
    <mergeCell ref="L65:L66"/>
    <mergeCell ref="B67:C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B65:C66"/>
    <mergeCell ref="D65:D66"/>
    <mergeCell ref="E65:E66"/>
    <mergeCell ref="F65:F66"/>
    <mergeCell ref="G65:G66"/>
    <mergeCell ref="H65:H66"/>
    <mergeCell ref="I65:I66"/>
    <mergeCell ref="J65:J66"/>
    <mergeCell ref="K65:K66"/>
    <mergeCell ref="F63:F64"/>
    <mergeCell ref="G63:G64"/>
    <mergeCell ref="H63:H64"/>
    <mergeCell ref="I63:I64"/>
    <mergeCell ref="J63:J64"/>
    <mergeCell ref="K63:K64"/>
    <mergeCell ref="L63:L64"/>
    <mergeCell ref="B61:C62"/>
    <mergeCell ref="D61:D62"/>
    <mergeCell ref="E61:E62"/>
    <mergeCell ref="F61:F62"/>
    <mergeCell ref="G61:G62"/>
    <mergeCell ref="H61:H62"/>
    <mergeCell ref="I61:I62"/>
    <mergeCell ref="J61:J62"/>
    <mergeCell ref="K61:K62"/>
    <mergeCell ref="L31:L32"/>
    <mergeCell ref="A34:L34"/>
    <mergeCell ref="G36:J36"/>
    <mergeCell ref="G38:J38"/>
    <mergeCell ref="B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B31:C32"/>
    <mergeCell ref="D31:D32"/>
    <mergeCell ref="E31:E32"/>
    <mergeCell ref="F31:F32"/>
    <mergeCell ref="G31:G32"/>
    <mergeCell ref="H31:H32"/>
    <mergeCell ref="I31:I32"/>
    <mergeCell ref="J31:J32"/>
    <mergeCell ref="K31:K32"/>
    <mergeCell ref="J49:J50"/>
    <mergeCell ref="F27:F28"/>
    <mergeCell ref="G27:G28"/>
    <mergeCell ref="H27:H28"/>
    <mergeCell ref="I27:I28"/>
    <mergeCell ref="J27:J28"/>
    <mergeCell ref="K27:K28"/>
    <mergeCell ref="L27:L28"/>
    <mergeCell ref="B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L23:L24"/>
    <mergeCell ref="B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B23:C24"/>
    <mergeCell ref="D23:D24"/>
    <mergeCell ref="E23:E24"/>
    <mergeCell ref="F23:F24"/>
    <mergeCell ref="G23:G24"/>
    <mergeCell ref="H23:H24"/>
    <mergeCell ref="I23:I24"/>
    <mergeCell ref="J23:J24"/>
    <mergeCell ref="K23:K24"/>
    <mergeCell ref="L12:L13"/>
    <mergeCell ref="L14:L15"/>
    <mergeCell ref="L41:L42"/>
    <mergeCell ref="L43:L44"/>
    <mergeCell ref="L45:L46"/>
    <mergeCell ref="L47:L48"/>
    <mergeCell ref="L49:L50"/>
    <mergeCell ref="D12:D13"/>
    <mergeCell ref="E12:E13"/>
    <mergeCell ref="F12:F13"/>
    <mergeCell ref="G12:G13"/>
    <mergeCell ref="H12:H13"/>
    <mergeCell ref="I12:I13"/>
    <mergeCell ref="J12:J13"/>
    <mergeCell ref="G47:G48"/>
    <mergeCell ref="H47:H48"/>
    <mergeCell ref="K12:K13"/>
    <mergeCell ref="D14:D15"/>
    <mergeCell ref="E14:E15"/>
    <mergeCell ref="F14:F15"/>
    <mergeCell ref="G14:G15"/>
    <mergeCell ref="H14:H15"/>
    <mergeCell ref="I14:I15"/>
    <mergeCell ref="J14:J15"/>
    <mergeCell ref="I6:I7"/>
    <mergeCell ref="J6:J7"/>
    <mergeCell ref="K6:K7"/>
    <mergeCell ref="I8:I9"/>
    <mergeCell ref="J8:J9"/>
    <mergeCell ref="K8:K9"/>
    <mergeCell ref="L6:L7"/>
    <mergeCell ref="L8:L9"/>
    <mergeCell ref="L10:L11"/>
    <mergeCell ref="J10:J11"/>
    <mergeCell ref="K10:K11"/>
    <mergeCell ref="D8:D9"/>
    <mergeCell ref="E8:E9"/>
    <mergeCell ref="F8:F9"/>
    <mergeCell ref="G8:G9"/>
    <mergeCell ref="H8:H9"/>
    <mergeCell ref="D6:D7"/>
    <mergeCell ref="E6:E7"/>
    <mergeCell ref="F6:F7"/>
    <mergeCell ref="G6:G7"/>
    <mergeCell ref="H6:H7"/>
    <mergeCell ref="K14:K15"/>
    <mergeCell ref="K43:K44"/>
    <mergeCell ref="D41:D42"/>
    <mergeCell ref="E41:E42"/>
    <mergeCell ref="F41:F42"/>
    <mergeCell ref="G41:G42"/>
    <mergeCell ref="H41:H42"/>
    <mergeCell ref="I41:I42"/>
    <mergeCell ref="J41:J42"/>
    <mergeCell ref="G19:J19"/>
    <mergeCell ref="G21:J21"/>
    <mergeCell ref="K41:K42"/>
    <mergeCell ref="D43:D44"/>
    <mergeCell ref="E43:E44"/>
    <mergeCell ref="F43:F44"/>
    <mergeCell ref="G43:G44"/>
    <mergeCell ref="H43:H44"/>
    <mergeCell ref="I43:I44"/>
    <mergeCell ref="J43:J44"/>
    <mergeCell ref="A17:L17"/>
    <mergeCell ref="B41:C42"/>
    <mergeCell ref="B27:C28"/>
    <mergeCell ref="D27:D28"/>
    <mergeCell ref="E27:E28"/>
    <mergeCell ref="D10:D11"/>
    <mergeCell ref="E10:E11"/>
    <mergeCell ref="F10:F11"/>
    <mergeCell ref="G10:G11"/>
    <mergeCell ref="H10:H11"/>
    <mergeCell ref="I10:I11"/>
    <mergeCell ref="B6:C7"/>
    <mergeCell ref="K49:K50"/>
    <mergeCell ref="B8:C9"/>
    <mergeCell ref="B10:C11"/>
    <mergeCell ref="B12:C13"/>
    <mergeCell ref="B14:C15"/>
    <mergeCell ref="B43:C44"/>
    <mergeCell ref="B45:C46"/>
    <mergeCell ref="B47:C48"/>
    <mergeCell ref="B49:C50"/>
    <mergeCell ref="J47:J48"/>
    <mergeCell ref="K47:K48"/>
    <mergeCell ref="D49:D50"/>
    <mergeCell ref="E49:E50"/>
    <mergeCell ref="F49:F50"/>
    <mergeCell ref="G49:G50"/>
    <mergeCell ref="H49:H50"/>
    <mergeCell ref="I49:I50"/>
    <mergeCell ref="I45:I46"/>
    <mergeCell ref="J45:J46"/>
    <mergeCell ref="K45:K46"/>
    <mergeCell ref="D47:D48"/>
    <mergeCell ref="E47:E48"/>
    <mergeCell ref="A81:M81"/>
    <mergeCell ref="A80:M80"/>
    <mergeCell ref="A79:M79"/>
    <mergeCell ref="A78:M78"/>
    <mergeCell ref="A75:M77"/>
    <mergeCell ref="G54:J54"/>
    <mergeCell ref="G56:J56"/>
    <mergeCell ref="F47:F48"/>
    <mergeCell ref="I47:I48"/>
    <mergeCell ref="D45:D46"/>
    <mergeCell ref="E45:E46"/>
    <mergeCell ref="F45:F46"/>
    <mergeCell ref="G45:G46"/>
    <mergeCell ref="H45:H46"/>
    <mergeCell ref="A52:L52"/>
    <mergeCell ref="L61:L62"/>
    <mergeCell ref="B63:C64"/>
    <mergeCell ref="D63:D64"/>
    <mergeCell ref="E63:E64"/>
  </mergeCells>
  <conditionalFormatting sqref="D19 D56">
    <cfRule type="expression" dxfId="113" priority="49" stopIfTrue="1">
      <formula>#REF!="P"</formula>
    </cfRule>
    <cfRule type="expression" dxfId="112" priority="50" stopIfTrue="1">
      <formula>#REF!="E"</formula>
    </cfRule>
    <cfRule type="expression" dxfId="111" priority="51" stopIfTrue="1">
      <formula>#REF!="G"</formula>
    </cfRule>
  </conditionalFormatting>
  <conditionalFormatting sqref="D21">
    <cfRule type="expression" dxfId="110" priority="30" stopIfTrue="1">
      <formula>#REF!="G"</formula>
    </cfRule>
    <cfRule type="expression" dxfId="109" priority="29" stopIfTrue="1">
      <formula>#REF!="E"</formula>
    </cfRule>
    <cfRule type="expression" dxfId="108" priority="28" stopIfTrue="1">
      <formula>#REF!="P"</formula>
    </cfRule>
  </conditionalFormatting>
  <conditionalFormatting sqref="D36">
    <cfRule type="expression" dxfId="107" priority="16" stopIfTrue="1">
      <formula>#REF!="P"</formula>
    </cfRule>
    <cfRule type="expression" dxfId="106" priority="17" stopIfTrue="1">
      <formula>#REF!="E"</formula>
    </cfRule>
    <cfRule type="expression" dxfId="105" priority="18" stopIfTrue="1">
      <formula>#REF!="G"</formula>
    </cfRule>
  </conditionalFormatting>
  <conditionalFormatting sqref="D38">
    <cfRule type="expression" dxfId="104" priority="10" stopIfTrue="1">
      <formula>#REF!="P"</formula>
    </cfRule>
    <cfRule type="expression" dxfId="103" priority="11" stopIfTrue="1">
      <formula>#REF!="E"</formula>
    </cfRule>
    <cfRule type="expression" dxfId="102" priority="12" stopIfTrue="1">
      <formula>#REF!="G"</formula>
    </cfRule>
  </conditionalFormatting>
  <conditionalFormatting sqref="D54">
    <cfRule type="expression" dxfId="101" priority="39" stopIfTrue="1">
      <formula>#REF!="G"</formula>
    </cfRule>
    <cfRule type="expression" dxfId="100" priority="38" stopIfTrue="1">
      <formula>#REF!="E"</formula>
    </cfRule>
    <cfRule type="expression" dxfId="99" priority="37" stopIfTrue="1">
      <formula>#REF!="P"</formula>
    </cfRule>
  </conditionalFormatting>
  <conditionalFormatting sqref="D72">
    <cfRule type="expression" dxfId="98" priority="1" stopIfTrue="1">
      <formula>#REF!="P"</formula>
    </cfRule>
    <cfRule type="expression" dxfId="97" priority="2" stopIfTrue="1">
      <formula>#REF!="E"</formula>
    </cfRule>
    <cfRule type="expression" dxfId="96" priority="3" stopIfTrue="1">
      <formula>#REF!="G"</formula>
    </cfRule>
  </conditionalFormatting>
  <conditionalFormatting sqref="D74">
    <cfRule type="expression" dxfId="95" priority="4" stopIfTrue="1">
      <formula>#REF!="P"</formula>
    </cfRule>
    <cfRule type="expression" dxfId="94" priority="5" stopIfTrue="1">
      <formula>#REF!="E"</formula>
    </cfRule>
    <cfRule type="expression" dxfId="93" priority="6" stopIfTrue="1">
      <formula>#REF!="G"</formula>
    </cfRule>
  </conditionalFormatting>
  <conditionalFormatting sqref="F19 F54 F56">
    <cfRule type="expression" dxfId="92" priority="87" stopIfTrue="1">
      <formula>#REF!="G"</formula>
    </cfRule>
    <cfRule type="expression" dxfId="91" priority="85" stopIfTrue="1">
      <formula>#REF!="P"</formula>
    </cfRule>
    <cfRule type="expression" dxfId="90" priority="86" stopIfTrue="1">
      <formula>#REF!="E"</formula>
    </cfRule>
  </conditionalFormatting>
  <conditionalFormatting sqref="F21">
    <cfRule type="expression" dxfId="89" priority="31" stopIfTrue="1">
      <formula>#REF!="P"</formula>
    </cfRule>
    <cfRule type="expression" dxfId="88" priority="32" stopIfTrue="1">
      <formula>#REF!="E"</formula>
    </cfRule>
    <cfRule type="expression" dxfId="87" priority="33" stopIfTrue="1">
      <formula>#REF!="G"</formula>
    </cfRule>
  </conditionalFormatting>
  <conditionalFormatting sqref="F36">
    <cfRule type="expression" dxfId="86" priority="20" stopIfTrue="1">
      <formula>#REF!="E"</formula>
    </cfRule>
    <cfRule type="expression" dxfId="85" priority="21" stopIfTrue="1">
      <formula>#REF!="G"</formula>
    </cfRule>
    <cfRule type="expression" dxfId="84" priority="19" stopIfTrue="1">
      <formula>#REF!="P"</formula>
    </cfRule>
  </conditionalFormatting>
  <conditionalFormatting sqref="F38">
    <cfRule type="expression" dxfId="83" priority="15" stopIfTrue="1">
      <formula>#REF!="G"</formula>
    </cfRule>
    <cfRule type="expression" dxfId="82" priority="14" stopIfTrue="1">
      <formula>#REF!="E"</formula>
    </cfRule>
    <cfRule type="expression" dxfId="81" priority="13" stopIfTrue="1">
      <formula>#REF!="P"</formula>
    </cfRule>
  </conditionalFormatting>
  <conditionalFormatting sqref="F72 F74">
    <cfRule type="expression" dxfId="80" priority="9" stopIfTrue="1">
      <formula>#REF!="G"</formula>
    </cfRule>
    <cfRule type="expression" dxfId="79" priority="8" stopIfTrue="1">
      <formula>#REF!="E"</formula>
    </cfRule>
    <cfRule type="expression" dxfId="78" priority="7" stopIfTrue="1">
      <formula>#REF!="P"</formula>
    </cfRule>
  </conditionalFormatting>
  <hyperlinks>
    <hyperlink ref="A80" r:id="rId1" display="mailto:soccermelgar@outlook.com" xr:uid="{00000000-0004-0000-0B00-000000000000}"/>
  </hyperlinks>
  <printOptions horizontalCentered="1" verticalCentered="1"/>
  <pageMargins left="0.51181102362204722" right="0.51181102362204722" top="0.55118110236220474" bottom="0.55118110236220474" header="0" footer="0"/>
  <pageSetup scale="80" orientation="portrait" horizontalDpi="4294967293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  <pageSetUpPr fitToPage="1"/>
  </sheetPr>
  <dimension ref="A1:M81"/>
  <sheetViews>
    <sheetView zoomScaleNormal="100" workbookViewId="0">
      <selection activeCell="O42" sqref="O42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28.5546875" style="3" customWidth="1"/>
    <col min="4" max="6" width="6.6640625" style="3" customWidth="1"/>
    <col min="7" max="9" width="7.109375" style="3" customWidth="1"/>
    <col min="10" max="10" width="7.33203125" style="3" customWidth="1"/>
    <col min="11" max="12" width="6.6640625" style="3" customWidth="1"/>
    <col min="13" max="13" width="3.88671875" style="3" customWidth="1"/>
    <col min="14" max="16384" width="11.44140625" style="3"/>
  </cols>
  <sheetData>
    <row r="1" spans="2:12" ht="51" customHeight="1" x14ac:dyDescent="0.75">
      <c r="B1" s="57" t="s">
        <v>5</v>
      </c>
      <c r="C1" s="57"/>
    </row>
    <row r="2" spans="2:12" ht="40.5" customHeight="1" x14ac:dyDescent="0.5">
      <c r="B2" s="59" t="s">
        <v>6</v>
      </c>
      <c r="C2" s="59"/>
      <c r="D2" s="59"/>
      <c r="E2" s="59"/>
      <c r="F2" s="59"/>
      <c r="G2" s="59"/>
      <c r="H2" s="59"/>
      <c r="I2" s="59"/>
      <c r="J2" s="59"/>
      <c r="K2" s="59"/>
    </row>
    <row r="3" spans="2:12" ht="41.25" customHeight="1" x14ac:dyDescent="0.6">
      <c r="G3" s="80" t="str">
        <f>+'GRUPOS INFANTIL'!B3</f>
        <v>NACIDOS 2014 2015</v>
      </c>
    </row>
    <row r="4" spans="2:12" ht="29.25" customHeight="1" x14ac:dyDescent="0.6">
      <c r="C4" s="61"/>
      <c r="D4" s="62"/>
      <c r="E4" s="62"/>
      <c r="F4" s="62"/>
      <c r="G4" s="98" t="str">
        <f>+'GRUPOS INFANTIL'!B4</f>
        <v>SEPTIEMBRE 28 Y 29 DEL 2024</v>
      </c>
      <c r="I4" s="62"/>
      <c r="J4" s="62"/>
      <c r="K4" s="62"/>
    </row>
    <row r="5" spans="2:12" ht="15" hidden="1" customHeight="1" thickBot="1" x14ac:dyDescent="0.65">
      <c r="C5" s="61"/>
      <c r="D5" s="62"/>
      <c r="E5" s="62"/>
      <c r="F5" s="62"/>
      <c r="G5" s="62"/>
      <c r="H5" s="62"/>
      <c r="I5" s="62"/>
      <c r="J5" s="62"/>
      <c r="K5" s="62"/>
    </row>
    <row r="6" spans="2:12" ht="15" hidden="1" customHeight="1" x14ac:dyDescent="0.3">
      <c r="B6" s="477" t="str">
        <f>+'GRUPOS INFANTIL'!B6</f>
        <v>GRUPO A</v>
      </c>
      <c r="C6" s="478"/>
      <c r="D6" s="488" t="e">
        <f>+'GRUPO A'!Q20:Q21</f>
        <v>#VALUE!</v>
      </c>
      <c r="E6" s="487" t="e">
        <f>+'GRUPO A'!R20:R21</f>
        <v>#VALUE!</v>
      </c>
      <c r="F6" s="487" t="e">
        <f>+'GRUPO A'!S20:S21</f>
        <v>#VALUE!</v>
      </c>
      <c r="G6" s="487" t="e">
        <f>+'GRUPO A'!T20:T21</f>
        <v>#VALUE!</v>
      </c>
      <c r="H6" s="487" t="e">
        <f>+'GRUPO A'!U20:U21</f>
        <v>#VALUE!</v>
      </c>
      <c r="I6" s="487" t="e">
        <f>+'GRUPO A'!V20:V21</f>
        <v>#VALUE!</v>
      </c>
      <c r="J6" s="487" t="e">
        <f>+'GRUPO A'!W20:W21</f>
        <v>#VALUE!</v>
      </c>
      <c r="K6" s="487" t="e">
        <f>+'GRUPO A'!X20:X21</f>
        <v>#VALUE!</v>
      </c>
      <c r="L6" s="494" t="e">
        <f>+'GRUPO A'!Y20:Y21</f>
        <v>#VALUE!</v>
      </c>
    </row>
    <row r="7" spans="2:12" ht="15" hidden="1" customHeight="1" thickBot="1" x14ac:dyDescent="0.35">
      <c r="B7" s="479"/>
      <c r="C7" s="480"/>
      <c r="D7" s="486"/>
      <c r="E7" s="481"/>
      <c r="F7" s="481"/>
      <c r="G7" s="481"/>
      <c r="H7" s="481"/>
      <c r="I7" s="481"/>
      <c r="J7" s="481"/>
      <c r="K7" s="481"/>
      <c r="L7" s="495"/>
    </row>
    <row r="8" spans="2:12" ht="22.65" hidden="1" customHeight="1" x14ac:dyDescent="0.3">
      <c r="B8" s="482" t="e">
        <f>+'GRUPO A'!P22:P23</f>
        <v>#VALUE!</v>
      </c>
      <c r="C8" s="483"/>
      <c r="D8" s="488" t="e">
        <f>+'GRUPO A'!Q22:Q23</f>
        <v>#VALUE!</v>
      </c>
      <c r="E8" s="487" t="e">
        <f>+'GRUPO A'!R22:R23</f>
        <v>#VALUE!</v>
      </c>
      <c r="F8" s="487" t="e">
        <f>+'GRUPO A'!S22:S23</f>
        <v>#VALUE!</v>
      </c>
      <c r="G8" s="487" t="e">
        <f>+'GRUPO A'!T22:T23</f>
        <v>#VALUE!</v>
      </c>
      <c r="H8" s="487" t="e">
        <f>+'GRUPO A'!U22:U23</f>
        <v>#VALUE!</v>
      </c>
      <c r="I8" s="487" t="e">
        <f>+'GRUPO A'!V22:V23</f>
        <v>#VALUE!</v>
      </c>
      <c r="J8" s="487" t="e">
        <f>+'GRUPO A'!W22:W23</f>
        <v>#VALUE!</v>
      </c>
      <c r="K8" s="487" t="e">
        <f>+'GRUPO A'!X22:X23</f>
        <v>#VALUE!</v>
      </c>
      <c r="L8" s="496" t="e">
        <f>+'GRUPO A'!Y22:Y23</f>
        <v>#VALUE!</v>
      </c>
    </row>
    <row r="9" spans="2:12" ht="11.1" hidden="1" customHeight="1" x14ac:dyDescent="0.3">
      <c r="B9" s="475"/>
      <c r="C9" s="476"/>
      <c r="D9" s="467"/>
      <c r="E9" s="466"/>
      <c r="F9" s="466"/>
      <c r="G9" s="466"/>
      <c r="H9" s="466"/>
      <c r="I9" s="466"/>
      <c r="J9" s="466"/>
      <c r="K9" s="466"/>
      <c r="L9" s="497"/>
    </row>
    <row r="10" spans="2:12" ht="22.65" hidden="1" customHeight="1" x14ac:dyDescent="0.3">
      <c r="B10" s="475" t="e">
        <f>+'GRUPO A'!P24:P25</f>
        <v>#VALUE!</v>
      </c>
      <c r="C10" s="476"/>
      <c r="D10" s="467" t="e">
        <f>+'GRUPO A'!Q24:Q25</f>
        <v>#VALUE!</v>
      </c>
      <c r="E10" s="466" t="e">
        <f>+'GRUPO A'!R24:R25</f>
        <v>#VALUE!</v>
      </c>
      <c r="F10" s="466" t="e">
        <f>+'GRUPO A'!S24:S25</f>
        <v>#VALUE!</v>
      </c>
      <c r="G10" s="466" t="e">
        <f>+'GRUPO A'!T24:T25</f>
        <v>#VALUE!</v>
      </c>
      <c r="H10" s="466" t="e">
        <f>+'GRUPO A'!U24:U25</f>
        <v>#VALUE!</v>
      </c>
      <c r="I10" s="466" t="e">
        <f>+'GRUPO A'!V24:V25</f>
        <v>#VALUE!</v>
      </c>
      <c r="J10" s="466" t="e">
        <f>+'GRUPO A'!W24:W25</f>
        <v>#VALUE!</v>
      </c>
      <c r="K10" s="466" t="e">
        <f>+'GRUPO A'!X24:X25</f>
        <v>#VALUE!</v>
      </c>
      <c r="L10" s="497" t="e">
        <f>+'GRUPO A'!Y24:Y25</f>
        <v>#VALUE!</v>
      </c>
    </row>
    <row r="11" spans="2:12" ht="11.1" hidden="1" customHeight="1" x14ac:dyDescent="0.3">
      <c r="B11" s="475"/>
      <c r="C11" s="476"/>
      <c r="D11" s="467"/>
      <c r="E11" s="466"/>
      <c r="F11" s="466"/>
      <c r="G11" s="466"/>
      <c r="H11" s="466"/>
      <c r="I11" s="466"/>
      <c r="J11" s="466"/>
      <c r="K11" s="466"/>
      <c r="L11" s="497"/>
    </row>
    <row r="12" spans="2:12" ht="22.65" hidden="1" customHeight="1" x14ac:dyDescent="0.3">
      <c r="B12" s="475" t="e">
        <f>+'GRUPO A'!P26:P27</f>
        <v>#VALUE!</v>
      </c>
      <c r="C12" s="476"/>
      <c r="D12" s="467" t="e">
        <f>+'GRUPO A'!Q26:Q27</f>
        <v>#VALUE!</v>
      </c>
      <c r="E12" s="466" t="e">
        <f>+'GRUPO A'!R26:R27</f>
        <v>#VALUE!</v>
      </c>
      <c r="F12" s="466" t="e">
        <f>+'GRUPO A'!S26:S27</f>
        <v>#VALUE!</v>
      </c>
      <c r="G12" s="466" t="e">
        <f>+'GRUPO A'!T26:T27</f>
        <v>#VALUE!</v>
      </c>
      <c r="H12" s="466" t="e">
        <f>+'GRUPO A'!U26:U27</f>
        <v>#VALUE!</v>
      </c>
      <c r="I12" s="466" t="e">
        <f>+'GRUPO A'!V26:V27</f>
        <v>#VALUE!</v>
      </c>
      <c r="J12" s="466" t="e">
        <f>+'GRUPO A'!W26:W27</f>
        <v>#VALUE!</v>
      </c>
      <c r="K12" s="466" t="e">
        <f>+'GRUPO A'!X26:X27</f>
        <v>#VALUE!</v>
      </c>
      <c r="L12" s="497" t="e">
        <f>+'GRUPO A'!Y26:Y27</f>
        <v>#VALUE!</v>
      </c>
    </row>
    <row r="13" spans="2:12" ht="11.1" hidden="1" customHeight="1" x14ac:dyDescent="0.3">
      <c r="B13" s="475"/>
      <c r="C13" s="476"/>
      <c r="D13" s="467"/>
      <c r="E13" s="466"/>
      <c r="F13" s="466"/>
      <c r="G13" s="466"/>
      <c r="H13" s="466"/>
      <c r="I13" s="466"/>
      <c r="J13" s="466"/>
      <c r="K13" s="466"/>
      <c r="L13" s="497"/>
    </row>
    <row r="14" spans="2:12" ht="22.65" hidden="1" customHeight="1" x14ac:dyDescent="0.3">
      <c r="B14" s="475" t="e">
        <f>+'GRUPO A'!P28:P29</f>
        <v>#VALUE!</v>
      </c>
      <c r="C14" s="476"/>
      <c r="D14" s="467" t="e">
        <f>+'GRUPO A'!Q28:Q29</f>
        <v>#VALUE!</v>
      </c>
      <c r="E14" s="466" t="e">
        <f>+'GRUPO A'!R28:R29</f>
        <v>#VALUE!</v>
      </c>
      <c r="F14" s="466" t="e">
        <f>+'GRUPO A'!S28:S29</f>
        <v>#VALUE!</v>
      </c>
      <c r="G14" s="466" t="e">
        <f>+'GRUPO A'!T28:T29</f>
        <v>#VALUE!</v>
      </c>
      <c r="H14" s="466" t="e">
        <f>+'GRUPO A'!U28:U29</f>
        <v>#VALUE!</v>
      </c>
      <c r="I14" s="466" t="e">
        <f>+'GRUPO A'!V28:V29</f>
        <v>#VALUE!</v>
      </c>
      <c r="J14" s="466" t="e">
        <f>+'GRUPO A'!W28:W29</f>
        <v>#VALUE!</v>
      </c>
      <c r="K14" s="466" t="e">
        <f>+'GRUPO A'!X28:X29</f>
        <v>#VALUE!</v>
      </c>
      <c r="L14" s="497" t="e">
        <f>+'GRUPO A'!Y28:Y29</f>
        <v>#VALUE!</v>
      </c>
    </row>
    <row r="15" spans="2:12" ht="11.1" hidden="1" customHeight="1" thickBot="1" x14ac:dyDescent="0.35">
      <c r="B15" s="484"/>
      <c r="C15" s="485"/>
      <c r="D15" s="486"/>
      <c r="E15" s="481"/>
      <c r="F15" s="481"/>
      <c r="G15" s="481"/>
      <c r="H15" s="481"/>
      <c r="I15" s="481"/>
      <c r="J15" s="481"/>
      <c r="K15" s="481"/>
      <c r="L15" s="498"/>
    </row>
    <row r="16" spans="2:12" ht="7.5" hidden="1" customHeight="1" x14ac:dyDescent="0.3"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3" ht="23.25" hidden="1" customHeight="1" x14ac:dyDescent="0.3">
      <c r="A17" s="471" t="s">
        <v>34</v>
      </c>
      <c r="B17" s="334"/>
      <c r="C17" s="334"/>
      <c r="D17" s="334"/>
      <c r="E17" s="334"/>
      <c r="F17" s="334"/>
      <c r="G17" s="334"/>
      <c r="H17" s="334"/>
      <c r="I17" s="334"/>
      <c r="J17" s="334"/>
      <c r="K17" s="334"/>
      <c r="L17" s="334"/>
    </row>
    <row r="18" spans="1:13" ht="7.5" hidden="1" customHeight="1" x14ac:dyDescent="0.3"/>
    <row r="19" spans="1:13" ht="33.75" hidden="1" customHeight="1" x14ac:dyDescent="0.3">
      <c r="A19" s="90">
        <f>+'GRUPO A'!B32</f>
        <v>42813</v>
      </c>
      <c r="B19" s="91" t="str">
        <f>+'GRUPO A'!C32</f>
        <v>01:15. p.m.</v>
      </c>
      <c r="C19" s="119" t="str">
        <f>+'GRUPO A'!E32</f>
        <v>CLUB DEPORTIVO OS FUTSAL</v>
      </c>
      <c r="D19" s="95"/>
      <c r="E19" s="85" t="s">
        <v>15</v>
      </c>
      <c r="F19" s="95"/>
      <c r="G19" s="469" t="str">
        <f>+'GRUPO A'!K32</f>
        <v>ESCUELA DE FORMACION DEPORTIVA MARACANA</v>
      </c>
      <c r="H19" s="455"/>
      <c r="I19" s="455"/>
      <c r="J19" s="455"/>
      <c r="K19" s="105" t="str">
        <f>+'GRUPO A'!M32</f>
        <v>CANCHA 2</v>
      </c>
      <c r="L19" s="92"/>
    </row>
    <row r="20" spans="1:13" ht="7.5" hidden="1" customHeight="1" x14ac:dyDescent="0.35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103"/>
      <c r="L20" s="84"/>
    </row>
    <row r="21" spans="1:13" ht="33.75" hidden="1" customHeight="1" x14ac:dyDescent="0.3">
      <c r="A21" s="93">
        <f>+'GRUPO A'!B35</f>
        <v>42813</v>
      </c>
      <c r="B21" s="94" t="str">
        <f>+'GRUPO A'!C35</f>
        <v>02:30. p.m.</v>
      </c>
      <c r="C21" s="120" t="str">
        <f>+'GRUPO A'!E35</f>
        <v>AJAX AIMARA</v>
      </c>
      <c r="D21" s="95"/>
      <c r="E21" s="85" t="s">
        <v>15</v>
      </c>
      <c r="F21" s="95"/>
      <c r="G21" s="470" t="str">
        <f>+'GRUPO A'!K35</f>
        <v>CLUB LOS PAPETICOS</v>
      </c>
      <c r="H21" s="456"/>
      <c r="I21" s="456"/>
      <c r="J21" s="456"/>
      <c r="K21" s="104" t="str">
        <f>+'GRUPO A'!M35</f>
        <v>CANCHA 1</v>
      </c>
      <c r="L21" s="96"/>
    </row>
    <row r="22" spans="1:13" ht="7.5" hidden="1" customHeight="1" thickBot="1" x14ac:dyDescent="0.35">
      <c r="A22" s="63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</row>
    <row r="23" spans="1:13" ht="15" hidden="1" customHeight="1" x14ac:dyDescent="0.3">
      <c r="B23" s="500" t="str">
        <f>+'GRUPOS INFANTIL'!D6</f>
        <v>GRUPO B</v>
      </c>
      <c r="C23" s="501"/>
      <c r="D23" s="504" t="str">
        <f>+'GRUPO B'!Q8</f>
        <v>Pts.</v>
      </c>
      <c r="E23" s="506" t="str">
        <f>+'GRUPO B'!R8</f>
        <v>PJ</v>
      </c>
      <c r="F23" s="506" t="str">
        <f>+'GRUPO B'!S8</f>
        <v>Gan.</v>
      </c>
      <c r="G23" s="506" t="str">
        <f>+'GRUPO B'!T8</f>
        <v>Emp.</v>
      </c>
      <c r="H23" s="506" t="str">
        <f>+'GRUPO B'!U8</f>
        <v>Per.</v>
      </c>
      <c r="I23" s="506" t="str">
        <f>+'GRUPO B'!V8</f>
        <v>GF</v>
      </c>
      <c r="J23" s="506" t="str">
        <f>+'GRUPO B'!W8</f>
        <v>GC</v>
      </c>
      <c r="K23" s="506" t="str">
        <f>+'GRUPO B'!X8</f>
        <v>Dif.</v>
      </c>
      <c r="L23" s="494" t="str">
        <f>+'GRUPO B'!Y8</f>
        <v>Tj</v>
      </c>
    </row>
    <row r="24" spans="1:13" ht="15" hidden="1" customHeight="1" thickBot="1" x14ac:dyDescent="0.35">
      <c r="B24" s="502"/>
      <c r="C24" s="503"/>
      <c r="D24" s="505"/>
      <c r="E24" s="507"/>
      <c r="F24" s="507"/>
      <c r="G24" s="507"/>
      <c r="H24" s="507"/>
      <c r="I24" s="507"/>
      <c r="J24" s="507"/>
      <c r="K24" s="507"/>
      <c r="L24" s="495"/>
    </row>
    <row r="25" spans="1:13" ht="10.5" hidden="1" customHeight="1" x14ac:dyDescent="0.3">
      <c r="B25" s="482" t="str">
        <f>+'GRUPO B'!P10</f>
        <v xml:space="preserve">  1)  TEMPLO DEL FÚTBOL</v>
      </c>
      <c r="C25" s="499"/>
      <c r="D25" s="488">
        <f>+'GRUPO B'!Q10</f>
        <v>7</v>
      </c>
      <c r="E25" s="487">
        <f>+'GRUPO B'!R10</f>
        <v>3</v>
      </c>
      <c r="F25" s="487">
        <f>+'GRUPO B'!S10</f>
        <v>2</v>
      </c>
      <c r="G25" s="487">
        <f>+'GRUPO B'!T10</f>
        <v>1</v>
      </c>
      <c r="H25" s="487">
        <f>+'GRUPO B'!U10</f>
        <v>0</v>
      </c>
      <c r="I25" s="487">
        <f>+'GRUPO B'!V10</f>
        <v>9</v>
      </c>
      <c r="J25" s="487">
        <f>+'GRUPO B'!W10</f>
        <v>1</v>
      </c>
      <c r="K25" s="487">
        <f>+'GRUPO B'!X10</f>
        <v>8</v>
      </c>
      <c r="L25" s="494">
        <f>+'GRUPO B'!Y10</f>
        <v>0</v>
      </c>
    </row>
    <row r="26" spans="1:13" ht="22.5" hidden="1" customHeight="1" x14ac:dyDescent="0.3">
      <c r="B26" s="475"/>
      <c r="C26" s="493"/>
      <c r="D26" s="467"/>
      <c r="E26" s="466"/>
      <c r="F26" s="466"/>
      <c r="G26" s="466"/>
      <c r="H26" s="466"/>
      <c r="I26" s="466"/>
      <c r="J26" s="466"/>
      <c r="K26" s="466"/>
      <c r="L26" s="472"/>
    </row>
    <row r="27" spans="1:13" ht="10.5" hidden="1" customHeight="1" x14ac:dyDescent="0.3">
      <c r="B27" s="475" t="str">
        <f>+'GRUPO B'!P12</f>
        <v xml:space="preserve">  2)  CLUB CAMPESTRE IBAGUE</v>
      </c>
      <c r="C27" s="493"/>
      <c r="D27" s="467">
        <f>+'GRUPO B'!Q12</f>
        <v>7</v>
      </c>
      <c r="E27" s="466">
        <f>+'GRUPO B'!R12</f>
        <v>3</v>
      </c>
      <c r="F27" s="466">
        <f>+'GRUPO B'!S12</f>
        <v>2</v>
      </c>
      <c r="G27" s="466">
        <f>+'GRUPO B'!T12</f>
        <v>1</v>
      </c>
      <c r="H27" s="466">
        <f>+'GRUPO B'!U12</f>
        <v>0</v>
      </c>
      <c r="I27" s="466">
        <f>+'GRUPO B'!V12</f>
        <v>9</v>
      </c>
      <c r="J27" s="466">
        <f>+'GRUPO B'!W12</f>
        <v>3</v>
      </c>
      <c r="K27" s="466">
        <f>+'GRUPO B'!X12</f>
        <v>6</v>
      </c>
      <c r="L27" s="472">
        <f>+'GRUPO B'!Y12</f>
        <v>0</v>
      </c>
    </row>
    <row r="28" spans="1:13" ht="22.5" hidden="1" customHeight="1" x14ac:dyDescent="0.3">
      <c r="B28" s="475"/>
      <c r="C28" s="493"/>
      <c r="D28" s="467"/>
      <c r="E28" s="466"/>
      <c r="F28" s="466"/>
      <c r="G28" s="466"/>
      <c r="H28" s="466"/>
      <c r="I28" s="466"/>
      <c r="J28" s="466"/>
      <c r="K28" s="466"/>
      <c r="L28" s="472"/>
    </row>
    <row r="29" spans="1:13" ht="22.5" hidden="1" customHeight="1" x14ac:dyDescent="0.3">
      <c r="B29" s="475" t="str">
        <f>+'GRUPO B'!P14</f>
        <v xml:space="preserve">  3)  ESCUELA DEPORTIVA FÚTBOL RAQUIRA</v>
      </c>
      <c r="C29" s="493"/>
      <c r="D29" s="467">
        <f>+'GRUPO B'!Q14</f>
        <v>0</v>
      </c>
      <c r="E29" s="466">
        <f>+'GRUPO B'!R14</f>
        <v>3</v>
      </c>
      <c r="F29" s="466">
        <f>+'GRUPO B'!S14</f>
        <v>0</v>
      </c>
      <c r="G29" s="466">
        <f>+'GRUPO B'!T14</f>
        <v>0</v>
      </c>
      <c r="H29" s="466">
        <f>+'GRUPO B'!U14</f>
        <v>3</v>
      </c>
      <c r="I29" s="466">
        <f>+'GRUPO B'!V14</f>
        <v>2</v>
      </c>
      <c r="J29" s="466">
        <f>+'GRUPO B'!W14</f>
        <v>10</v>
      </c>
      <c r="K29" s="466">
        <f>+'GRUPO B'!X14</f>
        <v>-8</v>
      </c>
      <c r="L29" s="472">
        <f>+'GRUPO B'!Y14</f>
        <v>0</v>
      </c>
    </row>
    <row r="30" spans="1:13" ht="11.1" hidden="1" customHeight="1" x14ac:dyDescent="0.3">
      <c r="B30" s="475"/>
      <c r="C30" s="493"/>
      <c r="D30" s="467"/>
      <c r="E30" s="466"/>
      <c r="F30" s="466"/>
      <c r="G30" s="466"/>
      <c r="H30" s="466"/>
      <c r="I30" s="466"/>
      <c r="J30" s="466"/>
      <c r="K30" s="466"/>
      <c r="L30" s="472"/>
    </row>
    <row r="31" spans="1:13" ht="22.5" hidden="1" customHeight="1" x14ac:dyDescent="0.3">
      <c r="B31" s="475">
        <f>+'GRUPO B'!P16</f>
        <v>0</v>
      </c>
      <c r="C31" s="493"/>
      <c r="D31" s="467">
        <f>+'GRUPO B'!Q16</f>
        <v>0</v>
      </c>
      <c r="E31" s="466">
        <f>+'GRUPO B'!R16</f>
        <v>0</v>
      </c>
      <c r="F31" s="466">
        <f>+'GRUPO B'!S16</f>
        <v>0</v>
      </c>
      <c r="G31" s="466">
        <f>+'GRUPO B'!T16</f>
        <v>0</v>
      </c>
      <c r="H31" s="466">
        <f>+'GRUPO B'!U16</f>
        <v>0</v>
      </c>
      <c r="I31" s="466">
        <f>+'GRUPO B'!V16</f>
        <v>0</v>
      </c>
      <c r="J31" s="466">
        <f>+'GRUPO B'!W16</f>
        <v>0</v>
      </c>
      <c r="K31" s="466">
        <f>+'GRUPO B'!X16</f>
        <v>0</v>
      </c>
      <c r="L31" s="472">
        <f>+'GRUPO B'!Y16</f>
        <v>0</v>
      </c>
    </row>
    <row r="32" spans="1:13" ht="11.1" hidden="1" customHeight="1" thickBot="1" x14ac:dyDescent="0.35">
      <c r="B32" s="484"/>
      <c r="C32" s="510"/>
      <c r="D32" s="486"/>
      <c r="E32" s="481"/>
      <c r="F32" s="481"/>
      <c r="G32" s="481"/>
      <c r="H32" s="481"/>
      <c r="I32" s="481"/>
      <c r="J32" s="481"/>
      <c r="K32" s="481"/>
      <c r="L32" s="495"/>
    </row>
    <row r="33" spans="1:13" ht="7.5" hidden="1" customHeight="1" x14ac:dyDescent="0.3"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3" ht="23.25" hidden="1" customHeight="1" x14ac:dyDescent="0.3">
      <c r="A34" s="471" t="s">
        <v>34</v>
      </c>
      <c r="B34" s="334"/>
      <c r="C34" s="334"/>
      <c r="D34" s="334"/>
      <c r="E34" s="334"/>
      <c r="F34" s="334"/>
      <c r="G34" s="334"/>
      <c r="H34" s="334"/>
      <c r="I34" s="334"/>
      <c r="J34" s="334"/>
      <c r="K34" s="334"/>
      <c r="L34" s="334"/>
    </row>
    <row r="35" spans="1:13" ht="7.5" hidden="1" customHeight="1" x14ac:dyDescent="0.3"/>
    <row r="36" spans="1:13" ht="33.75" hidden="1" customHeight="1" x14ac:dyDescent="0.3">
      <c r="A36" s="90">
        <f>+'GRUPO B'!B32</f>
        <v>42813</v>
      </c>
      <c r="B36" s="91" t="str">
        <f>+'GRUPO B'!C32</f>
        <v>04:30. p.m.</v>
      </c>
      <c r="C36" s="119" t="str">
        <f>+'GRUPO B'!E32</f>
        <v>ESCUELA DEPORTIVA FÚTBOL RAQUIRA</v>
      </c>
      <c r="D36" s="95"/>
      <c r="E36" s="85" t="s">
        <v>15</v>
      </c>
      <c r="F36" s="95"/>
      <c r="G36" s="469" t="str">
        <f>+'GRUPO B'!K32</f>
        <v>BLUEMARTIN F.C .</v>
      </c>
      <c r="H36" s="455"/>
      <c r="I36" s="455"/>
      <c r="J36" s="455"/>
      <c r="K36" s="105" t="str">
        <f>+'GRUPO B'!M32</f>
        <v>CANCHA 1</v>
      </c>
      <c r="L36" s="92"/>
    </row>
    <row r="37" spans="1:13" ht="7.5" hidden="1" customHeight="1" x14ac:dyDescent="0.35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103"/>
      <c r="L37" s="84"/>
    </row>
    <row r="38" spans="1:13" ht="33.75" hidden="1" customHeight="1" x14ac:dyDescent="0.3">
      <c r="A38" s="93">
        <f>+'GRUPO B'!B35</f>
        <v>42813</v>
      </c>
      <c r="B38" s="94" t="str">
        <f>+'GRUPO B'!C32</f>
        <v>04:30. p.m.</v>
      </c>
      <c r="C38" s="120" t="str">
        <f>+'GRUPO B'!E35</f>
        <v>TEMPLO DEL FÚTBOL</v>
      </c>
      <c r="D38" s="138"/>
      <c r="E38" s="85" t="s">
        <v>15</v>
      </c>
      <c r="F38" s="138"/>
      <c r="G38" s="470" t="str">
        <f>+'GRUPO B'!K35</f>
        <v>CLUB CAMPESTRE IBAGUE</v>
      </c>
      <c r="H38" s="456"/>
      <c r="I38" s="456"/>
      <c r="J38" s="456"/>
      <c r="K38" s="104" t="str">
        <f>+'GRUPO B'!M35</f>
        <v>CANCHA 2</v>
      </c>
      <c r="L38" s="96"/>
    </row>
    <row r="39" spans="1:13" ht="7.5" customHeight="1" x14ac:dyDescent="0.3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ht="7.5" customHeight="1" thickBot="1" x14ac:dyDescent="0.35"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3" ht="15" customHeight="1" x14ac:dyDescent="0.3">
      <c r="B41" s="489" t="str">
        <f>+'GRUPOS INFANTIL'!F6</f>
        <v>GRUPO C</v>
      </c>
      <c r="C41" s="490"/>
      <c r="D41" s="488" t="str">
        <f>+'GRUPO B'!Q8</f>
        <v>Pts.</v>
      </c>
      <c r="E41" s="487" t="str">
        <f>+'GRUPO B'!R8</f>
        <v>PJ</v>
      </c>
      <c r="F41" s="487" t="str">
        <f>+'GRUPO B'!S8</f>
        <v>Gan.</v>
      </c>
      <c r="G41" s="487" t="str">
        <f>+'GRUPO B'!T8</f>
        <v>Emp.</v>
      </c>
      <c r="H41" s="487" t="str">
        <f>+'GRUPO B'!U8</f>
        <v>Per.</v>
      </c>
      <c r="I41" s="487" t="str">
        <f>+'GRUPO B'!V8</f>
        <v>GF</v>
      </c>
      <c r="J41" s="487" t="str">
        <f>+'GRUPO B'!W8</f>
        <v>GC</v>
      </c>
      <c r="K41" s="487" t="str">
        <f>+'GRUPO B'!X8</f>
        <v>Dif.</v>
      </c>
      <c r="L41" s="494" t="str">
        <f>+'GRUPO B'!Y8</f>
        <v>Tj</v>
      </c>
    </row>
    <row r="42" spans="1:13" ht="15" customHeight="1" thickBot="1" x14ac:dyDescent="0.35">
      <c r="B42" s="491"/>
      <c r="C42" s="492"/>
      <c r="D42" s="486"/>
      <c r="E42" s="481"/>
      <c r="F42" s="481"/>
      <c r="G42" s="481"/>
      <c r="H42" s="481"/>
      <c r="I42" s="481"/>
      <c r="J42" s="481"/>
      <c r="K42" s="481"/>
      <c r="L42" s="495"/>
    </row>
    <row r="43" spans="1:13" ht="15" customHeight="1" x14ac:dyDescent="0.3">
      <c r="B43" s="473" t="str">
        <f>+'GRUPO B'!P10</f>
        <v xml:space="preserve">  1)  TEMPLO DEL FÚTBOL</v>
      </c>
      <c r="C43" s="474"/>
      <c r="D43" s="488">
        <f>+'GRUPO B'!Q10</f>
        <v>7</v>
      </c>
      <c r="E43" s="487">
        <f>+'GRUPO B'!R10</f>
        <v>3</v>
      </c>
      <c r="F43" s="487">
        <f>+'GRUPO B'!S10</f>
        <v>2</v>
      </c>
      <c r="G43" s="487">
        <f>+'GRUPO B'!T10</f>
        <v>1</v>
      </c>
      <c r="H43" s="487">
        <f>+'GRUPO B'!U10</f>
        <v>0</v>
      </c>
      <c r="I43" s="487">
        <f>+'GRUPO B'!V10</f>
        <v>9</v>
      </c>
      <c r="J43" s="487">
        <f>+'GRUPO B'!W10</f>
        <v>1</v>
      </c>
      <c r="K43" s="487">
        <f>+'GRUPO B'!X10</f>
        <v>8</v>
      </c>
      <c r="L43" s="494">
        <f>+'GRUPO B'!Y10</f>
        <v>0</v>
      </c>
    </row>
    <row r="44" spans="1:13" ht="15" customHeight="1" x14ac:dyDescent="0.3">
      <c r="B44" s="475"/>
      <c r="C44" s="476"/>
      <c r="D44" s="467"/>
      <c r="E44" s="466"/>
      <c r="F44" s="466"/>
      <c r="G44" s="466"/>
      <c r="H44" s="466"/>
      <c r="I44" s="466"/>
      <c r="J44" s="466"/>
      <c r="K44" s="466"/>
      <c r="L44" s="472"/>
    </row>
    <row r="45" spans="1:13" ht="15" customHeight="1" x14ac:dyDescent="0.3">
      <c r="B45" s="475" t="str">
        <f>+'GRUPO B'!P12</f>
        <v xml:space="preserve">  2)  CLUB CAMPESTRE IBAGUE</v>
      </c>
      <c r="C45" s="476"/>
      <c r="D45" s="467">
        <f>+'GRUPO B'!Q12</f>
        <v>7</v>
      </c>
      <c r="E45" s="466">
        <f>+'GRUPO B'!R12</f>
        <v>3</v>
      </c>
      <c r="F45" s="466">
        <f>+'GRUPO B'!S12</f>
        <v>2</v>
      </c>
      <c r="G45" s="466">
        <f>+'GRUPO B'!T12</f>
        <v>1</v>
      </c>
      <c r="H45" s="466">
        <f>+'GRUPO B'!U12</f>
        <v>0</v>
      </c>
      <c r="I45" s="466">
        <f>+'GRUPO B'!V12</f>
        <v>9</v>
      </c>
      <c r="J45" s="466">
        <f>+'GRUPO B'!W12</f>
        <v>3</v>
      </c>
      <c r="K45" s="466">
        <f>+'GRUPO B'!X12</f>
        <v>6</v>
      </c>
      <c r="L45" s="472">
        <f>+'GRUPO B'!Y12</f>
        <v>0</v>
      </c>
    </row>
    <row r="46" spans="1:13" ht="15" customHeight="1" x14ac:dyDescent="0.3">
      <c r="B46" s="475"/>
      <c r="C46" s="476"/>
      <c r="D46" s="467"/>
      <c r="E46" s="466"/>
      <c r="F46" s="466"/>
      <c r="G46" s="466"/>
      <c r="H46" s="466"/>
      <c r="I46" s="466"/>
      <c r="J46" s="466"/>
      <c r="K46" s="466"/>
      <c r="L46" s="472"/>
    </row>
    <row r="47" spans="1:13" ht="15" customHeight="1" x14ac:dyDescent="0.3">
      <c r="B47" s="475" t="str">
        <f>+'GRUPO B'!P14</f>
        <v xml:space="preserve">  3)  ESCUELA DEPORTIVA FÚTBOL RAQUIRA</v>
      </c>
      <c r="C47" s="476"/>
      <c r="D47" s="467">
        <f>+'GRUPO B'!Q14</f>
        <v>0</v>
      </c>
      <c r="E47" s="466">
        <f>+'GRUPO B'!R14</f>
        <v>3</v>
      </c>
      <c r="F47" s="466">
        <f>+'GRUPO B'!S14</f>
        <v>0</v>
      </c>
      <c r="G47" s="466">
        <f>+'GRUPO B'!T14</f>
        <v>0</v>
      </c>
      <c r="H47" s="466">
        <f>+'GRUPO B'!U14</f>
        <v>3</v>
      </c>
      <c r="I47" s="466">
        <f>+'GRUPO B'!V14</f>
        <v>2</v>
      </c>
      <c r="J47" s="466">
        <f>+'GRUPO B'!W14</f>
        <v>10</v>
      </c>
      <c r="K47" s="466">
        <f>+'GRUPO B'!X14</f>
        <v>-8</v>
      </c>
      <c r="L47" s="472">
        <f>+'GRUPO B'!Y14</f>
        <v>0</v>
      </c>
    </row>
    <row r="48" spans="1:13" ht="15" customHeight="1" x14ac:dyDescent="0.3">
      <c r="B48" s="475"/>
      <c r="C48" s="476"/>
      <c r="D48" s="467"/>
      <c r="E48" s="466"/>
      <c r="F48" s="466"/>
      <c r="G48" s="466"/>
      <c r="H48" s="466"/>
      <c r="I48" s="466"/>
      <c r="J48" s="466"/>
      <c r="K48" s="466"/>
      <c r="L48" s="472"/>
    </row>
    <row r="49" spans="1:13" x14ac:dyDescent="0.3">
      <c r="B49" s="475">
        <f>+'GRUPO B'!P16</f>
        <v>0</v>
      </c>
      <c r="C49" s="476"/>
      <c r="D49" s="467">
        <f>+'GRUPO B'!Q16</f>
        <v>0</v>
      </c>
      <c r="E49" s="466">
        <f>+'GRUPO B'!R16</f>
        <v>0</v>
      </c>
      <c r="F49" s="466">
        <f>+'GRUPO B'!S16</f>
        <v>0</v>
      </c>
      <c r="G49" s="466">
        <f>+'GRUPO B'!T16</f>
        <v>0</v>
      </c>
      <c r="H49" s="466">
        <f>+'GRUPO B'!U16</f>
        <v>0</v>
      </c>
      <c r="I49" s="466">
        <f>+'GRUPO B'!V16</f>
        <v>0</v>
      </c>
      <c r="J49" s="466">
        <f>+'GRUPO B'!W16</f>
        <v>0</v>
      </c>
      <c r="K49" s="466">
        <f>+'GRUPO B'!X16</f>
        <v>0</v>
      </c>
      <c r="L49" s="472">
        <f>+'GRUPO B'!Y16</f>
        <v>0</v>
      </c>
    </row>
    <row r="50" spans="1:13" ht="15" thickBot="1" x14ac:dyDescent="0.35">
      <c r="B50" s="484"/>
      <c r="C50" s="485"/>
      <c r="D50" s="486"/>
      <c r="E50" s="481"/>
      <c r="F50" s="481"/>
      <c r="G50" s="481"/>
      <c r="H50" s="481"/>
      <c r="I50" s="481"/>
      <c r="J50" s="481"/>
      <c r="K50" s="481"/>
      <c r="L50" s="495"/>
    </row>
    <row r="51" spans="1:13" ht="7.5" customHeight="1" x14ac:dyDescent="0.3"/>
    <row r="52" spans="1:13" ht="23.4" x14ac:dyDescent="0.3">
      <c r="A52" s="471" t="s">
        <v>34</v>
      </c>
      <c r="B52" s="334"/>
      <c r="C52" s="334"/>
      <c r="D52" s="334"/>
      <c r="E52" s="334"/>
      <c r="F52" s="334"/>
      <c r="G52" s="334"/>
      <c r="H52" s="334"/>
      <c r="I52" s="334"/>
      <c r="J52" s="334"/>
      <c r="K52" s="334"/>
      <c r="L52" s="334"/>
    </row>
    <row r="54" spans="1:13" ht="33.75" customHeight="1" x14ac:dyDescent="0.3">
      <c r="A54" s="90" t="e">
        <f>+#REF!</f>
        <v>#REF!</v>
      </c>
      <c r="B54" s="91" t="e">
        <f>+#REF!</f>
        <v>#REF!</v>
      </c>
      <c r="C54" s="119" t="e">
        <f>+#REF!</f>
        <v>#REF!</v>
      </c>
      <c r="D54" s="95"/>
      <c r="E54" s="85" t="s">
        <v>15</v>
      </c>
      <c r="F54" s="95"/>
      <c r="G54" s="469" t="e">
        <f>+#REF!</f>
        <v>#REF!</v>
      </c>
      <c r="H54" s="455"/>
      <c r="I54" s="455"/>
      <c r="J54" s="455"/>
      <c r="K54" s="105" t="e">
        <f>+#REF!</f>
        <v>#REF!</v>
      </c>
      <c r="L54" s="105"/>
    </row>
    <row r="55" spans="1:13" ht="17.399999999999999" x14ac:dyDescent="0.3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103"/>
      <c r="L55" s="103"/>
    </row>
    <row r="56" spans="1:13" ht="33.75" customHeight="1" x14ac:dyDescent="0.3">
      <c r="A56" s="93" t="e">
        <f>+#REF!</f>
        <v>#REF!</v>
      </c>
      <c r="B56" s="94" t="e">
        <f>+#REF!</f>
        <v>#REF!</v>
      </c>
      <c r="C56" s="120" t="e">
        <f>+#REF!</f>
        <v>#REF!</v>
      </c>
      <c r="D56" s="95"/>
      <c r="E56" s="85" t="s">
        <v>15</v>
      </c>
      <c r="F56" s="95"/>
      <c r="G56" s="470" t="e">
        <f>+#REF!</f>
        <v>#REF!</v>
      </c>
      <c r="H56" s="456"/>
      <c r="I56" s="456"/>
      <c r="J56" s="456"/>
      <c r="K56" s="108" t="e">
        <f>+#REF!</f>
        <v>#REF!</v>
      </c>
      <c r="L56" s="108"/>
    </row>
    <row r="57" spans="1:13" ht="15" thickBot="1" x14ac:dyDescent="0.35">
      <c r="A57" s="63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</row>
    <row r="58" spans="1:13" ht="15" thickBot="1" x14ac:dyDescent="0.35"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3" ht="15" customHeight="1" x14ac:dyDescent="0.3">
      <c r="B59" s="508" t="e">
        <f>+'GRUPOS INFANTIL'!#REF!</f>
        <v>#REF!</v>
      </c>
      <c r="C59" s="508"/>
      <c r="D59" s="488" t="e">
        <f>+#REF!</f>
        <v>#REF!</v>
      </c>
      <c r="E59" s="487" t="e">
        <f>+#REF!</f>
        <v>#REF!</v>
      </c>
      <c r="F59" s="487" t="e">
        <f>+#REF!</f>
        <v>#REF!</v>
      </c>
      <c r="G59" s="487" t="e">
        <f>+#REF!</f>
        <v>#REF!</v>
      </c>
      <c r="H59" s="487" t="e">
        <f>+#REF!</f>
        <v>#REF!</v>
      </c>
      <c r="I59" s="487" t="e">
        <f>+#REF!</f>
        <v>#REF!</v>
      </c>
      <c r="J59" s="487" t="e">
        <f>+#REF!</f>
        <v>#REF!</v>
      </c>
      <c r="K59" s="487" t="e">
        <f>+#REF!</f>
        <v>#REF!</v>
      </c>
      <c r="L59" s="494" t="e">
        <f>+#REF!</f>
        <v>#REF!</v>
      </c>
    </row>
    <row r="60" spans="1:13" ht="15.75" customHeight="1" thickBot="1" x14ac:dyDescent="0.35">
      <c r="B60" s="509"/>
      <c r="C60" s="509"/>
      <c r="D60" s="467"/>
      <c r="E60" s="466"/>
      <c r="F60" s="466"/>
      <c r="G60" s="466"/>
      <c r="H60" s="466"/>
      <c r="I60" s="466"/>
      <c r="J60" s="466"/>
      <c r="K60" s="466"/>
      <c r="L60" s="472"/>
    </row>
    <row r="61" spans="1:13" ht="15" customHeight="1" x14ac:dyDescent="0.3">
      <c r="B61" s="473" t="e">
        <f>+#REF!</f>
        <v>#REF!</v>
      </c>
      <c r="C61" s="474"/>
      <c r="D61" s="467" t="e">
        <f>+#REF!</f>
        <v>#REF!</v>
      </c>
      <c r="E61" s="466" t="e">
        <f>+#REF!</f>
        <v>#REF!</v>
      </c>
      <c r="F61" s="466" t="e">
        <f>+#REF!</f>
        <v>#REF!</v>
      </c>
      <c r="G61" s="466" t="e">
        <f>+#REF!</f>
        <v>#REF!</v>
      </c>
      <c r="H61" s="466" t="e">
        <f>+#REF!</f>
        <v>#REF!</v>
      </c>
      <c r="I61" s="466" t="e">
        <f>+#REF!</f>
        <v>#REF!</v>
      </c>
      <c r="J61" s="466" t="e">
        <f>+#REF!</f>
        <v>#REF!</v>
      </c>
      <c r="K61" s="466" t="e">
        <f>+#REF!</f>
        <v>#REF!</v>
      </c>
      <c r="L61" s="472" t="e">
        <f>+#REF!</f>
        <v>#REF!</v>
      </c>
    </row>
    <row r="62" spans="1:13" ht="15" customHeight="1" x14ac:dyDescent="0.3">
      <c r="B62" s="475"/>
      <c r="C62" s="476"/>
      <c r="D62" s="467"/>
      <c r="E62" s="466"/>
      <c r="F62" s="466"/>
      <c r="G62" s="466"/>
      <c r="H62" s="466"/>
      <c r="I62" s="466"/>
      <c r="J62" s="466"/>
      <c r="K62" s="466"/>
      <c r="L62" s="472"/>
    </row>
    <row r="63" spans="1:13" ht="15" customHeight="1" x14ac:dyDescent="0.3">
      <c r="B63" s="473" t="e">
        <f>+#REF!</f>
        <v>#REF!</v>
      </c>
      <c r="C63" s="474"/>
      <c r="D63" s="467" t="e">
        <f>+#REF!</f>
        <v>#REF!</v>
      </c>
      <c r="E63" s="466" t="e">
        <f>+#REF!</f>
        <v>#REF!</v>
      </c>
      <c r="F63" s="466" t="e">
        <f>+#REF!</f>
        <v>#REF!</v>
      </c>
      <c r="G63" s="466" t="e">
        <f>+#REF!</f>
        <v>#REF!</v>
      </c>
      <c r="H63" s="466" t="e">
        <f>+#REF!</f>
        <v>#REF!</v>
      </c>
      <c r="I63" s="466" t="e">
        <f>+#REF!</f>
        <v>#REF!</v>
      </c>
      <c r="J63" s="466" t="e">
        <f>+#REF!</f>
        <v>#REF!</v>
      </c>
      <c r="K63" s="466" t="e">
        <f>+#REF!</f>
        <v>#REF!</v>
      </c>
      <c r="L63" s="472" t="e">
        <f>+#REF!</f>
        <v>#REF!</v>
      </c>
    </row>
    <row r="64" spans="1:13" ht="15" customHeight="1" x14ac:dyDescent="0.3">
      <c r="B64" s="475"/>
      <c r="C64" s="476"/>
      <c r="D64" s="467"/>
      <c r="E64" s="466"/>
      <c r="F64" s="466"/>
      <c r="G64" s="466"/>
      <c r="H64" s="466"/>
      <c r="I64" s="466"/>
      <c r="J64" s="466"/>
      <c r="K64" s="466"/>
      <c r="L64" s="472"/>
    </row>
    <row r="65" spans="1:13" ht="15" customHeight="1" x14ac:dyDescent="0.3">
      <c r="B65" s="473" t="e">
        <f>+#REF!</f>
        <v>#REF!</v>
      </c>
      <c r="C65" s="474"/>
      <c r="D65" s="467" t="e">
        <f>+#REF!</f>
        <v>#REF!</v>
      </c>
      <c r="E65" s="466" t="e">
        <f>+#REF!</f>
        <v>#REF!</v>
      </c>
      <c r="F65" s="466" t="e">
        <f>+#REF!</f>
        <v>#REF!</v>
      </c>
      <c r="G65" s="466" t="e">
        <f>+#REF!</f>
        <v>#REF!</v>
      </c>
      <c r="H65" s="466" t="e">
        <f>+#REF!</f>
        <v>#REF!</v>
      </c>
      <c r="I65" s="466" t="e">
        <f>+#REF!</f>
        <v>#REF!</v>
      </c>
      <c r="J65" s="466" t="e">
        <f>+#REF!</f>
        <v>#REF!</v>
      </c>
      <c r="K65" s="466" t="e">
        <f>+#REF!</f>
        <v>#REF!</v>
      </c>
      <c r="L65" s="472" t="e">
        <f>+#REF!</f>
        <v>#REF!</v>
      </c>
    </row>
    <row r="66" spans="1:13" ht="15" customHeight="1" x14ac:dyDescent="0.3">
      <c r="B66" s="475"/>
      <c r="C66" s="476"/>
      <c r="D66" s="467"/>
      <c r="E66" s="466"/>
      <c r="F66" s="466"/>
      <c r="G66" s="466"/>
      <c r="H66" s="466"/>
      <c r="I66" s="466"/>
      <c r="J66" s="466"/>
      <c r="K66" s="466"/>
      <c r="L66" s="472"/>
    </row>
    <row r="67" spans="1:13" ht="15" customHeight="1" x14ac:dyDescent="0.3">
      <c r="B67" s="473" t="e">
        <f>+#REF!</f>
        <v>#REF!</v>
      </c>
      <c r="C67" s="474"/>
      <c r="D67" s="467" t="e">
        <f>+#REF!</f>
        <v>#REF!</v>
      </c>
      <c r="E67" s="466" t="e">
        <f>+#REF!</f>
        <v>#REF!</v>
      </c>
      <c r="F67" s="466" t="e">
        <f>+#REF!</f>
        <v>#REF!</v>
      </c>
      <c r="G67" s="466" t="e">
        <f>+#REF!</f>
        <v>#REF!</v>
      </c>
      <c r="H67" s="466" t="e">
        <f>+#REF!</f>
        <v>#REF!</v>
      </c>
      <c r="I67" s="466" t="e">
        <f>+#REF!</f>
        <v>#REF!</v>
      </c>
      <c r="J67" s="466" t="e">
        <f>+#REF!</f>
        <v>#REF!</v>
      </c>
      <c r="K67" s="466" t="e">
        <f>+#REF!</f>
        <v>#REF!</v>
      </c>
      <c r="L67" s="472" t="e">
        <f>+#REF!</f>
        <v>#REF!</v>
      </c>
    </row>
    <row r="68" spans="1:13" ht="15.75" customHeight="1" thickBot="1" x14ac:dyDescent="0.35">
      <c r="B68" s="475"/>
      <c r="C68" s="476"/>
      <c r="D68" s="486"/>
      <c r="E68" s="481"/>
      <c r="F68" s="481"/>
      <c r="G68" s="481"/>
      <c r="H68" s="481"/>
      <c r="I68" s="481"/>
      <c r="J68" s="481"/>
      <c r="K68" s="481"/>
      <c r="L68" s="495"/>
    </row>
    <row r="70" spans="1:13" ht="23.4" x14ac:dyDescent="0.3">
      <c r="A70" s="471" t="s">
        <v>34</v>
      </c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</row>
    <row r="72" spans="1:13" ht="33.75" customHeight="1" x14ac:dyDescent="0.3">
      <c r="A72" s="90" t="e">
        <f>+#REF!</f>
        <v>#REF!</v>
      </c>
      <c r="B72" s="91" t="e">
        <f>+#REF!</f>
        <v>#REF!</v>
      </c>
      <c r="C72" s="119" t="e">
        <f>+#REF!</f>
        <v>#REF!</v>
      </c>
      <c r="D72" s="95"/>
      <c r="E72" s="85" t="s">
        <v>15</v>
      </c>
      <c r="F72" s="95"/>
      <c r="G72" s="469" t="e">
        <f>+#REF!</f>
        <v>#REF!</v>
      </c>
      <c r="H72" s="455"/>
      <c r="I72" s="455"/>
      <c r="J72" s="455"/>
      <c r="K72" s="105" t="e">
        <f>+#REF!</f>
        <v>#REF!</v>
      </c>
      <c r="L72" s="105"/>
    </row>
    <row r="73" spans="1:13" ht="17.399999999999999" x14ac:dyDescent="0.35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103"/>
      <c r="L73" s="103"/>
    </row>
    <row r="74" spans="1:13" ht="33.75" customHeight="1" x14ac:dyDescent="0.3">
      <c r="A74" s="93" t="e">
        <f>+#REF!</f>
        <v>#REF!</v>
      </c>
      <c r="B74" s="94" t="e">
        <f>+#REF!</f>
        <v>#REF!</v>
      </c>
      <c r="C74" s="120" t="e">
        <f>+#REF!</f>
        <v>#REF!</v>
      </c>
      <c r="D74" s="95"/>
      <c r="E74" s="85" t="s">
        <v>15</v>
      </c>
      <c r="F74" s="95"/>
      <c r="G74" s="470" t="e">
        <f>+#REF!</f>
        <v>#REF!</v>
      </c>
      <c r="H74" s="456"/>
      <c r="I74" s="456"/>
      <c r="J74" s="456"/>
      <c r="K74" s="108" t="e">
        <f>+#REF!</f>
        <v>#REF!</v>
      </c>
      <c r="L74" s="108"/>
    </row>
    <row r="75" spans="1:13" x14ac:dyDescent="0.3">
      <c r="A75" s="468" t="s">
        <v>32</v>
      </c>
      <c r="B75" s="468"/>
      <c r="C75" s="468"/>
      <c r="D75" s="468"/>
      <c r="E75" s="468"/>
      <c r="F75" s="468"/>
      <c r="G75" s="468"/>
      <c r="H75" s="468"/>
      <c r="I75" s="468"/>
      <c r="J75" s="468"/>
      <c r="K75" s="468"/>
      <c r="L75" s="468"/>
      <c r="M75" s="468"/>
    </row>
    <row r="76" spans="1:13" x14ac:dyDescent="0.3">
      <c r="A76" s="468"/>
      <c r="B76" s="468"/>
      <c r="C76" s="468"/>
      <c r="D76" s="468"/>
      <c r="E76" s="468"/>
      <c r="F76" s="468"/>
      <c r="G76" s="468"/>
      <c r="H76" s="468"/>
      <c r="I76" s="468"/>
      <c r="J76" s="468"/>
      <c r="K76" s="468"/>
      <c r="L76" s="468"/>
      <c r="M76" s="468"/>
    </row>
    <row r="77" spans="1:13" x14ac:dyDescent="0.3">
      <c r="A77" s="468"/>
      <c r="B77" s="468"/>
      <c r="C77" s="468"/>
      <c r="D77" s="468"/>
      <c r="E77" s="468"/>
      <c r="F77" s="468"/>
      <c r="G77" s="468"/>
      <c r="H77" s="468"/>
      <c r="I77" s="468"/>
      <c r="J77" s="468"/>
      <c r="K77" s="468"/>
      <c r="L77" s="468"/>
      <c r="M77" s="468"/>
    </row>
    <row r="78" spans="1:13" x14ac:dyDescent="0.3">
      <c r="A78" s="449" t="s">
        <v>28</v>
      </c>
      <c r="B78" s="449"/>
      <c r="C78" s="449"/>
      <c r="D78" s="449"/>
      <c r="E78" s="449"/>
      <c r="F78" s="449"/>
      <c r="G78" s="449"/>
      <c r="H78" s="449"/>
      <c r="I78" s="449"/>
      <c r="J78" s="449"/>
      <c r="K78" s="449"/>
      <c r="L78" s="449"/>
      <c r="M78" s="449"/>
    </row>
    <row r="79" spans="1:13" x14ac:dyDescent="0.3">
      <c r="A79" s="449" t="s">
        <v>29</v>
      </c>
      <c r="B79" s="449"/>
      <c r="C79" s="449"/>
      <c r="D79" s="449"/>
      <c r="E79" s="449"/>
      <c r="F79" s="449"/>
      <c r="G79" s="449"/>
      <c r="H79" s="449"/>
      <c r="I79" s="449"/>
      <c r="J79" s="449"/>
      <c r="K79" s="449"/>
      <c r="L79" s="449"/>
      <c r="M79" s="449"/>
    </row>
    <row r="80" spans="1:13" x14ac:dyDescent="0.3">
      <c r="A80" s="450" t="s">
        <v>30</v>
      </c>
      <c r="B80" s="450"/>
      <c r="C80" s="450"/>
      <c r="D80" s="450"/>
      <c r="E80" s="450"/>
      <c r="F80" s="450"/>
      <c r="G80" s="450"/>
      <c r="H80" s="450"/>
      <c r="I80" s="450"/>
      <c r="J80" s="450"/>
      <c r="K80" s="450"/>
      <c r="L80" s="450"/>
      <c r="M80" s="450"/>
    </row>
    <row r="81" spans="1:13" x14ac:dyDescent="0.3">
      <c r="A81" s="449" t="s">
        <v>31</v>
      </c>
      <c r="B81" s="449"/>
      <c r="C81" s="449"/>
      <c r="D81" s="449"/>
      <c r="E81" s="449"/>
      <c r="F81" s="449"/>
      <c r="G81" s="449"/>
      <c r="H81" s="449"/>
      <c r="I81" s="449"/>
      <c r="J81" s="449"/>
      <c r="K81" s="449"/>
      <c r="L81" s="449"/>
      <c r="M81" s="449"/>
    </row>
  </sheetData>
  <mergeCells count="217">
    <mergeCell ref="A79:M79"/>
    <mergeCell ref="A80:M80"/>
    <mergeCell ref="A81:M81"/>
    <mergeCell ref="K67:K68"/>
    <mergeCell ref="L67:L68"/>
    <mergeCell ref="A70:L70"/>
    <mergeCell ref="G72:J72"/>
    <mergeCell ref="G74:J74"/>
    <mergeCell ref="A75:M77"/>
    <mergeCell ref="B67:C68"/>
    <mergeCell ref="D67:D68"/>
    <mergeCell ref="E67:E68"/>
    <mergeCell ref="F67:F68"/>
    <mergeCell ref="G67:G68"/>
    <mergeCell ref="H67:H68"/>
    <mergeCell ref="I67:I68"/>
    <mergeCell ref="J67:J68"/>
    <mergeCell ref="A78:M78"/>
    <mergeCell ref="L63:L64"/>
    <mergeCell ref="B65:C66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B63:C64"/>
    <mergeCell ref="D63:D64"/>
    <mergeCell ref="E63:E64"/>
    <mergeCell ref="F63:F64"/>
    <mergeCell ref="G63:G64"/>
    <mergeCell ref="H63:H64"/>
    <mergeCell ref="I63:I64"/>
    <mergeCell ref="J63:J64"/>
    <mergeCell ref="K63:K64"/>
    <mergeCell ref="K59:K60"/>
    <mergeCell ref="L59:L60"/>
    <mergeCell ref="B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G54:J54"/>
    <mergeCell ref="G56:J56"/>
    <mergeCell ref="B59:C60"/>
    <mergeCell ref="D59:D60"/>
    <mergeCell ref="E59:E60"/>
    <mergeCell ref="F59:F60"/>
    <mergeCell ref="G59:G60"/>
    <mergeCell ref="H59:H60"/>
    <mergeCell ref="I59:I60"/>
    <mergeCell ref="J59:J60"/>
    <mergeCell ref="L49:L50"/>
    <mergeCell ref="A52:L52"/>
    <mergeCell ref="H47:H48"/>
    <mergeCell ref="I47:I48"/>
    <mergeCell ref="J47:J48"/>
    <mergeCell ref="K47:K48"/>
    <mergeCell ref="L47:L48"/>
    <mergeCell ref="B49:C50"/>
    <mergeCell ref="D49:D50"/>
    <mergeCell ref="E49:E50"/>
    <mergeCell ref="F49:F50"/>
    <mergeCell ref="G49:G50"/>
    <mergeCell ref="B47:C48"/>
    <mergeCell ref="D47:D48"/>
    <mergeCell ref="E47:E48"/>
    <mergeCell ref="F47:F48"/>
    <mergeCell ref="G47:G48"/>
    <mergeCell ref="H49:H50"/>
    <mergeCell ref="I49:I50"/>
    <mergeCell ref="J49:J50"/>
    <mergeCell ref="K49:K50"/>
    <mergeCell ref="L43:L44"/>
    <mergeCell ref="B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B43:C44"/>
    <mergeCell ref="D43:D44"/>
    <mergeCell ref="E43:E44"/>
    <mergeCell ref="F43:F44"/>
    <mergeCell ref="G43:G44"/>
    <mergeCell ref="H43:H44"/>
    <mergeCell ref="I43:I44"/>
    <mergeCell ref="J43:J44"/>
    <mergeCell ref="K43:K44"/>
    <mergeCell ref="L31:L32"/>
    <mergeCell ref="A34:L34"/>
    <mergeCell ref="G36:J36"/>
    <mergeCell ref="G38:J38"/>
    <mergeCell ref="B41:C42"/>
    <mergeCell ref="D41:D42"/>
    <mergeCell ref="E41:E42"/>
    <mergeCell ref="F41:F42"/>
    <mergeCell ref="G41:G42"/>
    <mergeCell ref="H41:H42"/>
    <mergeCell ref="I41:I42"/>
    <mergeCell ref="J41:J42"/>
    <mergeCell ref="K41:K42"/>
    <mergeCell ref="L41:L42"/>
    <mergeCell ref="B31:C32"/>
    <mergeCell ref="D31:D32"/>
    <mergeCell ref="E31:E32"/>
    <mergeCell ref="F31:F32"/>
    <mergeCell ref="G31:G32"/>
    <mergeCell ref="H31:H32"/>
    <mergeCell ref="I31:I32"/>
    <mergeCell ref="J31:J32"/>
    <mergeCell ref="K31:K32"/>
    <mergeCell ref="L27:L28"/>
    <mergeCell ref="B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B27:C28"/>
    <mergeCell ref="D27:D28"/>
    <mergeCell ref="E27:E28"/>
    <mergeCell ref="F27:F28"/>
    <mergeCell ref="G27:G28"/>
    <mergeCell ref="H27:H28"/>
    <mergeCell ref="I27:I28"/>
    <mergeCell ref="J27:J28"/>
    <mergeCell ref="K27:K28"/>
    <mergeCell ref="K23:K24"/>
    <mergeCell ref="L23:L24"/>
    <mergeCell ref="B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G21:J21"/>
    <mergeCell ref="B23:C24"/>
    <mergeCell ref="D23:D24"/>
    <mergeCell ref="E23:E24"/>
    <mergeCell ref="F23:F24"/>
    <mergeCell ref="G23:G24"/>
    <mergeCell ref="H23:H24"/>
    <mergeCell ref="I23:I24"/>
    <mergeCell ref="J23:J24"/>
    <mergeCell ref="A17:L17"/>
    <mergeCell ref="G19:J19"/>
    <mergeCell ref="I12:I13"/>
    <mergeCell ref="J12:J13"/>
    <mergeCell ref="K12:K13"/>
    <mergeCell ref="L12:L13"/>
    <mergeCell ref="B14:C15"/>
    <mergeCell ref="D14:D15"/>
    <mergeCell ref="E14:E15"/>
    <mergeCell ref="F14:F15"/>
    <mergeCell ref="G14:G15"/>
    <mergeCell ref="H14:H15"/>
    <mergeCell ref="L10:L11"/>
    <mergeCell ref="B12:C13"/>
    <mergeCell ref="D12:D13"/>
    <mergeCell ref="E12:E13"/>
    <mergeCell ref="F12:F13"/>
    <mergeCell ref="G12:G13"/>
    <mergeCell ref="H12:H13"/>
    <mergeCell ref="I14:I15"/>
    <mergeCell ref="J14:J15"/>
    <mergeCell ref="K14:K15"/>
    <mergeCell ref="L14:L15"/>
    <mergeCell ref="B10:C11"/>
    <mergeCell ref="D10:D11"/>
    <mergeCell ref="E10:E11"/>
    <mergeCell ref="F10:F11"/>
    <mergeCell ref="G10:G11"/>
    <mergeCell ref="H10:H11"/>
    <mergeCell ref="I10:I11"/>
    <mergeCell ref="J10:J11"/>
    <mergeCell ref="K10:K11"/>
    <mergeCell ref="I6:I7"/>
    <mergeCell ref="J6:J7"/>
    <mergeCell ref="K6:K7"/>
    <mergeCell ref="L6:L7"/>
    <mergeCell ref="B8:C9"/>
    <mergeCell ref="D8:D9"/>
    <mergeCell ref="E8:E9"/>
    <mergeCell ref="F8:F9"/>
    <mergeCell ref="G8:G9"/>
    <mergeCell ref="H8:H9"/>
    <mergeCell ref="B6:C7"/>
    <mergeCell ref="D6:D7"/>
    <mergeCell ref="E6:E7"/>
    <mergeCell ref="F6:F7"/>
    <mergeCell ref="G6:G7"/>
    <mergeCell ref="H6:H7"/>
    <mergeCell ref="I8:I9"/>
    <mergeCell ref="J8:J9"/>
    <mergeCell ref="K8:K9"/>
    <mergeCell ref="L8:L9"/>
  </mergeCells>
  <conditionalFormatting sqref="D19 D56">
    <cfRule type="expression" dxfId="77" priority="31" stopIfTrue="1">
      <formula>#REF!="P"</formula>
    </cfRule>
    <cfRule type="expression" dxfId="76" priority="32" stopIfTrue="1">
      <formula>#REF!="E"</formula>
    </cfRule>
    <cfRule type="expression" dxfId="75" priority="33" stopIfTrue="1">
      <formula>#REF!="G"</formula>
    </cfRule>
  </conditionalFormatting>
  <conditionalFormatting sqref="D21">
    <cfRule type="expression" dxfId="74" priority="24" stopIfTrue="1">
      <formula>#REF!="G"</formula>
    </cfRule>
    <cfRule type="expression" dxfId="73" priority="23" stopIfTrue="1">
      <formula>#REF!="E"</formula>
    </cfRule>
    <cfRule type="expression" dxfId="72" priority="22" stopIfTrue="1">
      <formula>#REF!="P"</formula>
    </cfRule>
  </conditionalFormatting>
  <conditionalFormatting sqref="D36">
    <cfRule type="expression" dxfId="71" priority="16" stopIfTrue="1">
      <formula>#REF!="P"</formula>
    </cfRule>
    <cfRule type="expression" dxfId="70" priority="17" stopIfTrue="1">
      <formula>#REF!="E"</formula>
    </cfRule>
    <cfRule type="expression" dxfId="69" priority="18" stopIfTrue="1">
      <formula>#REF!="G"</formula>
    </cfRule>
  </conditionalFormatting>
  <conditionalFormatting sqref="D38">
    <cfRule type="expression" dxfId="68" priority="10" stopIfTrue="1">
      <formula>#REF!="P"</formula>
    </cfRule>
    <cfRule type="expression" dxfId="67" priority="11" stopIfTrue="1">
      <formula>#REF!="E"</formula>
    </cfRule>
    <cfRule type="expression" dxfId="66" priority="12" stopIfTrue="1">
      <formula>#REF!="G"</formula>
    </cfRule>
  </conditionalFormatting>
  <conditionalFormatting sqref="D54">
    <cfRule type="expression" dxfId="65" priority="30" stopIfTrue="1">
      <formula>#REF!="G"</formula>
    </cfRule>
    <cfRule type="expression" dxfId="64" priority="29" stopIfTrue="1">
      <formula>#REF!="E"</formula>
    </cfRule>
    <cfRule type="expression" dxfId="63" priority="28" stopIfTrue="1">
      <formula>#REF!="P"</formula>
    </cfRule>
  </conditionalFormatting>
  <conditionalFormatting sqref="D72">
    <cfRule type="expression" dxfId="62" priority="1" stopIfTrue="1">
      <formula>#REF!="P"</formula>
    </cfRule>
    <cfRule type="expression" dxfId="61" priority="2" stopIfTrue="1">
      <formula>#REF!="E"</formula>
    </cfRule>
    <cfRule type="expression" dxfId="60" priority="3" stopIfTrue="1">
      <formula>#REF!="G"</formula>
    </cfRule>
  </conditionalFormatting>
  <conditionalFormatting sqref="D74">
    <cfRule type="expression" dxfId="59" priority="4" stopIfTrue="1">
      <formula>#REF!="P"</formula>
    </cfRule>
    <cfRule type="expression" dxfId="58" priority="5" stopIfTrue="1">
      <formula>#REF!="E"</formula>
    </cfRule>
    <cfRule type="expression" dxfId="57" priority="6" stopIfTrue="1">
      <formula>#REF!="G"</formula>
    </cfRule>
  </conditionalFormatting>
  <conditionalFormatting sqref="F19 F54 F56">
    <cfRule type="expression" dxfId="56" priority="36" stopIfTrue="1">
      <formula>#REF!="G"</formula>
    </cfRule>
    <cfRule type="expression" dxfId="55" priority="34" stopIfTrue="1">
      <formula>#REF!="P"</formula>
    </cfRule>
    <cfRule type="expression" dxfId="54" priority="35" stopIfTrue="1">
      <formula>#REF!="E"</formula>
    </cfRule>
  </conditionalFormatting>
  <conditionalFormatting sqref="F21">
    <cfRule type="expression" dxfId="53" priority="25" stopIfTrue="1">
      <formula>#REF!="P"</formula>
    </cfRule>
    <cfRule type="expression" dxfId="52" priority="26" stopIfTrue="1">
      <formula>#REF!="E"</formula>
    </cfRule>
    <cfRule type="expression" dxfId="51" priority="27" stopIfTrue="1">
      <formula>#REF!="G"</formula>
    </cfRule>
  </conditionalFormatting>
  <conditionalFormatting sqref="F36">
    <cfRule type="expression" dxfId="50" priority="20" stopIfTrue="1">
      <formula>#REF!="E"</formula>
    </cfRule>
    <cfRule type="expression" dxfId="49" priority="21" stopIfTrue="1">
      <formula>#REF!="G"</formula>
    </cfRule>
    <cfRule type="expression" dxfId="48" priority="19" stopIfTrue="1">
      <formula>#REF!="P"</formula>
    </cfRule>
  </conditionalFormatting>
  <conditionalFormatting sqref="F38">
    <cfRule type="expression" dxfId="47" priority="15" stopIfTrue="1">
      <formula>#REF!="G"</formula>
    </cfRule>
    <cfRule type="expression" dxfId="46" priority="14" stopIfTrue="1">
      <formula>#REF!="E"</formula>
    </cfRule>
    <cfRule type="expression" dxfId="45" priority="13" stopIfTrue="1">
      <formula>#REF!="P"</formula>
    </cfRule>
  </conditionalFormatting>
  <conditionalFormatting sqref="F72 F74">
    <cfRule type="expression" dxfId="44" priority="9" stopIfTrue="1">
      <formula>#REF!="G"</formula>
    </cfRule>
    <cfRule type="expression" dxfId="43" priority="8" stopIfTrue="1">
      <formula>#REF!="E"</formula>
    </cfRule>
    <cfRule type="expression" dxfId="42" priority="7" stopIfTrue="1">
      <formula>#REF!="P"</formula>
    </cfRule>
  </conditionalFormatting>
  <hyperlinks>
    <hyperlink ref="A80" r:id="rId1" display="mailto:soccermelgar@outlook.com" xr:uid="{00000000-0004-0000-0C00-000000000000}"/>
  </hyperlinks>
  <printOptions horizontalCentered="1" verticalCentered="1"/>
  <pageMargins left="0.51181102362204722" right="0.51181102362204722" top="0.55118110236220474" bottom="0.55118110236220474" header="0" footer="0"/>
  <pageSetup scale="80" orientation="portrait" horizontalDpi="4294967293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CP23"/>
  <sheetViews>
    <sheetView zoomScale="115" zoomScaleNormal="115" workbookViewId="0">
      <selection activeCell="C9" sqref="C9:C10"/>
    </sheetView>
  </sheetViews>
  <sheetFormatPr baseColWidth="10" defaultRowHeight="14.4" x14ac:dyDescent="0.3"/>
  <cols>
    <col min="1" max="1" width="5.109375" customWidth="1"/>
    <col min="2" max="2" width="11.44140625" customWidth="1"/>
    <col min="3" max="3" width="10" customWidth="1"/>
    <col min="4" max="4" width="13.33203125" customWidth="1"/>
    <col min="5" max="5" width="8.5546875" hidden="1" customWidth="1"/>
    <col min="6" max="6" width="0" hidden="1" customWidth="1"/>
    <col min="7" max="7" width="25.33203125" customWidth="1"/>
    <col min="8" max="8" width="5.6640625" customWidth="1"/>
    <col min="9" max="9" width="7.109375" customWidth="1"/>
    <col min="10" max="10" width="5.6640625" customWidth="1"/>
    <col min="11" max="11" width="0" hidden="1" customWidth="1"/>
    <col min="12" max="12" width="25.33203125" customWidth="1"/>
    <col min="13" max="13" width="8.109375" hidden="1" customWidth="1"/>
    <col min="15" max="15" width="3.5546875" style="3" customWidth="1"/>
    <col min="16" max="16" width="25.33203125" customWidth="1"/>
    <col min="17" max="17" width="3" style="3" customWidth="1"/>
    <col min="18" max="94" width="11.44140625" style="3"/>
  </cols>
  <sheetData>
    <row r="1" spans="1:17" s="3" customFormat="1" ht="34.5" customHeight="1" x14ac:dyDescent="0.3">
      <c r="H1" s="313" t="s">
        <v>5</v>
      </c>
      <c r="I1" s="313"/>
      <c r="J1" s="313"/>
      <c r="K1" s="313"/>
      <c r="L1" s="313"/>
      <c r="M1" s="313"/>
      <c r="N1" s="313"/>
      <c r="O1" s="313"/>
      <c r="P1" s="313"/>
      <c r="Q1" s="45"/>
    </row>
    <row r="2" spans="1:17" s="3" customFormat="1" ht="38.25" customHeight="1" x14ac:dyDescent="0.3">
      <c r="B2" s="144" t="s">
        <v>43</v>
      </c>
      <c r="C2" s="145"/>
      <c r="D2" s="145"/>
      <c r="E2" s="145"/>
      <c r="F2" s="145"/>
      <c r="G2" s="145"/>
      <c r="H2" s="333" t="s">
        <v>6</v>
      </c>
      <c r="I2" s="333"/>
      <c r="J2" s="333"/>
      <c r="K2" s="333"/>
      <c r="L2" s="333"/>
      <c r="M2" s="333"/>
      <c r="N2" s="333"/>
      <c r="O2" s="333"/>
      <c r="P2" s="333"/>
      <c r="Q2" s="46"/>
    </row>
    <row r="3" spans="1:17" s="3" customFormat="1" ht="15" customHeight="1" x14ac:dyDescent="0.3">
      <c r="B3" s="146" t="s">
        <v>17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</row>
    <row r="4" spans="1:17" ht="21.75" customHeight="1" x14ac:dyDescent="0.45">
      <c r="A4" s="3"/>
      <c r="B4" s="334" t="s">
        <v>4</v>
      </c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5"/>
      <c r="O4" s="18"/>
      <c r="P4" s="16" t="s">
        <v>18</v>
      </c>
    </row>
    <row r="5" spans="1:17" ht="15" thickBot="1" x14ac:dyDescent="0.35">
      <c r="A5" s="3"/>
      <c r="B5" s="148"/>
      <c r="C5" s="148"/>
      <c r="D5" s="148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7" x14ac:dyDescent="0.3">
      <c r="A6" s="3"/>
      <c r="B6" s="336">
        <f>+'CUARTOS DE FINAL.'!B6:B7</f>
        <v>42596</v>
      </c>
      <c r="C6" s="336" t="str">
        <f>+'CUARTOS DE FINAL.'!C6:C7</f>
        <v>LLAVE A</v>
      </c>
      <c r="D6" s="336" t="str">
        <f>+'CUARTOS DE FINAL.'!D6:D7</f>
        <v>03:00. p.m.</v>
      </c>
      <c r="E6" s="149"/>
      <c r="F6" s="150" t="str">
        <f>IF(AND(H6&lt;&gt;"",J6&lt;&gt;""),IF(H6=J6,"E",IF(H6&gt;J6,"G","P")),"")</f>
        <v>E</v>
      </c>
      <c r="G6" s="342" t="e">
        <f>+'CUARTOS DE FINAL.'!G6:G7</f>
        <v>#N/A</v>
      </c>
      <c r="H6" s="272" t="s">
        <v>36</v>
      </c>
      <c r="I6" s="274" t="s">
        <v>15</v>
      </c>
      <c r="J6" s="272" t="s">
        <v>36</v>
      </c>
      <c r="K6" s="274" t="str">
        <f>IF(AND(J6&lt;&gt;"",H6&lt;&gt;""),IF(J6=H6,"E",IF(J6&gt;H6,"G","P")),"")</f>
        <v>E</v>
      </c>
      <c r="L6" s="349" t="e">
        <f>+'CUARTOS DE FINAL.'!L6:L7</f>
        <v>#REF!</v>
      </c>
      <c r="M6" s="149"/>
      <c r="N6" s="352" t="str">
        <f>+'CUARTOS DE FINAL.'!N6:N7</f>
        <v>PALMARA</v>
      </c>
      <c r="P6" s="350" t="str">
        <f>IF(OR(F6="E",F6=""),"",IF(F6="G",G6,L6))</f>
        <v/>
      </c>
    </row>
    <row r="7" spans="1:17" ht="15" thickBot="1" x14ac:dyDescent="0.35">
      <c r="A7" s="3"/>
      <c r="B7" s="337"/>
      <c r="C7" s="337"/>
      <c r="D7" s="337"/>
      <c r="E7" s="149"/>
      <c r="F7" s="150"/>
      <c r="G7" s="342"/>
      <c r="H7" s="273"/>
      <c r="I7" s="274"/>
      <c r="J7" s="273"/>
      <c r="K7" s="274"/>
      <c r="L7" s="349"/>
      <c r="M7" s="149"/>
      <c r="N7" s="352"/>
      <c r="P7" s="351"/>
    </row>
    <row r="8" spans="1:17" ht="6.75" customHeight="1" thickBot="1" x14ac:dyDescent="0.35">
      <c r="A8" s="3"/>
      <c r="B8" s="151"/>
      <c r="C8" s="151"/>
      <c r="D8" s="152"/>
      <c r="E8" s="149"/>
      <c r="F8" s="13"/>
      <c r="G8" s="13"/>
      <c r="H8" s="13"/>
      <c r="I8" s="13"/>
      <c r="J8" s="13"/>
      <c r="K8" s="13"/>
      <c r="L8" s="149"/>
      <c r="M8" s="149"/>
      <c r="N8" s="153"/>
      <c r="P8" s="154"/>
    </row>
    <row r="9" spans="1:17" ht="15" customHeight="1" x14ac:dyDescent="0.3">
      <c r="A9" s="3"/>
      <c r="B9" s="343">
        <f>+'CUARTOS DE FINAL.'!B9:B10</f>
        <v>42596</v>
      </c>
      <c r="C9" s="343" t="str">
        <f>+'CUARTOS DE FINAL.'!C9:C10</f>
        <v>LLAVE B</v>
      </c>
      <c r="D9" s="343" t="str">
        <f>+'CUARTOS DE FINAL.'!D9:D10</f>
        <v>04:20. p.m.</v>
      </c>
      <c r="E9" s="149"/>
      <c r="F9" s="274" t="str">
        <f>IF(AND(H9&lt;&gt;"",J9&lt;&gt;""),IF(H9=J9,"E",IF(H9&gt;J9,"G","P")),"")</f>
        <v>E</v>
      </c>
      <c r="G9" s="349" t="str">
        <f>+'CUARTOS DE FINAL.'!G9:G10</f>
        <v>TEMPLO DEL FÚTBOL</v>
      </c>
      <c r="H9" s="272" t="s">
        <v>36</v>
      </c>
      <c r="I9" s="274" t="s">
        <v>15</v>
      </c>
      <c r="J9" s="272" t="s">
        <v>36</v>
      </c>
      <c r="K9" s="274" t="str">
        <f>IF(AND(J9&lt;&gt;"",H9&lt;&gt;""),IF(J9=H9,"E",IF(J9&gt;H9,"G","P")),"")</f>
        <v>E</v>
      </c>
      <c r="L9" s="349" t="e">
        <f>+'CUARTOS DE FINAL.'!L9:L10</f>
        <v>#REF!</v>
      </c>
      <c r="M9" s="149"/>
      <c r="N9" s="352" t="str">
        <f>+'CUARTOS DE FINAL.'!N9:N10</f>
        <v>CANCHA 2</v>
      </c>
      <c r="P9" s="350" t="str">
        <f>IF(OR(F9="E",F9=""),"",IF(F9="G",G9,L9))</f>
        <v/>
      </c>
    </row>
    <row r="10" spans="1:17" ht="15" thickBot="1" x14ac:dyDescent="0.35">
      <c r="A10" s="3"/>
      <c r="B10" s="344"/>
      <c r="C10" s="344"/>
      <c r="D10" s="344"/>
      <c r="E10" s="149"/>
      <c r="F10" s="274"/>
      <c r="G10" s="349"/>
      <c r="H10" s="273"/>
      <c r="I10" s="274"/>
      <c r="J10" s="273"/>
      <c r="K10" s="274"/>
      <c r="L10" s="349"/>
      <c r="M10" s="149"/>
      <c r="N10" s="352"/>
      <c r="P10" s="351"/>
    </row>
    <row r="11" spans="1:17" ht="8.25" customHeight="1" thickBot="1" x14ac:dyDescent="0.35">
      <c r="A11" s="3"/>
      <c r="B11" s="155"/>
      <c r="C11" s="151"/>
      <c r="D11" s="152"/>
      <c r="E11" s="149"/>
      <c r="F11" s="13"/>
      <c r="G11" s="149"/>
      <c r="H11" s="13"/>
      <c r="I11" s="13"/>
      <c r="J11" s="13"/>
      <c r="K11" s="13"/>
      <c r="L11" s="149"/>
      <c r="M11" s="149"/>
      <c r="N11" s="153"/>
      <c r="P11" s="154"/>
    </row>
    <row r="12" spans="1:17" x14ac:dyDescent="0.3">
      <c r="A12" s="3"/>
      <c r="B12" s="336">
        <f>+'CUARTOS DE FINAL.'!B12:B13</f>
        <v>42596</v>
      </c>
      <c r="C12" s="336" t="str">
        <f>+'CUARTOS DE FINAL.'!C12:C13</f>
        <v>LLAVE C</v>
      </c>
      <c r="D12" s="336" t="str">
        <f>+'CUARTOS DE FINAL.'!D12:D13</f>
        <v>03:00. p.m.</v>
      </c>
      <c r="E12" s="149"/>
      <c r="F12" s="274" t="str">
        <f>IF(AND(H12&lt;&gt;"",J12&lt;&gt;""),IF(H12=J12,"E",IF(H12&gt;J12,"G","P")),"")</f>
        <v>E</v>
      </c>
      <c r="G12" s="349" t="e">
        <f>+'CUARTOS DE FINAL.'!G12:G13</f>
        <v>#REF!</v>
      </c>
      <c r="H12" s="272" t="s">
        <v>36</v>
      </c>
      <c r="I12" s="274" t="s">
        <v>15</v>
      </c>
      <c r="J12" s="272" t="s">
        <v>36</v>
      </c>
      <c r="K12" s="274" t="str">
        <f>IF(AND(J12&lt;&gt;"",H12&lt;&gt;""),IF(J12=H12,"E",IF(J12&gt;H12,"G","P")),"")</f>
        <v>E</v>
      </c>
      <c r="L12" s="349" t="e">
        <f>+'CUARTOS DE FINAL.'!L12:L13</f>
        <v>#N/A</v>
      </c>
      <c r="M12" s="149"/>
      <c r="N12" s="352" t="str">
        <f>+'CUARTOS DE FINAL.'!N12:N13</f>
        <v>CANCHA 2</v>
      </c>
      <c r="P12" s="350" t="str">
        <f>IF(OR(F12="E",F12=""),"",IF(F12="G",G12,L12))</f>
        <v/>
      </c>
    </row>
    <row r="13" spans="1:17" ht="15" thickBot="1" x14ac:dyDescent="0.35">
      <c r="A13" s="3"/>
      <c r="B13" s="337"/>
      <c r="C13" s="337"/>
      <c r="D13" s="337"/>
      <c r="E13" s="149"/>
      <c r="F13" s="274"/>
      <c r="G13" s="349"/>
      <c r="H13" s="273"/>
      <c r="I13" s="274"/>
      <c r="J13" s="273"/>
      <c r="K13" s="274"/>
      <c r="L13" s="349"/>
      <c r="M13" s="149"/>
      <c r="N13" s="352"/>
      <c r="P13" s="351"/>
    </row>
    <row r="14" spans="1:17" ht="8.25" customHeight="1" thickBot="1" x14ac:dyDescent="0.35">
      <c r="A14" s="3"/>
      <c r="B14" s="155"/>
      <c r="C14" s="151"/>
      <c r="D14" s="152"/>
      <c r="E14" s="149"/>
      <c r="F14" s="13"/>
      <c r="G14" s="149"/>
      <c r="H14" s="13"/>
      <c r="I14" s="13"/>
      <c r="J14" s="13"/>
      <c r="K14" s="13"/>
      <c r="L14" s="149"/>
      <c r="M14" s="149"/>
      <c r="N14" s="153"/>
      <c r="P14" s="154"/>
    </row>
    <row r="15" spans="1:17" x14ac:dyDescent="0.3">
      <c r="A15" s="3"/>
      <c r="B15" s="343">
        <f>+'CUARTOS DE FINAL.'!B15:B16</f>
        <v>42596</v>
      </c>
      <c r="C15" s="343" t="str">
        <f>+'CUARTOS DE FINAL.'!C15:C16</f>
        <v>LLAVE D</v>
      </c>
      <c r="D15" s="343" t="str">
        <f>+'CUARTOS DE FINAL.'!D15:D16</f>
        <v>04:20. p.m.</v>
      </c>
      <c r="E15" s="149"/>
      <c r="F15" s="274" t="str">
        <f>IF(AND(H15&lt;&gt;"",J15&lt;&gt;""),IF(H15=J15,"E",IF(H15&gt;J15,"G","P")),"")</f>
        <v>E</v>
      </c>
      <c r="G15" s="349" t="e">
        <f>+'CUARTOS DE FINAL.'!G15:G16</f>
        <v>#REF!</v>
      </c>
      <c r="H15" s="272" t="s">
        <v>36</v>
      </c>
      <c r="I15" s="274" t="s">
        <v>15</v>
      </c>
      <c r="J15" s="272" t="s">
        <v>36</v>
      </c>
      <c r="K15" s="274" t="str">
        <f>IF(AND(J15&lt;&gt;"",H15&lt;&gt;""),IF(J15=H15,"E",IF(J15&gt;H15,"G","P")),"")</f>
        <v>E</v>
      </c>
      <c r="L15" s="349" t="str">
        <f>+'CUARTOS DE FINAL.'!L15:L16</f>
        <v>CLUB CAMPESTRE IBAGUE</v>
      </c>
      <c r="M15" s="149"/>
      <c r="N15" s="352" t="str">
        <f>+'CUARTOS DE FINAL.'!N15:N16</f>
        <v>PALMARA</v>
      </c>
      <c r="P15" s="350" t="str">
        <f>IF(OR(F15="E",F15=""),"",IF(F15="G",G15,L15))</f>
        <v/>
      </c>
    </row>
    <row r="16" spans="1:17" ht="15" thickBot="1" x14ac:dyDescent="0.35">
      <c r="A16" s="3"/>
      <c r="B16" s="344"/>
      <c r="C16" s="344"/>
      <c r="D16" s="344"/>
      <c r="E16" s="149"/>
      <c r="F16" s="274"/>
      <c r="G16" s="349"/>
      <c r="H16" s="273"/>
      <c r="I16" s="274"/>
      <c r="J16" s="273"/>
      <c r="K16" s="274"/>
      <c r="L16" s="349"/>
      <c r="M16" s="10"/>
      <c r="N16" s="352"/>
      <c r="P16" s="351"/>
    </row>
    <row r="17" spans="2:7" s="3" customFormat="1" ht="7.5" customHeight="1" x14ac:dyDescent="0.3"/>
    <row r="18" spans="2:7" s="3" customFormat="1" x14ac:dyDescent="0.3">
      <c r="B18" s="353" t="s">
        <v>98</v>
      </c>
      <c r="C18" s="353"/>
      <c r="D18" s="353"/>
      <c r="E18" s="353"/>
      <c r="F18" s="353"/>
      <c r="G18" s="353"/>
    </row>
    <row r="19" spans="2:7" s="3" customFormat="1" x14ac:dyDescent="0.3">
      <c r="B19" s="353"/>
      <c r="C19" s="353"/>
      <c r="D19" s="353"/>
      <c r="E19" s="353"/>
      <c r="F19" s="353"/>
      <c r="G19" s="353"/>
    </row>
    <row r="20" spans="2:7" s="3" customFormat="1" x14ac:dyDescent="0.3">
      <c r="B20" s="353"/>
      <c r="C20" s="353"/>
      <c r="D20" s="353"/>
      <c r="E20" s="353"/>
      <c r="F20" s="353"/>
      <c r="G20" s="353"/>
    </row>
    <row r="21" spans="2:7" s="3" customFormat="1" x14ac:dyDescent="0.3">
      <c r="B21" s="354" t="s">
        <v>99</v>
      </c>
      <c r="C21" s="354"/>
      <c r="D21" s="354"/>
      <c r="E21" s="354"/>
      <c r="F21" s="354"/>
      <c r="G21" s="354"/>
    </row>
    <row r="22" spans="2:7" s="3" customFormat="1" x14ac:dyDescent="0.3">
      <c r="B22" s="354"/>
      <c r="C22" s="354"/>
      <c r="D22" s="354"/>
      <c r="E22" s="354"/>
      <c r="F22" s="354"/>
      <c r="G22" s="354"/>
    </row>
    <row r="23" spans="2:7" s="3" customFormat="1" x14ac:dyDescent="0.3"/>
  </sheetData>
  <mergeCells count="52">
    <mergeCell ref="B18:G20"/>
    <mergeCell ref="B21:G22"/>
    <mergeCell ref="I15:I16"/>
    <mergeCell ref="J15:J16"/>
    <mergeCell ref="K15:K16"/>
    <mergeCell ref="L15:L16"/>
    <mergeCell ref="N15:N16"/>
    <mergeCell ref="P15:P16"/>
    <mergeCell ref="B15:B16"/>
    <mergeCell ref="C15:C16"/>
    <mergeCell ref="D15:D16"/>
    <mergeCell ref="F15:F16"/>
    <mergeCell ref="G15:G16"/>
    <mergeCell ref="H15:H16"/>
    <mergeCell ref="P12:P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L12:L13"/>
    <mergeCell ref="N12:N13"/>
    <mergeCell ref="I9:I10"/>
    <mergeCell ref="J9:J10"/>
    <mergeCell ref="K9:K10"/>
    <mergeCell ref="L9:L10"/>
    <mergeCell ref="N9:N10"/>
    <mergeCell ref="P9:P10"/>
    <mergeCell ref="K6:K7"/>
    <mergeCell ref="L6:L7"/>
    <mergeCell ref="N6:N7"/>
    <mergeCell ref="P6:P7"/>
    <mergeCell ref="H9:H10"/>
    <mergeCell ref="H1:P1"/>
    <mergeCell ref="H2:P2"/>
    <mergeCell ref="B4:N4"/>
    <mergeCell ref="B6:B7"/>
    <mergeCell ref="C6:C7"/>
    <mergeCell ref="D6:D7"/>
    <mergeCell ref="G6:G7"/>
    <mergeCell ref="H6:H7"/>
    <mergeCell ref="I6:I7"/>
    <mergeCell ref="J6:J7"/>
    <mergeCell ref="B9:B10"/>
    <mergeCell ref="C9:C10"/>
    <mergeCell ref="D9:D10"/>
    <mergeCell ref="F9:F10"/>
    <mergeCell ref="G9:G10"/>
  </mergeCells>
  <conditionalFormatting sqref="H6:H7">
    <cfRule type="expression" dxfId="41" priority="22" stopIfTrue="1">
      <formula>F6="P"</formula>
    </cfRule>
    <cfRule type="expression" dxfId="40" priority="23" stopIfTrue="1">
      <formula>F6="E"</formula>
    </cfRule>
    <cfRule type="expression" dxfId="39" priority="24" stopIfTrue="1">
      <formula>F6="G"</formula>
    </cfRule>
  </conditionalFormatting>
  <conditionalFormatting sqref="H9:H10">
    <cfRule type="expression" dxfId="38" priority="7" stopIfTrue="1">
      <formula>F9="P"</formula>
    </cfRule>
    <cfRule type="expression" dxfId="37" priority="8" stopIfTrue="1">
      <formula>F9="E"</formula>
    </cfRule>
    <cfRule type="expression" dxfId="36" priority="9" stopIfTrue="1">
      <formula>F9="G"</formula>
    </cfRule>
  </conditionalFormatting>
  <conditionalFormatting sqref="H12:H13">
    <cfRule type="expression" dxfId="35" priority="4" stopIfTrue="1">
      <formula>F12="P"</formula>
    </cfRule>
    <cfRule type="expression" dxfId="34" priority="5" stopIfTrue="1">
      <formula>F12="E"</formula>
    </cfRule>
    <cfRule type="expression" dxfId="33" priority="6" stopIfTrue="1">
      <formula>F12="G"</formula>
    </cfRule>
  </conditionalFormatting>
  <conditionalFormatting sqref="H15:H16">
    <cfRule type="expression" dxfId="32" priority="1" stopIfTrue="1">
      <formula>F15="P"</formula>
    </cfRule>
    <cfRule type="expression" dxfId="31" priority="2" stopIfTrue="1">
      <formula>F15="E"</formula>
    </cfRule>
    <cfRule type="expression" dxfId="30" priority="3" stopIfTrue="1">
      <formula>F15="G"</formula>
    </cfRule>
  </conditionalFormatting>
  <conditionalFormatting sqref="J6:J7">
    <cfRule type="expression" dxfId="29" priority="10" stopIfTrue="1">
      <formula>K6="P"</formula>
    </cfRule>
    <cfRule type="expression" dxfId="28" priority="11" stopIfTrue="1">
      <formula>K6="E"</formula>
    </cfRule>
    <cfRule type="expression" dxfId="27" priority="12" stopIfTrue="1">
      <formula>K6="G"</formula>
    </cfRule>
  </conditionalFormatting>
  <conditionalFormatting sqref="J9:J10">
    <cfRule type="expression" dxfId="26" priority="13" stopIfTrue="1">
      <formula>K9="P"</formula>
    </cfRule>
    <cfRule type="expression" dxfId="25" priority="14" stopIfTrue="1">
      <formula>K9="E"</formula>
    </cfRule>
    <cfRule type="expression" dxfId="24" priority="15" stopIfTrue="1">
      <formula>K9="G"</formula>
    </cfRule>
  </conditionalFormatting>
  <conditionalFormatting sqref="J12:J13">
    <cfRule type="expression" dxfId="23" priority="16" stopIfTrue="1">
      <formula>K12="P"</formula>
    </cfRule>
    <cfRule type="expression" dxfId="22" priority="17" stopIfTrue="1">
      <formula>K12="E"</formula>
    </cfRule>
    <cfRule type="expression" dxfId="21" priority="18" stopIfTrue="1">
      <formula>K12="G"</formula>
    </cfRule>
  </conditionalFormatting>
  <conditionalFormatting sqref="J15:J16">
    <cfRule type="expression" dxfId="20" priority="19" stopIfTrue="1">
      <formula>K15="P"</formula>
    </cfRule>
    <cfRule type="expression" dxfId="19" priority="20" stopIfTrue="1">
      <formula>K15="E"</formula>
    </cfRule>
    <cfRule type="expression" dxfId="18" priority="21" stopIfTrue="1">
      <formula>K15="G"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landscape" r:id="rId1"/>
  <colBreaks count="1" manualBreakCount="1">
    <brk id="17" max="1048575" man="1"/>
  </colBreaks>
  <ignoredErrors>
    <ignoredError sqref="N6 N9 N12 N15" unlockedFormula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CI26"/>
  <sheetViews>
    <sheetView zoomScaleNormal="100" workbookViewId="0">
      <selection activeCell="A3" sqref="A3:O3"/>
    </sheetView>
  </sheetViews>
  <sheetFormatPr baseColWidth="10" defaultRowHeight="14.4" x14ac:dyDescent="0.3"/>
  <cols>
    <col min="1" max="1" width="5.109375" style="3" customWidth="1"/>
    <col min="2" max="2" width="11.44140625" customWidth="1"/>
    <col min="3" max="3" width="10" customWidth="1"/>
    <col min="4" max="4" width="15.6640625" customWidth="1"/>
    <col min="5" max="5" width="8.5546875" customWidth="1"/>
    <col min="6" max="6" width="17.109375" customWidth="1"/>
    <col min="7" max="8" width="11.44140625" hidden="1" customWidth="1"/>
    <col min="9" max="9" width="5.6640625" customWidth="1"/>
    <col min="10" max="10" width="7.109375" customWidth="1"/>
    <col min="11" max="11" width="5.6640625" customWidth="1"/>
    <col min="12" max="12" width="11.44140625" hidden="1" customWidth="1"/>
    <col min="13" max="13" width="25.6640625" customWidth="1"/>
    <col min="14" max="14" width="8.5546875" hidden="1" customWidth="1"/>
    <col min="15" max="15" width="14.33203125" customWidth="1"/>
    <col min="16" max="16" width="2.88671875" style="3" customWidth="1"/>
    <col min="17" max="17" width="20.88671875" customWidth="1"/>
    <col min="18" max="18" width="3.109375" style="3" customWidth="1"/>
    <col min="19" max="19" width="11.44140625" hidden="1" customWidth="1"/>
    <col min="20" max="21" width="11.44140625" style="3"/>
    <col min="22" max="22" width="17.6640625" style="3" customWidth="1"/>
    <col min="23" max="87" width="11.44140625" style="3"/>
  </cols>
  <sheetData>
    <row r="1" spans="1:19" s="3" customFormat="1" ht="34.799999999999997" x14ac:dyDescent="0.3">
      <c r="A1" s="313" t="s">
        <v>5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19" s="3" customFormat="1" ht="34.799999999999997" x14ac:dyDescent="0.3">
      <c r="A2" s="314" t="s">
        <v>6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  <c r="O2" s="314"/>
      <c r="P2" s="314"/>
      <c r="Q2" s="64"/>
      <c r="R2" s="64"/>
      <c r="S2" s="64"/>
    </row>
    <row r="3" spans="1:19" s="3" customFormat="1" ht="38.25" customHeight="1" x14ac:dyDescent="0.3">
      <c r="A3" s="521" t="s">
        <v>19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</row>
    <row r="4" spans="1:19" s="3" customFormat="1" x14ac:dyDescent="0.3">
      <c r="B4" s="48" t="s">
        <v>17</v>
      </c>
      <c r="N4" s="48"/>
    </row>
    <row r="5" spans="1:19" s="3" customFormat="1" ht="23.4" x14ac:dyDescent="0.45">
      <c r="A5" s="18"/>
      <c r="B5" s="419" t="s">
        <v>20</v>
      </c>
      <c r="C5" s="420"/>
      <c r="D5" s="420"/>
      <c r="E5" s="420"/>
      <c r="F5" s="320"/>
      <c r="G5" s="320"/>
      <c r="H5" s="320"/>
      <c r="I5" s="320"/>
      <c r="J5" s="320"/>
      <c r="K5" s="320"/>
      <c r="L5" s="320"/>
      <c r="M5" s="320"/>
      <c r="N5" s="320"/>
      <c r="O5" s="421"/>
      <c r="P5" s="18"/>
      <c r="Q5" s="16" t="s">
        <v>18</v>
      </c>
      <c r="S5"/>
    </row>
    <row r="6" spans="1:19" s="3" customFormat="1" x14ac:dyDescent="0.3">
      <c r="B6" s="6"/>
      <c r="C6" s="8"/>
      <c r="D6" s="8"/>
      <c r="E6" s="36"/>
      <c r="F6" s="7"/>
      <c r="G6" s="7"/>
      <c r="H6" s="7"/>
      <c r="I6" s="7"/>
      <c r="J6" s="7"/>
      <c r="K6" s="7"/>
      <c r="L6" s="7"/>
      <c r="M6" s="7"/>
      <c r="N6" s="7"/>
      <c r="O6" s="6"/>
      <c r="Q6"/>
      <c r="S6"/>
    </row>
    <row r="7" spans="1:19" s="3" customFormat="1" ht="15.75" customHeight="1" x14ac:dyDescent="0.35">
      <c r="B7" s="517">
        <f>+DEFINICION!B9</f>
        <v>42814</v>
      </c>
      <c r="C7" s="518" t="str">
        <f>+DEFINICION!C9</f>
        <v>LLAVE 1</v>
      </c>
      <c r="D7" s="518" t="str">
        <f>+DEFINICION!D9</f>
        <v>07:00. a.m.</v>
      </c>
      <c r="E7" s="514" t="e">
        <f>+DEFINICION!F9</f>
        <v>#N/A</v>
      </c>
      <c r="F7" s="514"/>
      <c r="G7" s="519" t="str">
        <f>IF(AND(I7&lt;&gt;"",K7&lt;&gt;""),IF(I7=K7,"E",IF(I7&gt;K7,"G","P")),"")</f>
        <v>G</v>
      </c>
      <c r="H7" s="82"/>
      <c r="I7" s="511">
        <f>+DEFINICION!J9</f>
        <v>2</v>
      </c>
      <c r="J7" s="520" t="s">
        <v>15</v>
      </c>
      <c r="K7" s="511">
        <f>+DEFINICION!L9</f>
        <v>0</v>
      </c>
      <c r="L7" s="513" t="str">
        <f>IF(AND(K7&lt;&gt;"",I7&lt;&gt;""),IF(K7=I7,"E",IF(K7&gt;I7,"G","P")),"")</f>
        <v>P</v>
      </c>
      <c r="M7" s="514" t="str">
        <f>+DEFINICION!O9</f>
        <v>CLUB CAMPESTRE IBAGUE</v>
      </c>
      <c r="N7" s="83" t="s">
        <v>27</v>
      </c>
      <c r="O7" s="515" t="str">
        <f>+DEFINICION!Q9</f>
        <v>CANCHA 2</v>
      </c>
      <c r="P7" s="84"/>
      <c r="Q7" s="516" t="e">
        <f>IF(OR(G7="E",G7=""),"",IF(G7="G",E7,M7))</f>
        <v>#N/A</v>
      </c>
      <c r="S7" s="416" t="str">
        <f>IF(OR(G7="E",G7=""),"",IF(G7="P",E7,M7))</f>
        <v>CLUB CAMPESTRE IBAGUE</v>
      </c>
    </row>
    <row r="8" spans="1:19" s="3" customFormat="1" ht="17.399999999999999" x14ac:dyDescent="0.35">
      <c r="B8" s="517"/>
      <c r="C8" s="518"/>
      <c r="D8" s="518"/>
      <c r="E8" s="514"/>
      <c r="F8" s="514"/>
      <c r="G8" s="519"/>
      <c r="H8" s="82"/>
      <c r="I8" s="512"/>
      <c r="J8" s="520"/>
      <c r="K8" s="512"/>
      <c r="L8" s="513"/>
      <c r="M8" s="514"/>
      <c r="N8" s="83"/>
      <c r="O8" s="515"/>
      <c r="P8" s="84"/>
      <c r="Q8" s="516"/>
      <c r="S8" s="416"/>
    </row>
    <row r="9" spans="1:19" s="3" customFormat="1" ht="17.399999999999999" x14ac:dyDescent="0.35">
      <c r="B9" s="123"/>
      <c r="C9" s="124"/>
      <c r="D9" s="85"/>
      <c r="E9" s="85"/>
      <c r="F9" s="85"/>
      <c r="G9" s="85"/>
      <c r="H9" s="85"/>
      <c r="I9" s="85"/>
      <c r="J9" s="85"/>
      <c r="K9" s="85"/>
      <c r="L9" s="85"/>
      <c r="M9" s="85"/>
      <c r="N9" s="86"/>
      <c r="O9" s="87"/>
      <c r="P9" s="84"/>
      <c r="Q9" s="88"/>
      <c r="S9"/>
    </row>
    <row r="10" spans="1:19" s="3" customFormat="1" ht="17.399999999999999" x14ac:dyDescent="0.35">
      <c r="B10" s="517">
        <f>+DEFINICION!B12</f>
        <v>42814</v>
      </c>
      <c r="C10" s="518" t="str">
        <f>+DEFINICION!C12</f>
        <v>LLAVE 2</v>
      </c>
      <c r="D10" s="518" t="str">
        <f>+DEFINICION!D12</f>
        <v>08:00. a.m.</v>
      </c>
      <c r="E10" s="514" t="str">
        <f>+DEFINICION!F12</f>
        <v>TEMPLO DEL FÚTBOL</v>
      </c>
      <c r="F10" s="514"/>
      <c r="G10" s="519" t="str">
        <f>IF(AND(I10&lt;&gt;"",K10&lt;&gt;""),IF(I10=K10,"E",IF(I10&gt;K10,"G","P")),"")</f>
        <v>G</v>
      </c>
      <c r="H10" s="82"/>
      <c r="I10" s="511">
        <f>+DEFINICION!J12</f>
        <v>1</v>
      </c>
      <c r="J10" s="520" t="s">
        <v>15</v>
      </c>
      <c r="K10" s="511">
        <f>+DEFINICION!L12</f>
        <v>0</v>
      </c>
      <c r="L10" s="513" t="str">
        <f>IF(AND(K10&lt;&gt;"",I10&lt;&gt;""),IF(K10=I10,"E",IF(K10&gt;I10,"G","P")),"")</f>
        <v>P</v>
      </c>
      <c r="M10" s="514" t="e">
        <f>+DEFINICION!O12</f>
        <v>#N/A</v>
      </c>
      <c r="N10" s="89" t="s">
        <v>27</v>
      </c>
      <c r="O10" s="515" t="str">
        <f>+DEFINICION!Q12</f>
        <v>CANCHA 2</v>
      </c>
      <c r="P10" s="84"/>
      <c r="Q10" s="516" t="str">
        <f>IF(OR(G10="E",G10=""),"",IF(G10="G",E10,M10))</f>
        <v>TEMPLO DEL FÚTBOL</v>
      </c>
      <c r="S10" s="416" t="e">
        <f>IF(OR(G10="E",G10=""),"",IF(G10="P",E10,M10))</f>
        <v>#N/A</v>
      </c>
    </row>
    <row r="11" spans="1:19" s="3" customFormat="1" ht="17.399999999999999" x14ac:dyDescent="0.35">
      <c r="B11" s="517"/>
      <c r="C11" s="518"/>
      <c r="D11" s="518"/>
      <c r="E11" s="514"/>
      <c r="F11" s="514"/>
      <c r="G11" s="519"/>
      <c r="H11" s="82"/>
      <c r="I11" s="512"/>
      <c r="J11" s="520"/>
      <c r="K11" s="512"/>
      <c r="L11" s="513"/>
      <c r="M11" s="514"/>
      <c r="N11" s="89"/>
      <c r="O11" s="515"/>
      <c r="P11" s="84"/>
      <c r="Q11" s="516"/>
      <c r="S11" s="416"/>
    </row>
    <row r="12" spans="1:19" s="3" customFormat="1" x14ac:dyDescent="0.3">
      <c r="B12" s="38"/>
      <c r="C12" s="41"/>
      <c r="D12" s="41"/>
      <c r="E12" s="41"/>
      <c r="F12" s="41"/>
      <c r="G12" s="42"/>
      <c r="H12" s="30"/>
      <c r="I12" s="30"/>
      <c r="J12" s="30"/>
      <c r="K12" s="30"/>
      <c r="L12" s="30"/>
      <c r="M12" s="30"/>
      <c r="N12" s="30"/>
      <c r="O12" s="29"/>
      <c r="Q12"/>
      <c r="S12"/>
    </row>
    <row r="13" spans="1:19" s="3" customFormat="1" x14ac:dyDescent="0.3"/>
    <row r="14" spans="1:19" s="3" customFormat="1" ht="24.75" customHeight="1" x14ac:dyDescent="0.45">
      <c r="C14" s="522" t="str">
        <f>+'GRUPOS INFANTIL'!B3</f>
        <v>NACIDOS 2014 2015</v>
      </c>
      <c r="D14" s="522"/>
      <c r="E14" s="522"/>
      <c r="F14" s="522"/>
      <c r="J14" s="99" t="str">
        <f>+'GRUPOS INFANTIL'!B4</f>
        <v>SEPTIEMBRE 28 Y 29 DEL 2024</v>
      </c>
    </row>
    <row r="15" spans="1:19" s="3" customFormat="1" x14ac:dyDescent="0.3">
      <c r="C15" s="522"/>
      <c r="D15" s="522"/>
      <c r="E15" s="522"/>
      <c r="F15" s="522"/>
    </row>
    <row r="16" spans="1:19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</sheetData>
  <mergeCells count="31">
    <mergeCell ref="S10:S11"/>
    <mergeCell ref="A1:P1"/>
    <mergeCell ref="A2:P2"/>
    <mergeCell ref="A3:O3"/>
    <mergeCell ref="C14:F15"/>
    <mergeCell ref="J10:J11"/>
    <mergeCell ref="K10:K11"/>
    <mergeCell ref="L10:L11"/>
    <mergeCell ref="M10:M11"/>
    <mergeCell ref="O10:O11"/>
    <mergeCell ref="Q10:Q11"/>
    <mergeCell ref="B10:B11"/>
    <mergeCell ref="C10:C11"/>
    <mergeCell ref="D10:D11"/>
    <mergeCell ref="G10:G11"/>
    <mergeCell ref="E10:F11"/>
    <mergeCell ref="Q7:Q8"/>
    <mergeCell ref="S7:S8"/>
    <mergeCell ref="B5:O5"/>
    <mergeCell ref="B7:B8"/>
    <mergeCell ref="C7:C8"/>
    <mergeCell ref="D7:D8"/>
    <mergeCell ref="G7:G8"/>
    <mergeCell ref="I7:I8"/>
    <mergeCell ref="J7:J8"/>
    <mergeCell ref="E7:F8"/>
    <mergeCell ref="I10:I11"/>
    <mergeCell ref="K7:K8"/>
    <mergeCell ref="L7:L8"/>
    <mergeCell ref="M7:M8"/>
    <mergeCell ref="O7:O8"/>
  </mergeCells>
  <conditionalFormatting sqref="I7:I8 I10:I11">
    <cfRule type="expression" dxfId="17" priority="4" stopIfTrue="1">
      <formula>G7="P"</formula>
    </cfRule>
    <cfRule type="expression" dxfId="16" priority="5" stopIfTrue="1">
      <formula>G7="E"</formula>
    </cfRule>
    <cfRule type="expression" dxfId="15" priority="6" stopIfTrue="1">
      <formula>G7="G"</formula>
    </cfRule>
  </conditionalFormatting>
  <conditionalFormatting sqref="K7:K8 K10:K11">
    <cfRule type="expression" dxfId="14" priority="1" stopIfTrue="1">
      <formula>L7="P"</formula>
    </cfRule>
    <cfRule type="expression" dxfId="13" priority="2" stopIfTrue="1">
      <formula>L7="E"</formula>
    </cfRule>
    <cfRule type="expression" dxfId="12" priority="3" stopIfTrue="1">
      <formula>L7="G"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landscape" r:id="rId1"/>
  <ignoredErrors>
    <ignoredError sqref="I7 I10 K7 K10 B7:D7 B10:D10 O10 O7" unlockedFormula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R23"/>
  <sheetViews>
    <sheetView zoomScale="90" zoomScaleNormal="90" workbookViewId="0">
      <selection activeCell="Q6" sqref="Q6:Q9"/>
    </sheetView>
  </sheetViews>
  <sheetFormatPr baseColWidth="10" defaultColWidth="11.44140625" defaultRowHeight="14.4" x14ac:dyDescent="0.3"/>
  <cols>
    <col min="1" max="1" width="5.109375" style="3" customWidth="1"/>
    <col min="2" max="2" width="11.44140625" style="3"/>
    <col min="3" max="3" width="2.88671875" style="3" customWidth="1"/>
    <col min="4" max="4" width="15.6640625" style="3" customWidth="1"/>
    <col min="5" max="5" width="0" style="3" hidden="1" customWidth="1"/>
    <col min="6" max="6" width="8.6640625" style="3" hidden="1" customWidth="1"/>
    <col min="7" max="7" width="0" style="3" hidden="1" customWidth="1"/>
    <col min="8" max="8" width="25.33203125" style="3" customWidth="1"/>
    <col min="9" max="9" width="5.6640625" style="3" customWidth="1"/>
    <col min="10" max="10" width="7.109375" style="3" customWidth="1"/>
    <col min="11" max="11" width="5.6640625" style="3" customWidth="1"/>
    <col min="12" max="12" width="0" style="3" hidden="1" customWidth="1"/>
    <col min="13" max="13" width="25.33203125" style="3" customWidth="1"/>
    <col min="14" max="14" width="0" style="3" hidden="1" customWidth="1"/>
    <col min="15" max="15" width="14.88671875" style="3" customWidth="1"/>
    <col min="16" max="16" width="2.88671875" style="3" customWidth="1"/>
    <col min="17" max="17" width="40.88671875" style="3" customWidth="1"/>
    <col min="18" max="18" width="2.5546875" style="3" customWidth="1"/>
    <col min="19" max="16384" width="11.44140625" style="3"/>
  </cols>
  <sheetData>
    <row r="1" spans="1:18" ht="34.799999999999997" x14ac:dyDescent="0.3">
      <c r="A1" s="313" t="s">
        <v>5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18" ht="34.799999999999997" x14ac:dyDescent="0.3">
      <c r="A2" s="314" t="s">
        <v>6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  <c r="O2" s="314"/>
      <c r="P2" s="314"/>
      <c r="Q2" s="64"/>
      <c r="R2" s="64"/>
    </row>
    <row r="3" spans="1:18" ht="37.5" customHeight="1" x14ac:dyDescent="0.3">
      <c r="A3" s="521" t="s">
        <v>26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46"/>
      <c r="R3" s="46"/>
    </row>
    <row r="4" spans="1:18" ht="15" customHeight="1" x14ac:dyDescent="0.3">
      <c r="B4" s="48" t="s">
        <v>17</v>
      </c>
      <c r="C4"/>
      <c r="D4"/>
      <c r="E4"/>
      <c r="F4"/>
      <c r="G4"/>
      <c r="H4"/>
      <c r="I4"/>
      <c r="J4"/>
      <c r="K4" s="47"/>
      <c r="L4" s="47"/>
      <c r="M4" s="47"/>
      <c r="N4" s="47"/>
      <c r="O4" s="47"/>
      <c r="P4" s="47"/>
      <c r="Q4" s="47"/>
      <c r="R4" s="47"/>
    </row>
    <row r="5" spans="1:18" ht="18" x14ac:dyDescent="0.3">
      <c r="B5" s="445" t="s">
        <v>21</v>
      </c>
      <c r="C5" s="446"/>
      <c r="D5" s="446"/>
      <c r="E5" s="446"/>
      <c r="F5" s="447"/>
      <c r="G5" s="447"/>
      <c r="H5" s="447"/>
      <c r="I5" s="447"/>
      <c r="J5" s="447"/>
      <c r="K5" s="447"/>
      <c r="L5" s="447"/>
      <c r="M5" s="447"/>
      <c r="N5" s="447"/>
      <c r="O5" s="448"/>
      <c r="Q5" s="33" t="s">
        <v>22</v>
      </c>
    </row>
    <row r="6" spans="1:18" ht="15" customHeight="1" x14ac:dyDescent="0.3">
      <c r="B6" s="6"/>
      <c r="C6" s="44"/>
      <c r="D6" s="7"/>
      <c r="E6" s="40"/>
      <c r="F6" s="7"/>
      <c r="G6" s="7"/>
      <c r="H6" s="7"/>
      <c r="I6" s="7"/>
      <c r="J6" s="7"/>
      <c r="K6" s="7"/>
      <c r="L6" s="7"/>
      <c r="M6" s="7"/>
      <c r="N6" s="7"/>
      <c r="O6" s="6"/>
      <c r="Q6" s="442" t="str">
        <f>IF(OR(G7="E",G7=""),"",IF(G7="G",H7,M7))</f>
        <v/>
      </c>
    </row>
    <row r="7" spans="1:18" ht="17.25" customHeight="1" x14ac:dyDescent="0.35">
      <c r="B7" s="523">
        <f>+FINAL!B9</f>
        <v>42814</v>
      </c>
      <c r="C7" s="122"/>
      <c r="D7" s="524" t="str">
        <f>+FINAL!D9</f>
        <v>12:30. p.m.</v>
      </c>
      <c r="E7" s="106"/>
      <c r="F7" s="84"/>
      <c r="G7" s="513" t="str">
        <f>IF(AND(I7&lt;&gt;"",K7&lt;&gt;""),IF(I7=K7,"E",IF(I7&gt;K7,"G","P")),"")</f>
        <v>E</v>
      </c>
      <c r="H7" s="525" t="str">
        <f>+DEFINICION!U9</f>
        <v>CLUB CAMPESTRE IBAGUE</v>
      </c>
      <c r="I7" s="511" t="str">
        <f>+FINAL!I9</f>
        <v>.</v>
      </c>
      <c r="J7" s="526" t="s">
        <v>15</v>
      </c>
      <c r="K7" s="511" t="str">
        <f>+FINAL!K9</f>
        <v>.</v>
      </c>
      <c r="L7" s="513" t="str">
        <f>IF(AND(K7&lt;&gt;"",I7&lt;&gt;""),IF(K7=I7,"E",IF(K7&gt;I7,"G","P")),"")</f>
        <v>E</v>
      </c>
      <c r="M7" s="525" t="e">
        <f>+DEFINICION!U12</f>
        <v>#N/A</v>
      </c>
      <c r="N7" s="83"/>
      <c r="O7" s="515" t="str">
        <f>+FINAL!O9</f>
        <v>CANCHA 2</v>
      </c>
      <c r="Q7" s="443"/>
    </row>
    <row r="8" spans="1:18" ht="17.25" customHeight="1" x14ac:dyDescent="0.35">
      <c r="B8" s="523"/>
      <c r="C8" s="122"/>
      <c r="D8" s="524"/>
      <c r="E8" s="106"/>
      <c r="F8" s="84"/>
      <c r="G8" s="513"/>
      <c r="H8" s="525"/>
      <c r="I8" s="512"/>
      <c r="J8" s="526"/>
      <c r="K8" s="512"/>
      <c r="L8" s="513"/>
      <c r="M8" s="525"/>
      <c r="N8" s="83"/>
      <c r="O8" s="515"/>
      <c r="Q8" s="443"/>
    </row>
    <row r="9" spans="1:18" x14ac:dyDescent="0.3">
      <c r="B9" s="29"/>
      <c r="C9" s="30"/>
      <c r="D9" s="30"/>
      <c r="E9" s="30"/>
      <c r="F9" s="30"/>
      <c r="G9" s="30"/>
      <c r="H9" s="30"/>
      <c r="I9" s="30"/>
      <c r="J9" s="30"/>
      <c r="K9" s="39"/>
      <c r="L9" s="30"/>
      <c r="M9" s="30"/>
      <c r="N9" s="30"/>
      <c r="O9" s="29"/>
      <c r="Q9" s="444"/>
    </row>
    <row r="11" spans="1:18" ht="21" x14ac:dyDescent="0.3">
      <c r="B11" s="431" t="s">
        <v>23</v>
      </c>
      <c r="C11" s="432"/>
      <c r="D11" s="432"/>
      <c r="E11" s="432"/>
      <c r="F11" s="432"/>
      <c r="G11" s="432"/>
      <c r="H11" s="432"/>
      <c r="I11" s="432"/>
      <c r="J11" s="432"/>
      <c r="K11" s="432"/>
      <c r="L11" s="432"/>
      <c r="M11" s="432"/>
      <c r="N11" s="432"/>
      <c r="O11" s="433"/>
      <c r="Q11" s="34" t="s">
        <v>24</v>
      </c>
    </row>
    <row r="12" spans="1:18" ht="15" customHeight="1" x14ac:dyDescent="0.3">
      <c r="B12" s="44"/>
      <c r="C12" s="44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6"/>
      <c r="Q12" s="439" t="str">
        <f>IF(OR(G13="E",G13=""),"",IF(G13="P",H13,M13))</f>
        <v/>
      </c>
    </row>
    <row r="13" spans="1:18" ht="17.25" customHeight="1" x14ac:dyDescent="0.35">
      <c r="B13" s="523">
        <f>+FINAL!B15</f>
        <v>42814</v>
      </c>
      <c r="C13" s="122"/>
      <c r="D13" s="524" t="str">
        <f>+FINAL!D15</f>
        <v>01:40. p.m.</v>
      </c>
      <c r="E13" s="107"/>
      <c r="F13" s="84"/>
      <c r="G13" s="513" t="str">
        <f>IF(AND(I13&lt;&gt;"",K13&lt;&gt;""),IF(I13=K13,"E",IF(I13&gt;K13,"G","P")),"")</f>
        <v>E</v>
      </c>
      <c r="H13" s="525" t="e">
        <f>+DEFINICION!S9</f>
        <v>#N/A</v>
      </c>
      <c r="I13" s="511" t="str">
        <f>+FINAL!I15</f>
        <v>,</v>
      </c>
      <c r="J13" s="526" t="s">
        <v>15</v>
      </c>
      <c r="K13" s="511" t="str">
        <f>+FINAL!K15</f>
        <v>,</v>
      </c>
      <c r="L13" s="513" t="str">
        <f>IF(AND(K13&lt;&gt;"",I13&lt;&gt;""),IF(K13=I13,"E",IF(K13&gt;I13,"G","P")),"")</f>
        <v>E</v>
      </c>
      <c r="M13" s="525" t="str">
        <f>+DEFINICION!S12</f>
        <v>TEMPLO DEL FÚTBOL</v>
      </c>
      <c r="N13" s="528"/>
      <c r="O13" s="515" t="str">
        <f>+FINAL!O15</f>
        <v>CANCHA 2</v>
      </c>
      <c r="Q13" s="440"/>
    </row>
    <row r="14" spans="1:18" ht="17.25" customHeight="1" x14ac:dyDescent="0.35">
      <c r="B14" s="523"/>
      <c r="C14" s="122"/>
      <c r="D14" s="524"/>
      <c r="E14" s="107"/>
      <c r="F14" s="84"/>
      <c r="G14" s="513"/>
      <c r="H14" s="525"/>
      <c r="I14" s="512"/>
      <c r="J14" s="526"/>
      <c r="K14" s="512"/>
      <c r="L14" s="513"/>
      <c r="M14" s="525"/>
      <c r="N14" s="528"/>
      <c r="O14" s="515"/>
      <c r="Q14" s="440"/>
    </row>
    <row r="15" spans="1:18" x14ac:dyDescent="0.3"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29"/>
      <c r="Q15" s="441"/>
    </row>
    <row r="16" spans="1:18" ht="10.5" customHeight="1" x14ac:dyDescent="0.3"/>
    <row r="17" spans="2:18" ht="15" customHeight="1" x14ac:dyDescent="0.3">
      <c r="B17" s="436" t="s">
        <v>25</v>
      </c>
      <c r="C17" s="436"/>
      <c r="D17" s="436"/>
      <c r="E17" s="436"/>
      <c r="F17" s="436"/>
      <c r="G17" s="436"/>
      <c r="H17" s="436"/>
      <c r="I17" s="436"/>
      <c r="J17" s="436"/>
      <c r="K17" s="436"/>
      <c r="L17" s="436"/>
      <c r="M17" s="436"/>
      <c r="N17" s="436"/>
      <c r="O17" s="436"/>
      <c r="P17" s="436"/>
      <c r="Q17" s="436"/>
    </row>
    <row r="18" spans="2:18" ht="15" customHeight="1" x14ac:dyDescent="0.3">
      <c r="B18" s="436"/>
      <c r="C18" s="436"/>
      <c r="D18" s="436"/>
      <c r="E18" s="436"/>
      <c r="F18" s="436"/>
      <c r="G18" s="436"/>
      <c r="H18" s="436"/>
      <c r="I18" s="436"/>
      <c r="J18" s="436"/>
      <c r="K18" s="436"/>
      <c r="L18" s="436"/>
      <c r="M18" s="436"/>
      <c r="N18" s="436"/>
      <c r="O18" s="436"/>
      <c r="P18" s="436"/>
      <c r="Q18" s="436"/>
    </row>
    <row r="19" spans="2:18" ht="15" customHeight="1" x14ac:dyDescent="0.3">
      <c r="B19" s="527" t="str">
        <f>IF(OR(G13="E",G13=""),"",IF(G13="G",H13,M13))</f>
        <v/>
      </c>
      <c r="C19" s="527"/>
      <c r="D19" s="527"/>
      <c r="E19" s="527"/>
      <c r="F19" s="527"/>
      <c r="G19" s="527"/>
      <c r="H19" s="527"/>
      <c r="I19" s="527"/>
      <c r="J19" s="527"/>
      <c r="K19" s="527"/>
      <c r="L19" s="527"/>
      <c r="M19" s="527"/>
      <c r="N19" s="527"/>
      <c r="O19" s="527"/>
      <c r="P19" s="527"/>
      <c r="Q19" s="527"/>
    </row>
    <row r="20" spans="2:18" ht="25.5" customHeight="1" x14ac:dyDescent="0.3">
      <c r="B20" s="527"/>
      <c r="C20" s="527"/>
      <c r="D20" s="527"/>
      <c r="E20" s="527"/>
      <c r="F20" s="527"/>
      <c r="G20" s="527"/>
      <c r="H20" s="527"/>
      <c r="I20" s="527"/>
      <c r="J20" s="527"/>
      <c r="K20" s="527"/>
      <c r="L20" s="527"/>
      <c r="M20" s="527"/>
      <c r="N20" s="527"/>
      <c r="O20" s="527"/>
      <c r="P20" s="527"/>
      <c r="Q20" s="527"/>
    </row>
    <row r="21" spans="2:18" ht="3.75" customHeight="1" x14ac:dyDescent="0.85">
      <c r="D21" s="49"/>
      <c r="E21" s="49"/>
      <c r="F21" s="49"/>
      <c r="J21" s="71"/>
      <c r="O21" s="71"/>
    </row>
    <row r="22" spans="2:18" ht="25.5" customHeight="1" x14ac:dyDescent="0.45">
      <c r="C22" s="522" t="str">
        <f>+'GRUPOS INFANTIL'!B3</f>
        <v>NACIDOS 2014 2015</v>
      </c>
      <c r="D22" s="522"/>
      <c r="E22" s="522"/>
      <c r="F22" s="522"/>
      <c r="G22" s="522"/>
      <c r="H22" s="522"/>
      <c r="I22" s="522"/>
      <c r="J22" s="522"/>
      <c r="K22" s="522"/>
      <c r="O22" s="99" t="str">
        <f>+'GRUPOS INFANTIL'!B4</f>
        <v>SEPTIEMBRE 28 Y 29 DEL 2024</v>
      </c>
      <c r="Q22" s="46"/>
      <c r="R22" s="46"/>
    </row>
    <row r="23" spans="2:18" ht="15" customHeight="1" x14ac:dyDescent="0.3">
      <c r="C23" s="522"/>
      <c r="D23" s="522"/>
      <c r="E23" s="522"/>
      <c r="F23" s="522"/>
      <c r="G23" s="522"/>
      <c r="H23" s="522"/>
      <c r="I23" s="522"/>
      <c r="J23" s="522"/>
      <c r="K23" s="522"/>
    </row>
  </sheetData>
  <mergeCells count="31">
    <mergeCell ref="B19:Q20"/>
    <mergeCell ref="A3:P3"/>
    <mergeCell ref="C22:K23"/>
    <mergeCell ref="A1:P1"/>
    <mergeCell ref="A2:P2"/>
    <mergeCell ref="B17:Q18"/>
    <mergeCell ref="J13:J14"/>
    <mergeCell ref="K13:K14"/>
    <mergeCell ref="L13:L14"/>
    <mergeCell ref="M13:M14"/>
    <mergeCell ref="N13:N14"/>
    <mergeCell ref="O13:O14"/>
    <mergeCell ref="L7:L8"/>
    <mergeCell ref="M7:M8"/>
    <mergeCell ref="O7:O8"/>
    <mergeCell ref="B11:O11"/>
    <mergeCell ref="Q6:Q9"/>
    <mergeCell ref="Q12:Q15"/>
    <mergeCell ref="B5:O5"/>
    <mergeCell ref="B7:B8"/>
    <mergeCell ref="D7:D8"/>
    <mergeCell ref="G7:G8"/>
    <mergeCell ref="H7:H8"/>
    <mergeCell ref="I7:I8"/>
    <mergeCell ref="J7:J8"/>
    <mergeCell ref="K7:K8"/>
    <mergeCell ref="B13:B14"/>
    <mergeCell ref="D13:D14"/>
    <mergeCell ref="G13:G14"/>
    <mergeCell ref="H13:H14"/>
    <mergeCell ref="I13:I14"/>
  </mergeCells>
  <conditionalFormatting sqref="I7:I8">
    <cfRule type="expression" dxfId="11" priority="4" stopIfTrue="1">
      <formula>G7="P"</formula>
    </cfRule>
    <cfRule type="expression" dxfId="10" priority="5" stopIfTrue="1">
      <formula>G7="E"</formula>
    </cfRule>
    <cfRule type="expression" dxfId="9" priority="6" stopIfTrue="1">
      <formula>G7="G"</formula>
    </cfRule>
  </conditionalFormatting>
  <conditionalFormatting sqref="I13:I14">
    <cfRule type="expression" dxfId="8" priority="1" stopIfTrue="1">
      <formula>G13="P"</formula>
    </cfRule>
    <cfRule type="expression" dxfId="7" priority="2" stopIfTrue="1">
      <formula>G13="E"</formula>
    </cfRule>
    <cfRule type="expression" dxfId="6" priority="3" stopIfTrue="1">
      <formula>G13="G"</formula>
    </cfRule>
  </conditionalFormatting>
  <conditionalFormatting sqref="K7:K8">
    <cfRule type="expression" dxfId="5" priority="7" stopIfTrue="1">
      <formula>L7="P"</formula>
    </cfRule>
    <cfRule type="expression" dxfId="4" priority="8" stopIfTrue="1">
      <formula>L7="E"</formula>
    </cfRule>
    <cfRule type="expression" dxfId="3" priority="9" stopIfTrue="1">
      <formula>L7="G"</formula>
    </cfRule>
  </conditionalFormatting>
  <conditionalFormatting sqref="K13:K14">
    <cfRule type="expression" dxfId="2" priority="10" stopIfTrue="1">
      <formula>L13="P"</formula>
    </cfRule>
    <cfRule type="expression" dxfId="1" priority="11" stopIfTrue="1">
      <formula>L13="E"</formula>
    </cfRule>
    <cfRule type="expression" dxfId="0" priority="12" stopIfTrue="1">
      <formula>L13="G"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3" orientation="landscape" r:id="rId1"/>
  <ignoredErrors>
    <ignoredError sqref="I13 I7 K13 K7 D7 B7 B13 D13 O7 O13" unlockedFormula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I34"/>
  <sheetViews>
    <sheetView zoomScaleNormal="100" workbookViewId="0">
      <selection activeCell="B24" sqref="B24:B26"/>
    </sheetView>
  </sheetViews>
  <sheetFormatPr baseColWidth="10" defaultColWidth="11.44140625" defaultRowHeight="14.4" x14ac:dyDescent="0.3"/>
  <cols>
    <col min="1" max="1" width="11.44140625" style="3"/>
    <col min="2" max="2" width="8.5546875" style="3" customWidth="1"/>
    <col min="3" max="3" width="11.44140625" style="3" customWidth="1"/>
    <col min="4" max="4" width="3" style="3" customWidth="1"/>
    <col min="5" max="5" width="11.44140625" style="3" customWidth="1"/>
    <col min="6" max="6" width="3" style="3" customWidth="1"/>
    <col min="7" max="7" width="11.44140625" style="3" customWidth="1"/>
    <col min="8" max="8" width="2.88671875" style="3" customWidth="1"/>
    <col min="9" max="9" width="11.44140625" style="3" customWidth="1"/>
    <col min="10" max="16384" width="11.44140625" style="3"/>
  </cols>
  <sheetData>
    <row r="1" spans="2:9" ht="22.8" x14ac:dyDescent="0.3">
      <c r="C1" s="532" t="s">
        <v>100</v>
      </c>
      <c r="D1" s="532"/>
      <c r="E1" s="532"/>
      <c r="F1" s="532"/>
      <c r="G1" s="532"/>
      <c r="H1" s="532"/>
      <c r="I1" s="532"/>
    </row>
    <row r="2" spans="2:9" ht="17.399999999999999" x14ac:dyDescent="0.3">
      <c r="C2" s="533" t="s">
        <v>6</v>
      </c>
      <c r="D2" s="533"/>
      <c r="E2" s="533"/>
      <c r="F2" s="533"/>
      <c r="G2" s="533"/>
      <c r="H2" s="533"/>
      <c r="I2" s="533"/>
    </row>
    <row r="4" spans="2:9" ht="15.6" x14ac:dyDescent="0.3">
      <c r="C4" s="534" t="s">
        <v>46</v>
      </c>
      <c r="D4" s="534"/>
      <c r="E4" s="534"/>
      <c r="F4" s="534"/>
      <c r="G4" s="534"/>
      <c r="H4" s="534"/>
      <c r="I4" s="534"/>
    </row>
    <row r="5" spans="2:9" ht="16.2" thickBot="1" x14ac:dyDescent="0.35">
      <c r="C5" s="156"/>
      <c r="D5" s="156"/>
      <c r="E5" s="156"/>
      <c r="F5" s="156"/>
      <c r="G5" s="156"/>
      <c r="H5" s="156"/>
      <c r="I5" s="156"/>
    </row>
    <row r="6" spans="2:9" ht="15.6" x14ac:dyDescent="0.3">
      <c r="C6" s="157" t="s">
        <v>0</v>
      </c>
      <c r="D6" s="158"/>
      <c r="E6" s="159" t="s">
        <v>1</v>
      </c>
      <c r="F6" s="160"/>
      <c r="G6" s="161" t="s">
        <v>39</v>
      </c>
      <c r="H6" s="162"/>
      <c r="I6" s="163" t="s">
        <v>40</v>
      </c>
    </row>
    <row r="7" spans="2:9" ht="18" x14ac:dyDescent="0.3">
      <c r="C7" s="117">
        <v>1</v>
      </c>
      <c r="D7" s="164"/>
      <c r="E7" s="117">
        <v>5</v>
      </c>
      <c r="G7" s="117">
        <v>9</v>
      </c>
      <c r="H7" s="35"/>
      <c r="I7" s="117">
        <v>13</v>
      </c>
    </row>
    <row r="8" spans="2:9" ht="18" x14ac:dyDescent="0.3">
      <c r="C8" s="117">
        <v>2</v>
      </c>
      <c r="D8" s="164"/>
      <c r="E8" s="117">
        <v>6</v>
      </c>
      <c r="G8" s="117">
        <v>10</v>
      </c>
      <c r="H8" s="35"/>
      <c r="I8" s="117">
        <v>14</v>
      </c>
    </row>
    <row r="9" spans="2:9" ht="18" x14ac:dyDescent="0.3">
      <c r="C9" s="117">
        <v>3</v>
      </c>
      <c r="D9" s="164"/>
      <c r="E9" s="117">
        <v>7</v>
      </c>
      <c r="G9" s="117">
        <v>11</v>
      </c>
      <c r="H9" s="35"/>
      <c r="I9" s="117">
        <v>15</v>
      </c>
    </row>
    <row r="10" spans="2:9" ht="18" x14ac:dyDescent="0.3">
      <c r="C10" s="117">
        <v>4</v>
      </c>
      <c r="D10" s="164"/>
      <c r="E10" s="117">
        <v>8</v>
      </c>
      <c r="G10" s="117">
        <v>12</v>
      </c>
      <c r="H10" s="35"/>
      <c r="I10" s="117">
        <v>16</v>
      </c>
    </row>
    <row r="11" spans="2:9" x14ac:dyDescent="0.3">
      <c r="B11" s="535"/>
      <c r="C11" s="535"/>
      <c r="D11" s="535"/>
      <c r="E11" s="535"/>
      <c r="F11" s="535"/>
      <c r="G11" s="535"/>
      <c r="H11" s="535"/>
      <c r="I11" s="535"/>
    </row>
    <row r="12" spans="2:9" ht="18" x14ac:dyDescent="0.3">
      <c r="B12" s="536" t="s">
        <v>43</v>
      </c>
      <c r="C12" s="536"/>
      <c r="D12" s="536"/>
      <c r="E12" s="536"/>
      <c r="F12" s="536"/>
      <c r="G12" s="536"/>
      <c r="H12" s="536"/>
      <c r="I12" s="536"/>
    </row>
    <row r="13" spans="2:9" ht="18.600000000000001" thickBot="1" x14ac:dyDescent="0.4">
      <c r="B13" s="165"/>
      <c r="C13" s="165"/>
      <c r="D13" s="165"/>
      <c r="E13" s="165"/>
      <c r="F13" s="165"/>
      <c r="G13" s="165"/>
      <c r="H13" s="165"/>
      <c r="I13" s="165"/>
    </row>
    <row r="14" spans="2:9" ht="15" thickBot="1" x14ac:dyDescent="0.35">
      <c r="B14" s="166" t="s">
        <v>2</v>
      </c>
      <c r="C14" s="529" t="s">
        <v>47</v>
      </c>
      <c r="D14" s="530"/>
      <c r="E14" s="530"/>
      <c r="F14" s="167" t="s">
        <v>48</v>
      </c>
      <c r="G14" s="529" t="s">
        <v>53</v>
      </c>
      <c r="H14" s="530"/>
      <c r="I14" s="531"/>
    </row>
    <row r="15" spans="2:9" ht="7.5" customHeight="1" thickBot="1" x14ac:dyDescent="0.35">
      <c r="F15" s="168"/>
    </row>
    <row r="16" spans="2:9" ht="15" thickBot="1" x14ac:dyDescent="0.35">
      <c r="B16" s="166" t="s">
        <v>3</v>
      </c>
      <c r="C16" s="529" t="s">
        <v>50</v>
      </c>
      <c r="D16" s="530"/>
      <c r="E16" s="530"/>
      <c r="F16" s="167" t="s">
        <v>48</v>
      </c>
      <c r="G16" s="529" t="s">
        <v>55</v>
      </c>
      <c r="H16" s="530"/>
      <c r="I16" s="531"/>
    </row>
    <row r="18" spans="2:9" ht="15" thickBot="1" x14ac:dyDescent="0.35">
      <c r="B18" s="166" t="s">
        <v>59</v>
      </c>
      <c r="C18" s="529" t="s">
        <v>49</v>
      </c>
      <c r="D18" s="530"/>
      <c r="E18" s="530"/>
      <c r="F18" s="167" t="s">
        <v>48</v>
      </c>
      <c r="G18" s="529" t="s">
        <v>52</v>
      </c>
      <c r="H18" s="530"/>
      <c r="I18" s="531"/>
    </row>
    <row r="19" spans="2:9" ht="7.5" customHeight="1" thickBot="1" x14ac:dyDescent="0.35"/>
    <row r="20" spans="2:9" ht="15" thickBot="1" x14ac:dyDescent="0.35">
      <c r="B20" s="166" t="s">
        <v>60</v>
      </c>
      <c r="C20" s="529" t="s">
        <v>51</v>
      </c>
      <c r="D20" s="530"/>
      <c r="E20" s="530"/>
      <c r="F20" s="167" t="s">
        <v>48</v>
      </c>
      <c r="G20" s="529" t="s">
        <v>54</v>
      </c>
      <c r="H20" s="530"/>
      <c r="I20" s="531"/>
    </row>
    <row r="22" spans="2:9" ht="18" x14ac:dyDescent="0.35">
      <c r="B22" s="537" t="s">
        <v>58</v>
      </c>
      <c r="C22" s="537"/>
      <c r="D22" s="537"/>
      <c r="E22" s="537"/>
      <c r="F22" s="537"/>
      <c r="G22" s="537"/>
      <c r="H22" s="537"/>
      <c r="I22" s="537"/>
    </row>
    <row r="23" spans="2:9" ht="3.75" customHeight="1" thickBot="1" x14ac:dyDescent="0.35"/>
    <row r="24" spans="2:9" ht="15" thickBot="1" x14ac:dyDescent="0.35">
      <c r="B24" s="166" t="s">
        <v>44</v>
      </c>
      <c r="C24" s="529" t="s">
        <v>56</v>
      </c>
      <c r="D24" s="530"/>
      <c r="E24" s="531"/>
      <c r="F24" s="167" t="s">
        <v>48</v>
      </c>
      <c r="G24" s="529" t="s">
        <v>57</v>
      </c>
      <c r="H24" s="530"/>
      <c r="I24" s="531"/>
    </row>
    <row r="25" spans="2:9" ht="6.75" customHeight="1" thickBot="1" x14ac:dyDescent="0.35"/>
    <row r="26" spans="2:9" ht="15" thickBot="1" x14ac:dyDescent="0.35">
      <c r="B26" s="166" t="s">
        <v>45</v>
      </c>
      <c r="C26" s="529" t="s">
        <v>61</v>
      </c>
      <c r="D26" s="530"/>
      <c r="E26" s="531"/>
      <c r="F26" s="167" t="s">
        <v>48</v>
      </c>
      <c r="G26" s="529" t="s">
        <v>62</v>
      </c>
      <c r="H26" s="530"/>
      <c r="I26" s="531"/>
    </row>
    <row r="28" spans="2:9" ht="18" x14ac:dyDescent="0.3">
      <c r="C28" s="536" t="s">
        <v>64</v>
      </c>
      <c r="D28" s="536"/>
      <c r="E28" s="536"/>
      <c r="F28" s="536"/>
      <c r="G28" s="536"/>
      <c r="H28" s="536"/>
      <c r="I28" s="536"/>
    </row>
    <row r="29" spans="2:9" ht="7.5" customHeight="1" thickBot="1" x14ac:dyDescent="0.35"/>
    <row r="30" spans="2:9" ht="15" thickBot="1" x14ac:dyDescent="0.35">
      <c r="C30" s="529" t="s">
        <v>65</v>
      </c>
      <c r="D30" s="530"/>
      <c r="E30" s="531"/>
      <c r="F30" s="167" t="s">
        <v>48</v>
      </c>
      <c r="G30" s="529" t="s">
        <v>66</v>
      </c>
      <c r="H30" s="530"/>
      <c r="I30" s="531"/>
    </row>
    <row r="32" spans="2:9" ht="18" x14ac:dyDescent="0.3">
      <c r="C32" s="536" t="s">
        <v>63</v>
      </c>
      <c r="D32" s="536"/>
      <c r="E32" s="536"/>
      <c r="F32" s="536"/>
      <c r="G32" s="536"/>
      <c r="H32" s="536"/>
      <c r="I32" s="536"/>
    </row>
    <row r="34" spans="3:9" ht="15" thickBot="1" x14ac:dyDescent="0.35">
      <c r="C34" s="529" t="s">
        <v>67</v>
      </c>
      <c r="D34" s="530"/>
      <c r="E34" s="531"/>
      <c r="F34" s="167" t="s">
        <v>48</v>
      </c>
      <c r="G34" s="529" t="s">
        <v>68</v>
      </c>
      <c r="H34" s="530"/>
      <c r="I34" s="531"/>
    </row>
  </sheetData>
  <mergeCells count="24">
    <mergeCell ref="G34:I34"/>
    <mergeCell ref="C34:E34"/>
    <mergeCell ref="C32:I32"/>
    <mergeCell ref="B22:I22"/>
    <mergeCell ref="C30:E30"/>
    <mergeCell ref="G30:I30"/>
    <mergeCell ref="C26:E26"/>
    <mergeCell ref="G26:I26"/>
    <mergeCell ref="C28:I28"/>
    <mergeCell ref="C24:E24"/>
    <mergeCell ref="G24:I24"/>
    <mergeCell ref="C18:E18"/>
    <mergeCell ref="G18:I18"/>
    <mergeCell ref="C20:E20"/>
    <mergeCell ref="G20:I20"/>
    <mergeCell ref="C1:I1"/>
    <mergeCell ref="C2:I2"/>
    <mergeCell ref="C4:I4"/>
    <mergeCell ref="B11:I11"/>
    <mergeCell ref="B12:I12"/>
    <mergeCell ref="C14:E14"/>
    <mergeCell ref="G14:I14"/>
    <mergeCell ref="C16:E16"/>
    <mergeCell ref="G16:I16"/>
  </mergeCells>
  <hyperlinks>
    <hyperlink ref="G6" location="'GRUPO B'!A1" display="GRUPO B" xr:uid="{00000000-0004-0000-1000-000000000000}"/>
    <hyperlink ref="E6" location="'GRUPO B'!A1" display="GRUPO B" xr:uid="{00000000-0004-0000-1000-000001000000}"/>
    <hyperlink ref="C6" location="'GRUPO B'!A1" display="GRUPO B" xr:uid="{00000000-0004-0000-1000-000002000000}"/>
    <hyperlink ref="I6" location="'GRUPO B'!A1" display="GRUPO B" xr:uid="{00000000-0004-0000-1000-000003000000}"/>
  </hyperlink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S45"/>
  <sheetViews>
    <sheetView zoomScale="80" zoomScaleNormal="80" workbookViewId="0">
      <selection sqref="A1:S1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30.5546875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541" t="e">
        <f>+'GRUPOS INFANTIL'!B1:H1</f>
        <v>#VALUE!</v>
      </c>
      <c r="B1" s="541"/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541"/>
      <c r="P1" s="541"/>
      <c r="Q1" s="541"/>
      <c r="R1" s="541"/>
      <c r="S1" s="541"/>
    </row>
    <row r="2" spans="1:19" ht="28.8" x14ac:dyDescent="0.55000000000000004">
      <c r="A2" s="542" t="e">
        <f>+'GRUPOS INFANTIL'!B2:H2</f>
        <v>#VALUE!</v>
      </c>
      <c r="B2" s="542"/>
      <c r="C2" s="542"/>
      <c r="D2" s="542"/>
      <c r="E2" s="542"/>
      <c r="F2" s="542"/>
      <c r="G2" s="542"/>
      <c r="H2" s="542"/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</row>
    <row r="3" spans="1:19" ht="28.8" x14ac:dyDescent="0.55000000000000004">
      <c r="A3" s="542" t="str">
        <f>+'GRUPOS INFANTIL'!B3</f>
        <v>NACIDOS 2014 2015</v>
      </c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</row>
    <row r="4" spans="1:19" ht="21" x14ac:dyDescent="0.4">
      <c r="A4" s="364" t="str">
        <f>+'GRUPOS INFANTIL'!B4</f>
        <v>SEPTIEMBRE 28 Y 29 DEL 2024</v>
      </c>
      <c r="B4" s="364"/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364"/>
      <c r="O4" s="364"/>
      <c r="P4" s="364"/>
      <c r="Q4" s="364"/>
      <c r="R4" s="364"/>
      <c r="S4" s="364"/>
    </row>
    <row r="5" spans="1:19" ht="21" x14ac:dyDescent="0.4">
      <c r="A5" s="364" t="s">
        <v>74</v>
      </c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4"/>
      <c r="M5" s="364"/>
      <c r="N5" s="364"/>
      <c r="O5" s="364"/>
      <c r="P5" s="364"/>
      <c r="Q5" s="364"/>
      <c r="R5" s="364"/>
      <c r="S5" s="364"/>
    </row>
    <row r="6" spans="1:19" ht="21" customHeight="1" x14ac:dyDescent="0.3">
      <c r="A6"/>
      <c r="B6" s="538" t="str">
        <f>+IMPRIMIR!A14</f>
        <v>PARTIDOS                 fecha 1</v>
      </c>
      <c r="C6" s="539"/>
      <c r="D6" s="539"/>
      <c r="E6" s="539"/>
      <c r="F6" s="539"/>
      <c r="G6" s="539"/>
      <c r="H6" s="540"/>
      <c r="J6" s="174" t="str">
        <f>+'GRUPO A'!B4</f>
        <v>GRUPO A</v>
      </c>
      <c r="K6" s="174">
        <f>+'GRUPO A'!Q20</f>
        <v>0</v>
      </c>
      <c r="L6" s="174">
        <f>+'GRUPO A'!R20</f>
        <v>0</v>
      </c>
      <c r="M6" s="174">
        <f>+'GRUPO A'!S20</f>
        <v>0</v>
      </c>
      <c r="N6" s="174">
        <f>+'GRUPO A'!T20</f>
        <v>0</v>
      </c>
      <c r="O6" s="174">
        <f>+'GRUPO A'!U20</f>
        <v>0</v>
      </c>
      <c r="P6" s="174">
        <f>+'GRUPO A'!V20</f>
        <v>0</v>
      </c>
      <c r="Q6" s="174">
        <f>+'GRUPO A'!W20</f>
        <v>0</v>
      </c>
      <c r="R6" s="174">
        <f>+'GRUPO A'!X20</f>
        <v>0</v>
      </c>
      <c r="S6" s="174">
        <f>+'GRUPO A'!Y20</f>
        <v>0</v>
      </c>
    </row>
    <row r="7" spans="1:19" x14ac:dyDescent="0.3">
      <c r="B7" s="180" t="s">
        <v>69</v>
      </c>
      <c r="C7" s="180" t="s">
        <v>70</v>
      </c>
      <c r="D7" s="180" t="s">
        <v>71</v>
      </c>
      <c r="E7" s="543" t="s">
        <v>72</v>
      </c>
      <c r="F7" s="543"/>
      <c r="G7" s="180" t="s">
        <v>71</v>
      </c>
      <c r="H7" s="180" t="s">
        <v>73</v>
      </c>
      <c r="J7" s="175">
        <f>+'GRUPO A'!P22</f>
        <v>0</v>
      </c>
      <c r="K7" s="169">
        <f>+'GRUPO A'!Q22</f>
        <v>0</v>
      </c>
      <c r="L7" s="169">
        <f>+'GRUPO A'!R22</f>
        <v>0</v>
      </c>
      <c r="M7" s="169">
        <f>+'GRUPO A'!S22</f>
        <v>0</v>
      </c>
      <c r="N7" s="169">
        <f>+'GRUPO A'!T22</f>
        <v>0</v>
      </c>
      <c r="O7" s="169">
        <f>+'GRUPO A'!U22</f>
        <v>0</v>
      </c>
      <c r="P7" s="169">
        <f>+'GRUPO A'!V22</f>
        <v>0</v>
      </c>
      <c r="Q7" s="169">
        <f>+'GRUPO A'!W22</f>
        <v>0</v>
      </c>
      <c r="R7" s="169">
        <f>+'GRUPO A'!X22</f>
        <v>0</v>
      </c>
      <c r="S7" s="169">
        <f>+'GRUPO A'!Y22</f>
        <v>0</v>
      </c>
    </row>
    <row r="8" spans="1:19" ht="21" customHeight="1" x14ac:dyDescent="0.3">
      <c r="A8" s="544">
        <f>+'GRUPO A'!B20</f>
        <v>42812</v>
      </c>
      <c r="B8" s="169" t="str">
        <f>+'GRUPO A'!M20</f>
        <v>CANCHA 2</v>
      </c>
      <c r="C8" s="169" t="str">
        <f>+'GRUPO A'!C20</f>
        <v>07:15. a.m.</v>
      </c>
      <c r="D8" s="169" t="str">
        <f>+'GRUPO A'!E20</f>
        <v>AJAX AIMARA</v>
      </c>
      <c r="E8" s="169">
        <f>+'GRUPO A'!G20</f>
        <v>10</v>
      </c>
      <c r="F8" s="169">
        <f>+'GRUPO A'!I20</f>
        <v>0</v>
      </c>
      <c r="G8" s="169" t="str">
        <f>+'GRUPO A'!K20</f>
        <v>CLUB DEPORTIVO OS FUTSAL</v>
      </c>
      <c r="H8" s="169" t="str">
        <f>+'GRUPO A'!B4</f>
        <v>GRUPO A</v>
      </c>
      <c r="J8" s="175">
        <f>+'GRUPO A'!P24</f>
        <v>0</v>
      </c>
      <c r="K8" s="169">
        <f>+'GRUPO A'!Q24</f>
        <v>0</v>
      </c>
      <c r="L8" s="169">
        <f>+'GRUPO A'!R24</f>
        <v>0</v>
      </c>
      <c r="M8" s="169">
        <f>+'GRUPO A'!S24</f>
        <v>0</v>
      </c>
      <c r="N8" s="169">
        <f>+'GRUPO A'!T24</f>
        <v>0</v>
      </c>
      <c r="O8" s="169">
        <f>+'GRUPO A'!U24</f>
        <v>0</v>
      </c>
      <c r="P8" s="169">
        <f>+'GRUPO A'!V24</f>
        <v>0</v>
      </c>
      <c r="Q8" s="169">
        <f>+'GRUPO A'!W24</f>
        <v>0</v>
      </c>
      <c r="R8" s="169">
        <f>+'GRUPO A'!X24</f>
        <v>0</v>
      </c>
      <c r="S8" s="169">
        <f>+'GRUPO A'!Y24</f>
        <v>0</v>
      </c>
    </row>
    <row r="9" spans="1:19" ht="21" customHeight="1" x14ac:dyDescent="0.3">
      <c r="A9" s="545"/>
      <c r="B9" s="171" t="str">
        <f>+'GRUPO A'!M23</f>
        <v>LAS VEGAS</v>
      </c>
      <c r="C9" s="171" t="str">
        <f>+'GRUPO A'!C23</f>
        <v>08:20. a.m.</v>
      </c>
      <c r="D9" s="171" t="str">
        <f>+'GRUPO A'!E23</f>
        <v>ESCUELA DE FORMACION DEPORTIVA MARACANA</v>
      </c>
      <c r="E9" s="171">
        <f>+'GRUPO A'!G23</f>
        <v>3</v>
      </c>
      <c r="F9" s="171">
        <f>+'GRUPO A'!I23</f>
        <v>3</v>
      </c>
      <c r="G9" s="171" t="str">
        <f>+'GRUPO A'!K23</f>
        <v>CLUB LOS PAPETICOS</v>
      </c>
      <c r="H9" s="172" t="str">
        <f>+'GRUPO A'!B4</f>
        <v>GRUPO A</v>
      </c>
      <c r="J9" s="175">
        <f>+'GRUPO A'!P26</f>
        <v>0</v>
      </c>
      <c r="K9" s="169">
        <f>+'GRUPO A'!Q26</f>
        <v>0</v>
      </c>
      <c r="L9" s="169">
        <f>+'GRUPO A'!R26</f>
        <v>0</v>
      </c>
      <c r="M9" s="169">
        <f>+'GRUPO A'!S26</f>
        <v>0</v>
      </c>
      <c r="N9" s="169">
        <f>+'GRUPO A'!T26</f>
        <v>0</v>
      </c>
      <c r="O9" s="169">
        <f>+'GRUPO A'!U26</f>
        <v>0</v>
      </c>
      <c r="P9" s="169">
        <f>+'GRUPO A'!V26</f>
        <v>0</v>
      </c>
      <c r="Q9" s="169">
        <f>+'GRUPO A'!W26</f>
        <v>0</v>
      </c>
      <c r="R9" s="169">
        <f>+'GRUPO A'!X26</f>
        <v>0</v>
      </c>
      <c r="S9" s="169">
        <f>+'GRUPO A'!Y26</f>
        <v>0</v>
      </c>
    </row>
    <row r="10" spans="1:19" ht="21" customHeight="1" x14ac:dyDescent="0.3">
      <c r="A10" s="545"/>
      <c r="B10" s="169" t="str">
        <f>+'GRUPO B'!M20</f>
        <v>CANCHA 2</v>
      </c>
      <c r="C10" s="169" t="str">
        <f>+'GRUPO B'!C20</f>
        <v>12:00. m.d.</v>
      </c>
      <c r="D10" s="169" t="str">
        <f>+'GRUPO B'!E20</f>
        <v>ESCUELA DEPORTIVA FÚTBOL RAQUIRA</v>
      </c>
      <c r="E10" s="169">
        <f>+'GRUPO B'!G20</f>
        <v>0</v>
      </c>
      <c r="F10" s="169">
        <f>+'GRUPO B'!I20</f>
        <v>3</v>
      </c>
      <c r="G10" s="169" t="str">
        <f>+'GRUPO B'!K20</f>
        <v>TEMPLO DEL FÚTBOL</v>
      </c>
      <c r="H10" s="169" t="str">
        <f>+'GRUPO B'!B4</f>
        <v>GRUPO B</v>
      </c>
      <c r="J10" s="175">
        <f>+'GRUPO A'!P28</f>
        <v>0</v>
      </c>
      <c r="K10" s="169">
        <f>+'GRUPO A'!Q28</f>
        <v>0</v>
      </c>
      <c r="L10" s="169">
        <f>+'GRUPO A'!R28</f>
        <v>0</v>
      </c>
      <c r="M10" s="169">
        <f>+'GRUPO A'!S28</f>
        <v>0</v>
      </c>
      <c r="N10" s="169">
        <f>+'GRUPO A'!T28</f>
        <v>0</v>
      </c>
      <c r="O10" s="169">
        <f>+'GRUPO A'!U28</f>
        <v>0</v>
      </c>
      <c r="P10" s="169">
        <f>+'GRUPO A'!V28</f>
        <v>0</v>
      </c>
      <c r="Q10" s="169">
        <f>+'GRUPO A'!W28</f>
        <v>0</v>
      </c>
      <c r="R10" s="169">
        <f>+'GRUPO A'!X28</f>
        <v>0</v>
      </c>
      <c r="S10" s="169">
        <f>+'GRUPO A'!Y28</f>
        <v>0</v>
      </c>
    </row>
    <row r="11" spans="1:19" ht="21" customHeight="1" x14ac:dyDescent="0.3">
      <c r="A11" s="545"/>
      <c r="B11" s="171" t="str">
        <f>+'GRUPO B'!M23</f>
        <v>CANCHA 2</v>
      </c>
      <c r="C11" s="171" t="str">
        <f>+'GRUPO B'!C23</f>
        <v>01:10. p.m.</v>
      </c>
      <c r="D11" s="171" t="str">
        <f>+'GRUPO B'!E23</f>
        <v>CLUB CAMPESTRE IBAGUE</v>
      </c>
      <c r="E11" s="171">
        <f>+'GRUPO B'!G23</f>
        <v>3</v>
      </c>
      <c r="F11" s="171">
        <f>+'GRUPO B'!I23</f>
        <v>1</v>
      </c>
      <c r="G11" s="171" t="str">
        <f>+'GRUPO B'!K23</f>
        <v>CENTAUROS DEL ARIARI</v>
      </c>
      <c r="H11" s="172" t="str">
        <f>+'GRUPO B'!B4</f>
        <v>GRUPO B</v>
      </c>
    </row>
    <row r="12" spans="1:19" ht="21" customHeight="1" x14ac:dyDescent="0.3">
      <c r="A12" s="545"/>
      <c r="B12" s="169" t="e">
        <f>+#REF!</f>
        <v>#REF!</v>
      </c>
      <c r="C12" s="169" t="e">
        <f>+#REF!</f>
        <v>#REF!</v>
      </c>
      <c r="D12" s="169" t="e">
        <f>+#REF!</f>
        <v>#REF!</v>
      </c>
      <c r="E12" s="169" t="e">
        <f>+#REF!</f>
        <v>#REF!</v>
      </c>
      <c r="F12" s="169" t="e">
        <f>+#REF!</f>
        <v>#REF!</v>
      </c>
      <c r="G12" s="169" t="e">
        <f>+#REF!</f>
        <v>#REF!</v>
      </c>
      <c r="H12" s="169" t="e">
        <f>+#REF!</f>
        <v>#REF!</v>
      </c>
      <c r="J12" s="173" t="str">
        <f>+'GRUPO B'!B4</f>
        <v>GRUPO B</v>
      </c>
      <c r="K12" s="173" t="str">
        <f>+'GRUPO B'!Q8</f>
        <v>Pts.</v>
      </c>
      <c r="L12" s="173" t="str">
        <f>+'GRUPO B'!R8</f>
        <v>PJ</v>
      </c>
      <c r="M12" s="173" t="str">
        <f>+'GRUPO B'!S8</f>
        <v>Gan.</v>
      </c>
      <c r="N12" s="173" t="str">
        <f>+'GRUPO B'!T8</f>
        <v>Emp.</v>
      </c>
      <c r="O12" s="173" t="str">
        <f>+'GRUPO B'!U8</f>
        <v>Per.</v>
      </c>
      <c r="P12" s="173" t="str">
        <f>+'GRUPO B'!V8</f>
        <v>GF</v>
      </c>
      <c r="Q12" s="173" t="str">
        <f>+'GRUPO B'!W8</f>
        <v>GC</v>
      </c>
      <c r="R12" s="173" t="str">
        <f>+'GRUPO B'!X8</f>
        <v>Dif.</v>
      </c>
      <c r="S12" s="173" t="str">
        <f>+'GRUPO B'!Y8</f>
        <v>Tj</v>
      </c>
    </row>
    <row r="13" spans="1:19" ht="21" customHeight="1" x14ac:dyDescent="0.3">
      <c r="A13" s="545"/>
      <c r="B13" s="171" t="e">
        <f>+#REF!</f>
        <v>#REF!</v>
      </c>
      <c r="C13" s="171" t="e">
        <f>+#REF!</f>
        <v>#REF!</v>
      </c>
      <c r="D13" s="171" t="e">
        <f>+#REF!</f>
        <v>#REF!</v>
      </c>
      <c r="E13" s="171" t="e">
        <f>+#REF!</f>
        <v>#REF!</v>
      </c>
      <c r="F13" s="171" t="e">
        <f>+#REF!</f>
        <v>#REF!</v>
      </c>
      <c r="G13" s="171" t="e">
        <f>+#REF!</f>
        <v>#REF!</v>
      </c>
      <c r="H13" s="172" t="e">
        <f>+#REF!</f>
        <v>#REF!</v>
      </c>
      <c r="J13" s="175" t="str">
        <f>+'GRUPO B'!P10</f>
        <v xml:space="preserve">  1)  TEMPLO DEL FÚTBOL</v>
      </c>
      <c r="K13" s="169">
        <f>+'GRUPO B'!Q10</f>
        <v>7</v>
      </c>
      <c r="L13" s="169">
        <f>+'GRUPO B'!R10</f>
        <v>3</v>
      </c>
      <c r="M13" s="169">
        <f>+'GRUPO B'!S10</f>
        <v>2</v>
      </c>
      <c r="N13" s="169">
        <f>+'GRUPO B'!T10</f>
        <v>1</v>
      </c>
      <c r="O13" s="169">
        <f>+'GRUPO B'!U10</f>
        <v>0</v>
      </c>
      <c r="P13" s="169">
        <f>+'GRUPO B'!V10</f>
        <v>9</v>
      </c>
      <c r="Q13" s="169">
        <f>+'GRUPO B'!W10</f>
        <v>1</v>
      </c>
      <c r="R13" s="169">
        <f>+'GRUPO B'!X10</f>
        <v>8</v>
      </c>
      <c r="S13" s="169">
        <f>+'GRUPO B'!Y10</f>
        <v>0</v>
      </c>
    </row>
    <row r="14" spans="1:19" ht="21" customHeight="1" x14ac:dyDescent="0.3">
      <c r="A14" s="545"/>
      <c r="B14" s="169" t="e">
        <f>+#REF!</f>
        <v>#REF!</v>
      </c>
      <c r="C14" s="169" t="e">
        <f>+#REF!</f>
        <v>#REF!</v>
      </c>
      <c r="D14" s="169" t="e">
        <f>+#REF!</f>
        <v>#REF!</v>
      </c>
      <c r="E14" s="169" t="e">
        <f>+#REF!</f>
        <v>#REF!</v>
      </c>
      <c r="F14" s="169" t="e">
        <f>+#REF!</f>
        <v>#REF!</v>
      </c>
      <c r="G14" s="169" t="e">
        <f>+#REF!</f>
        <v>#REF!</v>
      </c>
      <c r="H14" s="169" t="e">
        <f>+#REF!</f>
        <v>#REF!</v>
      </c>
      <c r="J14" s="175" t="str">
        <f>+'GRUPO B'!P12</f>
        <v xml:space="preserve">  2)  CLUB CAMPESTRE IBAGUE</v>
      </c>
      <c r="K14" s="169">
        <f>+'GRUPO B'!Q12</f>
        <v>7</v>
      </c>
      <c r="L14" s="169">
        <f>+'GRUPO B'!R12</f>
        <v>3</v>
      </c>
      <c r="M14" s="169">
        <f>+'GRUPO B'!S12</f>
        <v>2</v>
      </c>
      <c r="N14" s="169">
        <f>+'GRUPO B'!T12</f>
        <v>1</v>
      </c>
      <c r="O14" s="169">
        <f>+'GRUPO B'!U12</f>
        <v>0</v>
      </c>
      <c r="P14" s="169">
        <f>+'GRUPO B'!V12</f>
        <v>9</v>
      </c>
      <c r="Q14" s="169">
        <f>+'GRUPO B'!W12</f>
        <v>3</v>
      </c>
      <c r="R14" s="169">
        <f>+'GRUPO B'!X12</f>
        <v>6</v>
      </c>
      <c r="S14" s="169">
        <f>+'GRUPO B'!Y12</f>
        <v>0</v>
      </c>
    </row>
    <row r="15" spans="1:19" ht="21" customHeight="1" x14ac:dyDescent="0.3">
      <c r="A15" s="545"/>
      <c r="B15" s="171" t="e">
        <f>+#REF!</f>
        <v>#REF!</v>
      </c>
      <c r="C15" s="171" t="e">
        <f>+#REF!</f>
        <v>#REF!</v>
      </c>
      <c r="D15" s="171" t="e">
        <f>+#REF!</f>
        <v>#REF!</v>
      </c>
      <c r="E15" s="171" t="e">
        <f>+#REF!</f>
        <v>#REF!</v>
      </c>
      <c r="F15" s="171" t="e">
        <f>+#REF!</f>
        <v>#REF!</v>
      </c>
      <c r="G15" s="171" t="e">
        <f>+#REF!</f>
        <v>#REF!</v>
      </c>
      <c r="H15" s="172" t="e">
        <f>+#REF!</f>
        <v>#REF!</v>
      </c>
      <c r="J15" s="175" t="str">
        <f>+'GRUPO B'!P14</f>
        <v xml:space="preserve">  3)  ESCUELA DEPORTIVA FÚTBOL RAQUIRA</v>
      </c>
      <c r="K15" s="169">
        <f>+'GRUPO B'!Q14</f>
        <v>0</v>
      </c>
      <c r="L15" s="169">
        <f>+'GRUPO B'!R14</f>
        <v>3</v>
      </c>
      <c r="M15" s="169">
        <f>+'GRUPO B'!S14</f>
        <v>0</v>
      </c>
      <c r="N15" s="169">
        <f>+'GRUPO B'!T14</f>
        <v>0</v>
      </c>
      <c r="O15" s="169">
        <f>+'GRUPO B'!U14</f>
        <v>3</v>
      </c>
      <c r="P15" s="169">
        <f>+'GRUPO B'!V14</f>
        <v>2</v>
      </c>
      <c r="Q15" s="169">
        <f>+'GRUPO B'!W14</f>
        <v>10</v>
      </c>
      <c r="R15" s="169">
        <f>+'GRUPO B'!X14</f>
        <v>-8</v>
      </c>
      <c r="S15" s="169">
        <f>+'GRUPO B'!Y14</f>
        <v>0</v>
      </c>
    </row>
    <row r="16" spans="1:19" ht="2.25" customHeight="1" x14ac:dyDescent="0.3">
      <c r="J16" s="183"/>
    </row>
    <row r="17" spans="1:19" ht="21" customHeight="1" x14ac:dyDescent="0.3">
      <c r="B17" s="546" t="str">
        <f>+'IMPRIMIR 2'!A14</f>
        <v>PARTIDOS                 fecha 2</v>
      </c>
      <c r="C17" s="547"/>
      <c r="D17" s="547"/>
      <c r="E17" s="547"/>
      <c r="F17" s="547"/>
      <c r="G17" s="547"/>
      <c r="H17" s="548"/>
      <c r="J17" s="175">
        <f>+'GRUPO B'!P16</f>
        <v>0</v>
      </c>
      <c r="K17" s="169">
        <f>+'GRUPO B'!Q16</f>
        <v>0</v>
      </c>
      <c r="L17" s="169">
        <f>+'GRUPO B'!R16</f>
        <v>0</v>
      </c>
      <c r="M17" s="169">
        <f>+'GRUPO B'!S16</f>
        <v>0</v>
      </c>
      <c r="N17" s="169">
        <f>+'GRUPO B'!T16</f>
        <v>0</v>
      </c>
      <c r="O17" s="169">
        <f>+'GRUPO B'!U16</f>
        <v>0</v>
      </c>
      <c r="P17" s="169">
        <f>+'GRUPO B'!V16</f>
        <v>0</v>
      </c>
      <c r="Q17" s="169">
        <f>+'GRUPO B'!W16</f>
        <v>0</v>
      </c>
      <c r="R17" s="169">
        <f>+'GRUPO B'!X16</f>
        <v>0</v>
      </c>
      <c r="S17" s="169">
        <f>+'GRUPO B'!Y16</f>
        <v>0</v>
      </c>
    </row>
    <row r="18" spans="1:19" ht="21" customHeight="1" x14ac:dyDescent="0.3">
      <c r="B18" s="180" t="s">
        <v>69</v>
      </c>
      <c r="C18" s="180" t="s">
        <v>70</v>
      </c>
      <c r="D18" s="180" t="s">
        <v>71</v>
      </c>
      <c r="E18" s="543" t="s">
        <v>72</v>
      </c>
      <c r="F18" s="543"/>
      <c r="G18" s="180" t="s">
        <v>71</v>
      </c>
      <c r="H18" s="180" t="s">
        <v>73</v>
      </c>
    </row>
    <row r="19" spans="1:19" ht="21" customHeight="1" x14ac:dyDescent="0.3">
      <c r="A19" s="544">
        <f>+'GRUPO A'!B26</f>
        <v>42812</v>
      </c>
      <c r="B19" s="169" t="str">
        <f>+'GRUPO A'!M26</f>
        <v>LAS VEGAS</v>
      </c>
      <c r="C19" s="169" t="str">
        <f>+'GRUPO A'!C26</f>
        <v>03:00. p.m.</v>
      </c>
      <c r="D19" s="169" t="str">
        <f>+'GRUPO A'!E26</f>
        <v>AJAX AIMARA</v>
      </c>
      <c r="E19" s="169">
        <f>+'GRUPO A'!G26</f>
        <v>1</v>
      </c>
      <c r="F19" s="169">
        <f>+'GRUPO A'!I26</f>
        <v>2</v>
      </c>
      <c r="G19" s="169" t="str">
        <f>+'GRUPO A'!K26</f>
        <v>ESCUELA DE FORMACION DEPORTIVA MARACANA</v>
      </c>
      <c r="H19" s="170" t="str">
        <f>+'GRUPO A'!B4</f>
        <v>GRUPO A</v>
      </c>
      <c r="J19" s="176" t="e">
        <f>+#REF!</f>
        <v>#REF!</v>
      </c>
      <c r="K19" s="177" t="e">
        <f>+#REF!</f>
        <v>#REF!</v>
      </c>
      <c r="L19" s="177" t="e">
        <f>+#REF!</f>
        <v>#REF!</v>
      </c>
      <c r="M19" s="177" t="e">
        <f>+#REF!</f>
        <v>#REF!</v>
      </c>
      <c r="N19" s="177" t="e">
        <f>+#REF!</f>
        <v>#REF!</v>
      </c>
      <c r="O19" s="177" t="e">
        <f>+#REF!</f>
        <v>#REF!</v>
      </c>
      <c r="P19" s="177" t="e">
        <f>+#REF!</f>
        <v>#REF!</v>
      </c>
      <c r="Q19" s="177" t="e">
        <f>+#REF!</f>
        <v>#REF!</v>
      </c>
      <c r="R19" s="177" t="e">
        <f>+#REF!</f>
        <v>#REF!</v>
      </c>
      <c r="S19" s="177" t="e">
        <f>+#REF!</f>
        <v>#REF!</v>
      </c>
    </row>
    <row r="20" spans="1:19" ht="21" customHeight="1" x14ac:dyDescent="0.3">
      <c r="A20" s="545"/>
      <c r="B20" s="171" t="str">
        <f>+'GRUPO A'!M29</f>
        <v>LAS VEGAS</v>
      </c>
      <c r="C20" s="171" t="str">
        <f>+'GRUPO A'!C29</f>
        <v>04:00. p.m.</v>
      </c>
      <c r="D20" s="171" t="str">
        <f>+'GRUPO A'!E29</f>
        <v>CLUB DEPORTIVO OS FUTSAL</v>
      </c>
      <c r="E20" s="171">
        <f>+'GRUPO A'!G29</f>
        <v>2</v>
      </c>
      <c r="F20" s="171">
        <f>+'GRUPO A'!I29</f>
        <v>10</v>
      </c>
      <c r="G20" s="171" t="str">
        <f>+'GRUPO A'!K29</f>
        <v>CLUB LOS PAPETICOS</v>
      </c>
      <c r="H20" s="172" t="str">
        <f>+'GRUPO A'!B4</f>
        <v>GRUPO A</v>
      </c>
      <c r="J20" s="175" t="e">
        <f>+#REF!</f>
        <v>#REF!</v>
      </c>
      <c r="K20" s="169" t="e">
        <f>+#REF!</f>
        <v>#REF!</v>
      </c>
      <c r="L20" s="169" t="e">
        <f>+#REF!</f>
        <v>#REF!</v>
      </c>
      <c r="M20" s="169" t="e">
        <f>+#REF!</f>
        <v>#REF!</v>
      </c>
      <c r="N20" s="169" t="e">
        <f>+#REF!</f>
        <v>#REF!</v>
      </c>
      <c r="O20" s="169" t="e">
        <f>+#REF!</f>
        <v>#REF!</v>
      </c>
      <c r="P20" s="169" t="e">
        <f>+#REF!</f>
        <v>#REF!</v>
      </c>
      <c r="Q20" s="169" t="e">
        <f>+#REF!</f>
        <v>#REF!</v>
      </c>
      <c r="R20" s="169" t="e">
        <f>+#REF!</f>
        <v>#REF!</v>
      </c>
      <c r="S20" s="169" t="e">
        <f>+#REF!</f>
        <v>#REF!</v>
      </c>
    </row>
    <row r="21" spans="1:19" ht="21" customHeight="1" x14ac:dyDescent="0.3">
      <c r="A21" s="545"/>
      <c r="B21" s="169" t="str">
        <f>+'GRUPO B'!M26</f>
        <v>CANCHA 1</v>
      </c>
      <c r="C21" s="169" t="str">
        <f>+'GRUPO B'!C26</f>
        <v>09:50. a.m.</v>
      </c>
      <c r="D21" s="169" t="str">
        <f>+'GRUPO B'!E26</f>
        <v>ESCUELA DEPORTIVA FÚTBOL RAQUIRA</v>
      </c>
      <c r="E21" s="169">
        <f>+'GRUPO B'!G26</f>
        <v>2</v>
      </c>
      <c r="F21" s="169">
        <f>+'GRUPO B'!I26</f>
        <v>6</v>
      </c>
      <c r="G21" s="169" t="str">
        <f>+'GRUPO B'!K26</f>
        <v>CLUB CAMPESTRE IBAGUE</v>
      </c>
      <c r="H21" s="170" t="str">
        <f>+'GRUPO B'!B4</f>
        <v>GRUPO B</v>
      </c>
      <c r="J21" s="175" t="e">
        <f>+#REF!</f>
        <v>#REF!</v>
      </c>
      <c r="K21" s="169" t="e">
        <f>+#REF!</f>
        <v>#REF!</v>
      </c>
      <c r="L21" s="169" t="e">
        <f>+#REF!</f>
        <v>#REF!</v>
      </c>
      <c r="M21" s="169" t="e">
        <f>+#REF!</f>
        <v>#REF!</v>
      </c>
      <c r="N21" s="169" t="e">
        <f>+#REF!</f>
        <v>#REF!</v>
      </c>
      <c r="O21" s="169" t="e">
        <f>+#REF!</f>
        <v>#REF!</v>
      </c>
      <c r="P21" s="169" t="e">
        <f>+#REF!</f>
        <v>#REF!</v>
      </c>
      <c r="Q21" s="169" t="e">
        <f>+#REF!</f>
        <v>#REF!</v>
      </c>
      <c r="R21" s="169" t="e">
        <f>+#REF!</f>
        <v>#REF!</v>
      </c>
      <c r="S21" s="169" t="e">
        <f>+#REF!</f>
        <v>#REF!</v>
      </c>
    </row>
    <row r="22" spans="1:19" ht="21" customHeight="1" x14ac:dyDescent="0.3">
      <c r="A22" s="545"/>
      <c r="B22" s="171" t="str">
        <f>+'GRUPO B'!M29</f>
        <v>CANCHA 1</v>
      </c>
      <c r="C22" s="171" t="str">
        <f>+'GRUPO B'!C29</f>
        <v>10:50. a.m.</v>
      </c>
      <c r="D22" s="171" t="str">
        <f>+'GRUPO B'!E29</f>
        <v>TEMPLO DEL FÚTBOL</v>
      </c>
      <c r="E22" s="171">
        <f>+'GRUPO B'!G29</f>
        <v>6</v>
      </c>
      <c r="F22" s="171">
        <f>+'GRUPO B'!I29</f>
        <v>1</v>
      </c>
      <c r="G22" s="171" t="str">
        <f>+'GRUPO B'!K29</f>
        <v>EIFD TESOROS SPORTS</v>
      </c>
      <c r="H22" s="172" t="str">
        <f>+'GRUPO B'!B4</f>
        <v>GRUPO B</v>
      </c>
      <c r="J22" s="175" t="e">
        <f>+#REF!</f>
        <v>#REF!</v>
      </c>
      <c r="K22" s="169" t="e">
        <f>+#REF!</f>
        <v>#REF!</v>
      </c>
      <c r="L22" s="169" t="e">
        <f>+#REF!</f>
        <v>#REF!</v>
      </c>
      <c r="M22" s="169" t="e">
        <f>+#REF!</f>
        <v>#REF!</v>
      </c>
      <c r="N22" s="169" t="e">
        <f>+#REF!</f>
        <v>#REF!</v>
      </c>
      <c r="O22" s="169" t="e">
        <f>+#REF!</f>
        <v>#REF!</v>
      </c>
      <c r="P22" s="169" t="e">
        <f>+#REF!</f>
        <v>#REF!</v>
      </c>
      <c r="Q22" s="169" t="e">
        <f>+#REF!</f>
        <v>#REF!</v>
      </c>
      <c r="R22" s="169" t="e">
        <f>+#REF!</f>
        <v>#REF!</v>
      </c>
      <c r="S22" s="169" t="e">
        <f>+#REF!</f>
        <v>#REF!</v>
      </c>
    </row>
    <row r="23" spans="1:19" ht="21" customHeight="1" x14ac:dyDescent="0.3">
      <c r="A23" s="545"/>
      <c r="B23" s="169" t="e">
        <f>+#REF!</f>
        <v>#REF!</v>
      </c>
      <c r="C23" s="169" t="e">
        <f>+#REF!</f>
        <v>#REF!</v>
      </c>
      <c r="D23" s="169" t="e">
        <f>+#REF!</f>
        <v>#REF!</v>
      </c>
      <c r="E23" s="169" t="e">
        <f>+#REF!</f>
        <v>#REF!</v>
      </c>
      <c r="F23" s="169" t="e">
        <f>+#REF!</f>
        <v>#REF!</v>
      </c>
      <c r="G23" s="169" t="e">
        <f>+#REF!</f>
        <v>#REF!</v>
      </c>
      <c r="H23" s="169" t="e">
        <f>+#REF!</f>
        <v>#REF!</v>
      </c>
      <c r="J23" s="175" t="e">
        <f>+#REF!</f>
        <v>#REF!</v>
      </c>
      <c r="K23" s="169" t="e">
        <f>+#REF!</f>
        <v>#REF!</v>
      </c>
      <c r="L23" s="169" t="e">
        <f>+#REF!</f>
        <v>#REF!</v>
      </c>
      <c r="M23" s="169" t="e">
        <f>+#REF!</f>
        <v>#REF!</v>
      </c>
      <c r="N23" s="169" t="e">
        <f>+#REF!</f>
        <v>#REF!</v>
      </c>
      <c r="O23" s="169" t="e">
        <f>+#REF!</f>
        <v>#REF!</v>
      </c>
      <c r="P23" s="169" t="e">
        <f>+#REF!</f>
        <v>#REF!</v>
      </c>
      <c r="Q23" s="169" t="e">
        <f>+#REF!</f>
        <v>#REF!</v>
      </c>
      <c r="R23" s="169" t="e">
        <f>+#REF!</f>
        <v>#REF!</v>
      </c>
      <c r="S23" s="169" t="e">
        <f>+#REF!</f>
        <v>#REF!</v>
      </c>
    </row>
    <row r="24" spans="1:19" ht="21" customHeight="1" x14ac:dyDescent="0.3">
      <c r="A24" s="545"/>
      <c r="B24" s="171" t="e">
        <f>+#REF!</f>
        <v>#REF!</v>
      </c>
      <c r="C24" s="171" t="e">
        <f>+#REF!</f>
        <v>#REF!</v>
      </c>
      <c r="D24" s="171" t="e">
        <f>+#REF!</f>
        <v>#REF!</v>
      </c>
      <c r="E24" s="171" t="e">
        <f>+#REF!</f>
        <v>#REF!</v>
      </c>
      <c r="F24" s="171" t="e">
        <f>+#REF!</f>
        <v>#REF!</v>
      </c>
      <c r="G24" s="171" t="e">
        <f>+#REF!</f>
        <v>#REF!</v>
      </c>
      <c r="H24" s="172" t="e">
        <f>+#REF!</f>
        <v>#REF!</v>
      </c>
      <c r="J24"/>
      <c r="K24"/>
      <c r="L24"/>
      <c r="M24"/>
      <c r="N24"/>
      <c r="O24"/>
      <c r="P24"/>
      <c r="Q24"/>
      <c r="R24"/>
      <c r="S24"/>
    </row>
    <row r="25" spans="1:19" ht="21" customHeight="1" x14ac:dyDescent="0.3">
      <c r="A25" s="545"/>
      <c r="B25" s="169" t="e">
        <f>+#REF!</f>
        <v>#REF!</v>
      </c>
      <c r="C25" s="169" t="e">
        <f>+#REF!</f>
        <v>#REF!</v>
      </c>
      <c r="D25" s="169" t="e">
        <f>+#REF!</f>
        <v>#REF!</v>
      </c>
      <c r="E25" s="169" t="e">
        <f>+#REF!</f>
        <v>#REF!</v>
      </c>
      <c r="F25" s="169" t="e">
        <f>+#REF!</f>
        <v>#REF!</v>
      </c>
      <c r="G25" s="169" t="e">
        <f>+#REF!</f>
        <v>#REF!</v>
      </c>
      <c r="H25" s="169" t="e">
        <f>+#REF!</f>
        <v>#REF!</v>
      </c>
      <c r="J25" s="178" t="e">
        <f>+#REF!</f>
        <v>#REF!</v>
      </c>
      <c r="K25" s="179" t="e">
        <f>+#REF!</f>
        <v>#REF!</v>
      </c>
      <c r="L25" s="179" t="e">
        <f>+#REF!</f>
        <v>#REF!</v>
      </c>
      <c r="M25" s="179" t="e">
        <f>+#REF!</f>
        <v>#REF!</v>
      </c>
      <c r="N25" s="179" t="e">
        <f>+#REF!</f>
        <v>#REF!</v>
      </c>
      <c r="O25" s="179" t="e">
        <f>+#REF!</f>
        <v>#REF!</v>
      </c>
      <c r="P25" s="179" t="e">
        <f>+#REF!</f>
        <v>#REF!</v>
      </c>
      <c r="Q25" s="179" t="e">
        <f>+#REF!</f>
        <v>#REF!</v>
      </c>
      <c r="R25" s="179" t="e">
        <f>+#REF!</f>
        <v>#REF!</v>
      </c>
      <c r="S25" s="179" t="e">
        <f>+#REF!</f>
        <v>#REF!</v>
      </c>
    </row>
    <row r="26" spans="1:19" ht="21" customHeight="1" x14ac:dyDescent="0.3">
      <c r="A26" s="545"/>
      <c r="B26" s="171" t="e">
        <f>+#REF!</f>
        <v>#REF!</v>
      </c>
      <c r="C26" s="171" t="e">
        <f>+#REF!</f>
        <v>#REF!</v>
      </c>
      <c r="D26" s="171" t="e">
        <f>+#REF!</f>
        <v>#REF!</v>
      </c>
      <c r="E26" s="171" t="e">
        <f>+#REF!</f>
        <v>#REF!</v>
      </c>
      <c r="F26" s="171" t="e">
        <f>+#REF!</f>
        <v>#REF!</v>
      </c>
      <c r="G26" s="171" t="e">
        <f>+#REF!</f>
        <v>#REF!</v>
      </c>
      <c r="H26" s="172" t="e">
        <f>+#REF!</f>
        <v>#REF!</v>
      </c>
      <c r="J26" s="175" t="e">
        <f>+#REF!</f>
        <v>#REF!</v>
      </c>
      <c r="K26" s="169" t="e">
        <f>+#REF!</f>
        <v>#REF!</v>
      </c>
      <c r="L26" s="169" t="e">
        <f>+#REF!</f>
        <v>#REF!</v>
      </c>
      <c r="M26" s="169" t="e">
        <f>+#REF!</f>
        <v>#REF!</v>
      </c>
      <c r="N26" s="169" t="e">
        <f>+#REF!</f>
        <v>#REF!</v>
      </c>
      <c r="O26" s="169" t="e">
        <f>+#REF!</f>
        <v>#REF!</v>
      </c>
      <c r="P26" s="169" t="e">
        <f>+#REF!</f>
        <v>#REF!</v>
      </c>
      <c r="Q26" s="169" t="e">
        <f>+#REF!</f>
        <v>#REF!</v>
      </c>
      <c r="R26" s="169" t="e">
        <f>+#REF!</f>
        <v>#REF!</v>
      </c>
      <c r="S26" s="169" t="e">
        <f>+#REF!</f>
        <v>#REF!</v>
      </c>
    </row>
    <row r="27" spans="1:19" ht="3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customHeight="1" x14ac:dyDescent="0.3">
      <c r="B28" s="538" t="str">
        <f>+'IMPRIMIR 3'!A17</f>
        <v>PARTIDOS                 fecha 3 ULTIMA</v>
      </c>
      <c r="C28" s="539"/>
      <c r="D28" s="539"/>
      <c r="E28" s="539"/>
      <c r="F28" s="539"/>
      <c r="G28" s="539"/>
      <c r="H28" s="540"/>
      <c r="J28" s="175" t="e">
        <f>+#REF!</f>
        <v>#REF!</v>
      </c>
      <c r="K28" s="169" t="e">
        <f>+#REF!</f>
        <v>#REF!</v>
      </c>
      <c r="L28" s="169" t="e">
        <f>+#REF!</f>
        <v>#REF!</v>
      </c>
      <c r="M28" s="169" t="e">
        <f>+#REF!</f>
        <v>#REF!</v>
      </c>
      <c r="N28" s="169" t="e">
        <f>+#REF!</f>
        <v>#REF!</v>
      </c>
      <c r="O28" s="169" t="e">
        <f>+#REF!</f>
        <v>#REF!</v>
      </c>
      <c r="P28" s="169" t="e">
        <f>+#REF!</f>
        <v>#REF!</v>
      </c>
      <c r="Q28" s="169" t="e">
        <f>+#REF!</f>
        <v>#REF!</v>
      </c>
      <c r="R28" s="169" t="e">
        <f>+#REF!</f>
        <v>#REF!</v>
      </c>
      <c r="S28" s="169" t="e">
        <f>+#REF!</f>
        <v>#REF!</v>
      </c>
    </row>
    <row r="29" spans="1:19" ht="21" customHeight="1" x14ac:dyDescent="0.3">
      <c r="B29" s="180" t="s">
        <v>69</v>
      </c>
      <c r="C29" s="180" t="s">
        <v>70</v>
      </c>
      <c r="D29" s="180" t="s">
        <v>71</v>
      </c>
      <c r="E29" s="543" t="s">
        <v>72</v>
      </c>
      <c r="F29" s="543"/>
      <c r="G29" s="180" t="s">
        <v>71</v>
      </c>
      <c r="H29" s="180" t="s">
        <v>73</v>
      </c>
      <c r="J29" s="175" t="e">
        <f>+#REF!</f>
        <v>#REF!</v>
      </c>
      <c r="K29" s="169" t="e">
        <f>+#REF!</f>
        <v>#REF!</v>
      </c>
      <c r="L29" s="169" t="e">
        <f>+#REF!</f>
        <v>#REF!</v>
      </c>
      <c r="M29" s="169" t="e">
        <f>+#REF!</f>
        <v>#REF!</v>
      </c>
      <c r="N29" s="169" t="e">
        <f>+#REF!</f>
        <v>#REF!</v>
      </c>
      <c r="O29" s="169" t="e">
        <f>+#REF!</f>
        <v>#REF!</v>
      </c>
      <c r="P29" s="169" t="e">
        <f>+#REF!</f>
        <v>#REF!</v>
      </c>
      <c r="Q29" s="169" t="e">
        <f>+#REF!</f>
        <v>#REF!</v>
      </c>
      <c r="R29" s="169" t="e">
        <f>+#REF!</f>
        <v>#REF!</v>
      </c>
      <c r="S29" s="169" t="e">
        <f>+#REF!</f>
        <v>#REF!</v>
      </c>
    </row>
    <row r="30" spans="1:19" ht="21" customHeight="1" x14ac:dyDescent="0.3">
      <c r="A30" s="544">
        <f>+'GRUPO A'!B32</f>
        <v>42813</v>
      </c>
      <c r="B30" s="169" t="str">
        <f>+'GRUPO A'!M32</f>
        <v>CANCHA 2</v>
      </c>
      <c r="C30" s="169" t="str">
        <f>+'GRUPO A'!C32</f>
        <v>01:15. p.m.</v>
      </c>
      <c r="D30" s="169" t="str">
        <f>+'GRUPO A'!E32</f>
        <v>CLUB DEPORTIVO OS FUTSAL</v>
      </c>
      <c r="E30" s="169">
        <f>+'GRUPO A'!G32</f>
        <v>0</v>
      </c>
      <c r="F30" s="169">
        <f>+'GRUPO A'!I32</f>
        <v>8</v>
      </c>
      <c r="G30" s="169" t="str">
        <f>+'GRUPO A'!K32</f>
        <v>ESCUELA DE FORMACION DEPORTIVA MARACANA</v>
      </c>
      <c r="H30" s="170" t="str">
        <f>+'GRUPO A'!B4</f>
        <v>GRUPO A</v>
      </c>
      <c r="J30" s="175" t="e">
        <f>+#REF!</f>
        <v>#REF!</v>
      </c>
      <c r="K30" s="169" t="e">
        <f>+#REF!</f>
        <v>#REF!</v>
      </c>
      <c r="L30" s="169" t="e">
        <f>+#REF!</f>
        <v>#REF!</v>
      </c>
      <c r="M30" s="169" t="e">
        <f>+#REF!</f>
        <v>#REF!</v>
      </c>
      <c r="N30" s="169" t="e">
        <f>+#REF!</f>
        <v>#REF!</v>
      </c>
      <c r="O30" s="169" t="e">
        <f>+#REF!</f>
        <v>#REF!</v>
      </c>
      <c r="P30" s="169" t="e">
        <f>+#REF!</f>
        <v>#REF!</v>
      </c>
      <c r="Q30" s="169" t="e">
        <f>+#REF!</f>
        <v>#REF!</v>
      </c>
      <c r="R30" s="169" t="e">
        <f>+#REF!</f>
        <v>#REF!</v>
      </c>
      <c r="S30" s="169" t="e">
        <f>+#REF!</f>
        <v>#REF!</v>
      </c>
    </row>
    <row r="31" spans="1:19" ht="21" customHeight="1" x14ac:dyDescent="0.3">
      <c r="A31" s="545"/>
      <c r="B31" s="171" t="str">
        <f>+'GRUPO A'!M35</f>
        <v>CANCHA 1</v>
      </c>
      <c r="C31" s="171" t="str">
        <f>+'GRUPO A'!C35</f>
        <v>02:30. p.m.</v>
      </c>
      <c r="D31" s="171" t="str">
        <f>+'GRUPO A'!E35</f>
        <v>AJAX AIMARA</v>
      </c>
      <c r="E31" s="171">
        <f>+'GRUPO A'!G35</f>
        <v>2</v>
      </c>
      <c r="F31" s="171">
        <f>+'GRUPO A'!I35</f>
        <v>7</v>
      </c>
      <c r="G31" s="171" t="str">
        <f>+'GRUPO A'!K35</f>
        <v>CLUB LOS PAPETICOS</v>
      </c>
      <c r="H31" s="172" t="str">
        <f>+'GRUPO A'!B4</f>
        <v>GRUPO A</v>
      </c>
    </row>
    <row r="32" spans="1:19" ht="21" customHeight="1" x14ac:dyDescent="0.3">
      <c r="A32" s="545"/>
      <c r="B32" s="169" t="str">
        <f>+'GRUPO B'!M32</f>
        <v>CANCHA 1</v>
      </c>
      <c r="C32" s="169" t="str">
        <f>+'GRUPO B'!C32</f>
        <v>04:30. p.m.</v>
      </c>
      <c r="D32" s="169" t="str">
        <f>+'GRUPO B'!E32</f>
        <v>ESCUELA DEPORTIVA FÚTBOL RAQUIRA</v>
      </c>
      <c r="E32" s="169">
        <f>+'GRUPO B'!G32</f>
        <v>0</v>
      </c>
      <c r="F32" s="169">
        <f>+'GRUPO B'!I32</f>
        <v>1</v>
      </c>
      <c r="G32" s="169" t="str">
        <f>+'GRUPO B'!K32</f>
        <v>BLUEMARTIN F.C .</v>
      </c>
      <c r="H32" s="170" t="str">
        <f>+'GRUPO B'!B4</f>
        <v>GRUPO B</v>
      </c>
    </row>
    <row r="33" spans="1:8" ht="21" customHeight="1" x14ac:dyDescent="0.3">
      <c r="A33" s="545"/>
      <c r="B33" s="171" t="str">
        <f>+'GRUPO B'!M35</f>
        <v>CANCHA 2</v>
      </c>
      <c r="C33" s="171" t="str">
        <f>+'GRUPO B'!C35</f>
        <v>03:25. p.m.</v>
      </c>
      <c r="D33" s="171" t="str">
        <f>+'GRUPO B'!E35</f>
        <v>TEMPLO DEL FÚTBOL</v>
      </c>
      <c r="E33" s="171">
        <f>+'GRUPO B'!G35</f>
        <v>0</v>
      </c>
      <c r="F33" s="171">
        <f>+'GRUPO B'!I35</f>
        <v>0</v>
      </c>
      <c r="G33" s="171" t="str">
        <f>+'GRUPO B'!K35</f>
        <v>CLUB CAMPESTRE IBAGUE</v>
      </c>
      <c r="H33" s="172" t="str">
        <f>+'GRUPO B'!B4</f>
        <v>GRUPO B</v>
      </c>
    </row>
    <row r="34" spans="1:8" ht="21" customHeight="1" x14ac:dyDescent="0.3">
      <c r="A34" s="545"/>
      <c r="B34" s="169" t="e">
        <f>+#REF!</f>
        <v>#REF!</v>
      </c>
      <c r="C34" s="169" t="e">
        <f>+#REF!</f>
        <v>#REF!</v>
      </c>
      <c r="D34" s="169" t="e">
        <f>+#REF!</f>
        <v>#REF!</v>
      </c>
      <c r="E34" s="169" t="e">
        <f>+#REF!</f>
        <v>#REF!</v>
      </c>
      <c r="F34" s="169" t="e">
        <f>+#REF!</f>
        <v>#REF!</v>
      </c>
      <c r="G34" s="169" t="e">
        <f>+#REF!</f>
        <v>#REF!</v>
      </c>
      <c r="H34" s="169" t="e">
        <f>+#REF!</f>
        <v>#REF!</v>
      </c>
    </row>
    <row r="35" spans="1:8" ht="21" customHeight="1" x14ac:dyDescent="0.3">
      <c r="A35" s="545"/>
      <c r="B35" s="171" t="e">
        <f>+#REF!</f>
        <v>#REF!</v>
      </c>
      <c r="C35" s="171" t="e">
        <f>+#REF!</f>
        <v>#REF!</v>
      </c>
      <c r="D35" s="171" t="e">
        <f>+#REF!</f>
        <v>#REF!</v>
      </c>
      <c r="E35" s="171" t="e">
        <f>+#REF!</f>
        <v>#REF!</v>
      </c>
      <c r="F35" s="171" t="e">
        <f>+#REF!</f>
        <v>#REF!</v>
      </c>
      <c r="G35" s="171" t="e">
        <f>+#REF!</f>
        <v>#REF!</v>
      </c>
      <c r="H35" s="172" t="e">
        <f>+#REF!</f>
        <v>#REF!</v>
      </c>
    </row>
    <row r="36" spans="1:8" ht="21" customHeight="1" x14ac:dyDescent="0.3">
      <c r="A36" s="545"/>
      <c r="B36" s="169" t="e">
        <f>+#REF!</f>
        <v>#REF!</v>
      </c>
      <c r="C36" s="169" t="e">
        <f>+#REF!</f>
        <v>#REF!</v>
      </c>
      <c r="D36" s="169" t="e">
        <f>+#REF!</f>
        <v>#REF!</v>
      </c>
      <c r="E36" s="169" t="e">
        <f>+#REF!</f>
        <v>#REF!</v>
      </c>
      <c r="F36" s="169" t="e">
        <f>+#REF!</f>
        <v>#REF!</v>
      </c>
      <c r="G36" s="169" t="e">
        <f>+#REF!</f>
        <v>#REF!</v>
      </c>
      <c r="H36" s="169" t="e">
        <f>+#REF!</f>
        <v>#REF!</v>
      </c>
    </row>
    <row r="37" spans="1:8" ht="21" customHeight="1" x14ac:dyDescent="0.3">
      <c r="A37" s="545"/>
      <c r="B37" s="171" t="e">
        <f>+#REF!</f>
        <v>#REF!</v>
      </c>
      <c r="C37" s="171" t="e">
        <f>+#REF!</f>
        <v>#REF!</v>
      </c>
      <c r="D37" s="171" t="e">
        <f>+#REF!</f>
        <v>#REF!</v>
      </c>
      <c r="E37" s="171" t="e">
        <f>+#REF!</f>
        <v>#REF!</v>
      </c>
      <c r="F37" s="171" t="e">
        <f>+#REF!</f>
        <v>#REF!</v>
      </c>
      <c r="G37" s="171" t="e">
        <f>+#REF!</f>
        <v>#REF!</v>
      </c>
      <c r="H37" s="172" t="e">
        <f>+#REF!</f>
        <v>#REF!</v>
      </c>
    </row>
    <row r="38" spans="1:8" ht="3" customHeight="1" x14ac:dyDescent="0.3">
      <c r="B38"/>
      <c r="C38"/>
      <c r="D38"/>
      <c r="E38"/>
      <c r="F38"/>
      <c r="G38"/>
      <c r="H38"/>
    </row>
    <row r="39" spans="1:8" ht="21" customHeight="1" x14ac:dyDescent="0.3">
      <c r="B39" s="546" t="str">
        <f>+DEFINICION!B5</f>
        <v>SEMIFINALES</v>
      </c>
      <c r="C39" s="547"/>
      <c r="D39" s="547"/>
      <c r="E39" s="547"/>
      <c r="F39" s="547"/>
      <c r="G39" s="547"/>
      <c r="H39" s="548"/>
    </row>
    <row r="40" spans="1:8" ht="21" customHeight="1" x14ac:dyDescent="0.3">
      <c r="B40" s="180" t="s">
        <v>69</v>
      </c>
      <c r="C40" s="180" t="s">
        <v>70</v>
      </c>
      <c r="D40" s="180" t="s">
        <v>71</v>
      </c>
      <c r="E40" s="543" t="s">
        <v>72</v>
      </c>
      <c r="F40" s="543"/>
      <c r="G40" s="180" t="s">
        <v>71</v>
      </c>
      <c r="H40" s="180" t="s">
        <v>76</v>
      </c>
    </row>
    <row r="41" spans="1:8" ht="21" customHeight="1" x14ac:dyDescent="0.3">
      <c r="A41" s="544">
        <f>+'CUARTOS DE FINAL.'!B9</f>
        <v>42596</v>
      </c>
      <c r="B41" s="170" t="str">
        <f>+'CUARTOS DE FINAL.'!N6</f>
        <v>PALMARA</v>
      </c>
      <c r="C41" s="169" t="str">
        <f>+'CUARTOS DE FINAL.'!D6</f>
        <v>03:00. p.m.</v>
      </c>
      <c r="D41" s="169" t="e">
        <f>+'CUARTOS DE FINAL.'!G6</f>
        <v>#N/A</v>
      </c>
      <c r="E41" s="169">
        <f>+'CUARTOS DE FINAL.'!H6</f>
        <v>1</v>
      </c>
      <c r="F41" s="169">
        <f>+'CUARTOS DE FINAL.'!J6</f>
        <v>2</v>
      </c>
      <c r="G41" s="169" t="e">
        <f>+'CUARTOS DE FINAL.'!L6</f>
        <v>#REF!</v>
      </c>
      <c r="H41" s="170" t="str">
        <f>+'CUARTOS DE FINAL.'!C6</f>
        <v>LLAVE A</v>
      </c>
    </row>
    <row r="42" spans="1:8" ht="21" customHeight="1" x14ac:dyDescent="0.3">
      <c r="A42" s="544"/>
      <c r="B42" s="172" t="str">
        <f>+'CUARTOS DE FINAL.'!N9</f>
        <v>CANCHA 2</v>
      </c>
      <c r="C42" s="171" t="str">
        <f>+'CUARTOS DE FINAL.'!D9</f>
        <v>04:20. p.m.</v>
      </c>
      <c r="D42" s="171" t="str">
        <f>+'CUARTOS DE FINAL.'!G9</f>
        <v>TEMPLO DEL FÚTBOL</v>
      </c>
      <c r="E42" s="171">
        <f>+'CUARTOS DE FINAL.'!H9</f>
        <v>2</v>
      </c>
      <c r="F42" s="171">
        <f>+'CUARTOS DE FINAL.'!J9</f>
        <v>1</v>
      </c>
      <c r="G42" s="171" t="e">
        <f>+'CUARTOS DE FINAL.'!L9</f>
        <v>#REF!</v>
      </c>
      <c r="H42" s="172" t="str">
        <f>+'CUARTOS DE FINAL.'!C9</f>
        <v>LLAVE B</v>
      </c>
    </row>
    <row r="43" spans="1:8" ht="21" customHeight="1" x14ac:dyDescent="0.3">
      <c r="A43" s="544"/>
      <c r="B43" s="170" t="str">
        <f>+'CUARTOS DE FINAL.'!N12</f>
        <v>CANCHA 2</v>
      </c>
      <c r="C43" s="169" t="str">
        <f>+'CUARTOS DE FINAL.'!D12</f>
        <v>03:00. p.m.</v>
      </c>
      <c r="D43" s="169" t="e">
        <f>+'CUARTOS DE FINAL.'!G12</f>
        <v>#REF!</v>
      </c>
      <c r="E43" s="169">
        <f>+'CUARTOS DE FINAL.'!H12</f>
        <v>1</v>
      </c>
      <c r="F43" s="169">
        <f>+'CUARTOS DE FINAL.'!J12</f>
        <v>2</v>
      </c>
      <c r="G43" s="169" t="e">
        <f>+'CUARTOS DE FINAL.'!L12</f>
        <v>#N/A</v>
      </c>
      <c r="H43" s="170" t="str">
        <f>+'CUARTOS DE FINAL.'!C12</f>
        <v>LLAVE C</v>
      </c>
    </row>
    <row r="44" spans="1:8" ht="21" customHeight="1" x14ac:dyDescent="0.3">
      <c r="A44" s="544"/>
      <c r="B44" s="172" t="str">
        <f>+'CUARTOS DE FINAL.'!N15</f>
        <v>PALMARA</v>
      </c>
      <c r="C44" s="171" t="str">
        <f>+'CUARTOS DE FINAL.'!D15</f>
        <v>04:20. p.m.</v>
      </c>
      <c r="D44" s="171" t="e">
        <f>+'CUARTOS DE FINAL.'!G15</f>
        <v>#REF!</v>
      </c>
      <c r="E44" s="171">
        <f>+'CUARTOS DE FINAL.'!H15</f>
        <v>2</v>
      </c>
      <c r="F44" s="171">
        <f>+'CUARTOS DE FINAL.'!J15</f>
        <v>1</v>
      </c>
      <c r="G44" s="171" t="str">
        <f>+'CUARTOS DE FINAL.'!L15</f>
        <v>CLUB CAMPESTRE IBAGUE</v>
      </c>
      <c r="H44" s="172" t="str">
        <f>+'CUARTOS DE FINAL.'!C15</f>
        <v>LLAVE D</v>
      </c>
    </row>
    <row r="45" spans="1:8" ht="21" customHeight="1" x14ac:dyDescent="0.3">
      <c r="A45" s="181"/>
      <c r="B45" s="1"/>
      <c r="C45" s="1"/>
      <c r="D45" s="1"/>
      <c r="E45" s="1"/>
      <c r="F45" s="1"/>
      <c r="G45" s="1"/>
      <c r="H45" s="1"/>
    </row>
  </sheetData>
  <mergeCells count="17">
    <mergeCell ref="E29:F29"/>
    <mergeCell ref="A30:A37"/>
    <mergeCell ref="B39:H39"/>
    <mergeCell ref="E40:F40"/>
    <mergeCell ref="A41:A44"/>
    <mergeCell ref="B28:H28"/>
    <mergeCell ref="A1:S1"/>
    <mergeCell ref="A2:S2"/>
    <mergeCell ref="A3:S3"/>
    <mergeCell ref="A4:S4"/>
    <mergeCell ref="A5:S5"/>
    <mergeCell ref="B6:H6"/>
    <mergeCell ref="E7:F7"/>
    <mergeCell ref="A8:A15"/>
    <mergeCell ref="B17:H17"/>
    <mergeCell ref="E18:F18"/>
    <mergeCell ref="A19:A26"/>
  </mergeCells>
  <printOptions horizontalCentered="1" verticalCentered="1"/>
  <pageMargins left="0.23622047244094491" right="0.23622047244094491" top="0.74803149606299213" bottom="0.74803149606299213" header="0" footer="0"/>
  <pageSetup scale="58" orientation="landscape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S57"/>
  <sheetViews>
    <sheetView zoomScale="80" zoomScaleNormal="80" workbookViewId="0">
      <selection activeCell="L55" sqref="L55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30.5546875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541" t="e">
        <f>+'GRUPOS INFANTIL'!B1:H1</f>
        <v>#VALUE!</v>
      </c>
      <c r="B1" s="541"/>
      <c r="C1" s="541"/>
      <c r="D1" s="541"/>
      <c r="E1" s="541"/>
      <c r="F1" s="541"/>
      <c r="G1" s="541"/>
      <c r="H1" s="541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</row>
    <row r="2" spans="1:19" ht="28.8" x14ac:dyDescent="0.55000000000000004">
      <c r="A2" s="542" t="e">
        <f>+'GRUPOS INFANTIL'!B2:H2</f>
        <v>#VALUE!</v>
      </c>
      <c r="B2" s="542"/>
      <c r="C2" s="542"/>
      <c r="D2" s="542"/>
      <c r="E2" s="542"/>
      <c r="F2" s="542"/>
      <c r="G2" s="542"/>
      <c r="H2" s="542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</row>
    <row r="3" spans="1:19" ht="28.8" x14ac:dyDescent="0.55000000000000004">
      <c r="A3" s="542" t="str">
        <f>+'GRUPOS INFANTIL'!B3</f>
        <v>NACIDOS 2014 2015</v>
      </c>
      <c r="B3" s="542"/>
      <c r="C3" s="542"/>
      <c r="D3" s="542"/>
      <c r="E3" s="542"/>
      <c r="F3" s="542"/>
      <c r="G3" s="542"/>
      <c r="H3" s="542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</row>
    <row r="4" spans="1:19" ht="21" x14ac:dyDescent="0.4">
      <c r="A4" s="364" t="str">
        <f>+'GRUPOS INFANTIL'!B4</f>
        <v>SEPTIEMBRE 28 Y 29 DEL 2024</v>
      </c>
      <c r="B4" s="364"/>
      <c r="C4" s="364"/>
      <c r="D4" s="364"/>
      <c r="E4" s="364"/>
      <c r="F4" s="364"/>
      <c r="G4" s="364"/>
      <c r="H4" s="364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</row>
    <row r="5" spans="1:19" ht="21" x14ac:dyDescent="0.4">
      <c r="A5" s="364" t="s">
        <v>74</v>
      </c>
      <c r="B5" s="364"/>
      <c r="C5" s="364"/>
      <c r="D5" s="364"/>
      <c r="E5" s="364"/>
      <c r="F5" s="364"/>
      <c r="G5" s="364"/>
      <c r="H5" s="364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</row>
    <row r="6" spans="1:19" ht="21" hidden="1" customHeight="1" x14ac:dyDescent="0.3">
      <c r="A6"/>
      <c r="B6" s="538" t="str">
        <f>+IMPRIMIR!A14</f>
        <v>PARTIDOS                 fecha 1</v>
      </c>
      <c r="C6" s="539"/>
      <c r="D6" s="539"/>
      <c r="E6" s="539"/>
      <c r="F6" s="539"/>
      <c r="G6" s="539"/>
      <c r="H6" s="540"/>
      <c r="J6" s="174" t="str">
        <f>+'GRUPO A'!B4</f>
        <v>GRUPO A</v>
      </c>
      <c r="K6" s="174">
        <f>+'GRUPO A'!Q20</f>
        <v>0</v>
      </c>
      <c r="L6" s="174">
        <f>+'GRUPO A'!R20</f>
        <v>0</v>
      </c>
      <c r="M6" s="174">
        <f>+'GRUPO A'!S20</f>
        <v>0</v>
      </c>
      <c r="N6" s="174">
        <f>+'GRUPO A'!T20</f>
        <v>0</v>
      </c>
      <c r="O6" s="174">
        <f>+'GRUPO A'!U20</f>
        <v>0</v>
      </c>
      <c r="P6" s="174">
        <f>+'GRUPO A'!V20</f>
        <v>0</v>
      </c>
      <c r="Q6" s="174">
        <f>+'GRUPO A'!W20</f>
        <v>0</v>
      </c>
      <c r="R6" s="174">
        <f>+'GRUPO A'!X20</f>
        <v>0</v>
      </c>
      <c r="S6" s="174">
        <f>+'GRUPO A'!Y20</f>
        <v>0</v>
      </c>
    </row>
    <row r="7" spans="1:19" hidden="1" x14ac:dyDescent="0.3">
      <c r="B7" s="180" t="s">
        <v>69</v>
      </c>
      <c r="C7" s="180" t="s">
        <v>70</v>
      </c>
      <c r="D7" s="180" t="s">
        <v>71</v>
      </c>
      <c r="E7" s="543" t="s">
        <v>72</v>
      </c>
      <c r="F7" s="543"/>
      <c r="G7" s="180" t="s">
        <v>71</v>
      </c>
      <c r="H7" s="180" t="s">
        <v>73</v>
      </c>
      <c r="J7" s="175">
        <f>+'GRUPO A'!P22</f>
        <v>0</v>
      </c>
      <c r="K7" s="169">
        <f>+'GRUPO A'!Q22</f>
        <v>0</v>
      </c>
      <c r="L7" s="169">
        <f>+'GRUPO A'!R22</f>
        <v>0</v>
      </c>
      <c r="M7" s="169">
        <f>+'GRUPO A'!S22</f>
        <v>0</v>
      </c>
      <c r="N7" s="169">
        <f>+'GRUPO A'!T22</f>
        <v>0</v>
      </c>
      <c r="O7" s="169">
        <f>+'GRUPO A'!U22</f>
        <v>0</v>
      </c>
      <c r="P7" s="169">
        <f>+'GRUPO A'!V22</f>
        <v>0</v>
      </c>
      <c r="Q7" s="169">
        <f>+'GRUPO A'!W22</f>
        <v>0</v>
      </c>
      <c r="R7" s="169">
        <f>+'GRUPO A'!X22</f>
        <v>0</v>
      </c>
      <c r="S7" s="169">
        <f>+'GRUPO A'!Y22</f>
        <v>0</v>
      </c>
    </row>
    <row r="8" spans="1:19" ht="21" hidden="1" customHeight="1" x14ac:dyDescent="0.3">
      <c r="A8" s="544">
        <f>+'GRUPO A'!B20</f>
        <v>42812</v>
      </c>
      <c r="B8" s="169" t="str">
        <f>+'GRUPO A'!M20</f>
        <v>CANCHA 2</v>
      </c>
      <c r="C8" s="169" t="str">
        <f>+'GRUPO A'!C20</f>
        <v>07:15. a.m.</v>
      </c>
      <c r="D8" s="169" t="str">
        <f>+'GRUPO A'!E20</f>
        <v>AJAX AIMARA</v>
      </c>
      <c r="E8" s="169">
        <f>+'GRUPO A'!G20</f>
        <v>10</v>
      </c>
      <c r="F8" s="169">
        <f>+'GRUPO A'!I20</f>
        <v>0</v>
      </c>
      <c r="G8" s="169" t="str">
        <f>+'GRUPO A'!K20</f>
        <v>CLUB DEPORTIVO OS FUTSAL</v>
      </c>
      <c r="H8" s="169" t="str">
        <f>+'GRUPO A'!B4</f>
        <v>GRUPO A</v>
      </c>
      <c r="J8" s="175">
        <f>+'GRUPO A'!P24</f>
        <v>0</v>
      </c>
      <c r="K8" s="169">
        <f>+'GRUPO A'!Q24</f>
        <v>0</v>
      </c>
      <c r="L8" s="169">
        <f>+'GRUPO A'!R24</f>
        <v>0</v>
      </c>
      <c r="M8" s="169">
        <f>+'GRUPO A'!S24</f>
        <v>0</v>
      </c>
      <c r="N8" s="169">
        <f>+'GRUPO A'!T24</f>
        <v>0</v>
      </c>
      <c r="O8" s="169">
        <f>+'GRUPO A'!U24</f>
        <v>0</v>
      </c>
      <c r="P8" s="169">
        <f>+'GRUPO A'!V24</f>
        <v>0</v>
      </c>
      <c r="Q8" s="169">
        <f>+'GRUPO A'!W24</f>
        <v>0</v>
      </c>
      <c r="R8" s="169">
        <f>+'GRUPO A'!X24</f>
        <v>0</v>
      </c>
      <c r="S8" s="169">
        <f>+'GRUPO A'!Y24</f>
        <v>0</v>
      </c>
    </row>
    <row r="9" spans="1:19" ht="21" hidden="1" customHeight="1" x14ac:dyDescent="0.3">
      <c r="A9" s="545"/>
      <c r="B9" s="171" t="str">
        <f>+'GRUPO A'!M23</f>
        <v>LAS VEGAS</v>
      </c>
      <c r="C9" s="171" t="str">
        <f>+'GRUPO A'!C23</f>
        <v>08:20. a.m.</v>
      </c>
      <c r="D9" s="171" t="str">
        <f>+'GRUPO A'!E23</f>
        <v>ESCUELA DE FORMACION DEPORTIVA MARACANA</v>
      </c>
      <c r="E9" s="171">
        <f>+'GRUPO A'!G23</f>
        <v>3</v>
      </c>
      <c r="F9" s="171">
        <f>+'GRUPO A'!I23</f>
        <v>3</v>
      </c>
      <c r="G9" s="171" t="str">
        <f>+'GRUPO A'!K23</f>
        <v>CLUB LOS PAPETICOS</v>
      </c>
      <c r="H9" s="172" t="str">
        <f>+'GRUPO A'!B4</f>
        <v>GRUPO A</v>
      </c>
      <c r="J9" s="175">
        <f>+'GRUPO A'!P26</f>
        <v>0</v>
      </c>
      <c r="K9" s="169">
        <f>+'GRUPO A'!Q26</f>
        <v>0</v>
      </c>
      <c r="L9" s="169">
        <f>+'GRUPO A'!R26</f>
        <v>0</v>
      </c>
      <c r="M9" s="169">
        <f>+'GRUPO A'!S26</f>
        <v>0</v>
      </c>
      <c r="N9" s="169">
        <f>+'GRUPO A'!T26</f>
        <v>0</v>
      </c>
      <c r="O9" s="169">
        <f>+'GRUPO A'!U26</f>
        <v>0</v>
      </c>
      <c r="P9" s="169">
        <f>+'GRUPO A'!V26</f>
        <v>0</v>
      </c>
      <c r="Q9" s="169">
        <f>+'GRUPO A'!W26</f>
        <v>0</v>
      </c>
      <c r="R9" s="169">
        <f>+'GRUPO A'!X26</f>
        <v>0</v>
      </c>
      <c r="S9" s="169">
        <f>+'GRUPO A'!Y26</f>
        <v>0</v>
      </c>
    </row>
    <row r="10" spans="1:19" ht="21" hidden="1" customHeight="1" x14ac:dyDescent="0.3">
      <c r="A10" s="545"/>
      <c r="B10" s="169" t="str">
        <f>+'GRUPO B'!M20</f>
        <v>CANCHA 2</v>
      </c>
      <c r="C10" s="169" t="str">
        <f>+'GRUPO B'!C20</f>
        <v>12:00. m.d.</v>
      </c>
      <c r="D10" s="169" t="str">
        <f>+'GRUPO B'!E20</f>
        <v>ESCUELA DEPORTIVA FÚTBOL RAQUIRA</v>
      </c>
      <c r="E10" s="169">
        <f>+'GRUPO B'!G20</f>
        <v>0</v>
      </c>
      <c r="F10" s="169">
        <f>+'GRUPO B'!I20</f>
        <v>3</v>
      </c>
      <c r="G10" s="169" t="str">
        <f>+'GRUPO B'!K20</f>
        <v>TEMPLO DEL FÚTBOL</v>
      </c>
      <c r="H10" s="169" t="str">
        <f>+'GRUPO B'!B4</f>
        <v>GRUPO B</v>
      </c>
      <c r="J10" s="175">
        <f>+'GRUPO A'!P28</f>
        <v>0</v>
      </c>
      <c r="K10" s="169">
        <f>+'GRUPO A'!Q28</f>
        <v>0</v>
      </c>
      <c r="L10" s="169">
        <f>+'GRUPO A'!R28</f>
        <v>0</v>
      </c>
      <c r="M10" s="169">
        <f>+'GRUPO A'!S28</f>
        <v>0</v>
      </c>
      <c r="N10" s="169">
        <f>+'GRUPO A'!T28</f>
        <v>0</v>
      </c>
      <c r="O10" s="169">
        <f>+'GRUPO A'!U28</f>
        <v>0</v>
      </c>
      <c r="P10" s="169">
        <f>+'GRUPO A'!V28</f>
        <v>0</v>
      </c>
      <c r="Q10" s="169">
        <f>+'GRUPO A'!W28</f>
        <v>0</v>
      </c>
      <c r="R10" s="169">
        <f>+'GRUPO A'!X28</f>
        <v>0</v>
      </c>
      <c r="S10" s="169">
        <f>+'GRUPO A'!Y28</f>
        <v>0</v>
      </c>
    </row>
    <row r="11" spans="1:19" ht="21" hidden="1" customHeight="1" x14ac:dyDescent="0.3">
      <c r="A11" s="545"/>
      <c r="B11" s="171" t="str">
        <f>+'GRUPO B'!M23</f>
        <v>CANCHA 2</v>
      </c>
      <c r="C11" s="171" t="str">
        <f>+'GRUPO B'!C23</f>
        <v>01:10. p.m.</v>
      </c>
      <c r="D11" s="171" t="str">
        <f>+'GRUPO B'!E23</f>
        <v>CLUB CAMPESTRE IBAGUE</v>
      </c>
      <c r="E11" s="171">
        <f>+'GRUPO B'!G23</f>
        <v>3</v>
      </c>
      <c r="F11" s="171">
        <f>+'GRUPO B'!I23</f>
        <v>1</v>
      </c>
      <c r="G11" s="171" t="str">
        <f>+'GRUPO B'!K23</f>
        <v>CENTAUROS DEL ARIARI</v>
      </c>
      <c r="H11" s="172" t="str">
        <f>+'GRUPO B'!B4</f>
        <v>GRUPO B</v>
      </c>
    </row>
    <row r="12" spans="1:19" ht="21" hidden="1" customHeight="1" x14ac:dyDescent="0.3">
      <c r="A12" s="545"/>
      <c r="B12" s="169" t="e">
        <f>+#REF!</f>
        <v>#REF!</v>
      </c>
      <c r="C12" s="169" t="e">
        <f>+#REF!</f>
        <v>#REF!</v>
      </c>
      <c r="D12" s="169" t="e">
        <f>+#REF!</f>
        <v>#REF!</v>
      </c>
      <c r="E12" s="169" t="e">
        <f>+#REF!</f>
        <v>#REF!</v>
      </c>
      <c r="F12" s="169" t="e">
        <f>+#REF!</f>
        <v>#REF!</v>
      </c>
      <c r="G12" s="169" t="e">
        <f>+#REF!</f>
        <v>#REF!</v>
      </c>
      <c r="H12" s="169" t="e">
        <f>+#REF!</f>
        <v>#REF!</v>
      </c>
      <c r="J12" s="173" t="str">
        <f>+'GRUPO B'!B4</f>
        <v>GRUPO B</v>
      </c>
      <c r="K12" s="173" t="str">
        <f>+'GRUPO B'!Q8</f>
        <v>Pts.</v>
      </c>
      <c r="L12" s="173" t="str">
        <f>+'GRUPO B'!R8</f>
        <v>PJ</v>
      </c>
      <c r="M12" s="173" t="str">
        <f>+'GRUPO B'!S8</f>
        <v>Gan.</v>
      </c>
      <c r="N12" s="173" t="str">
        <f>+'GRUPO B'!T8</f>
        <v>Emp.</v>
      </c>
      <c r="O12" s="173" t="str">
        <f>+'GRUPO B'!U8</f>
        <v>Per.</v>
      </c>
      <c r="P12" s="173" t="str">
        <f>+'GRUPO B'!V8</f>
        <v>GF</v>
      </c>
      <c r="Q12" s="173" t="str">
        <f>+'GRUPO B'!W8</f>
        <v>GC</v>
      </c>
      <c r="R12" s="173" t="str">
        <f>+'GRUPO B'!X8</f>
        <v>Dif.</v>
      </c>
      <c r="S12" s="173" t="str">
        <f>+'GRUPO B'!Y8</f>
        <v>Tj</v>
      </c>
    </row>
    <row r="13" spans="1:19" ht="21" hidden="1" customHeight="1" x14ac:dyDescent="0.3">
      <c r="A13" s="545"/>
      <c r="B13" s="171" t="e">
        <f>+#REF!</f>
        <v>#REF!</v>
      </c>
      <c r="C13" s="171" t="e">
        <f>+#REF!</f>
        <v>#REF!</v>
      </c>
      <c r="D13" s="171" t="e">
        <f>+#REF!</f>
        <v>#REF!</v>
      </c>
      <c r="E13" s="171" t="e">
        <f>+#REF!</f>
        <v>#REF!</v>
      </c>
      <c r="F13" s="171" t="e">
        <f>+#REF!</f>
        <v>#REF!</v>
      </c>
      <c r="G13" s="171" t="e">
        <f>+#REF!</f>
        <v>#REF!</v>
      </c>
      <c r="H13" s="172" t="e">
        <f>+#REF!</f>
        <v>#REF!</v>
      </c>
      <c r="J13" s="175" t="str">
        <f>+'GRUPO B'!P10</f>
        <v xml:space="preserve">  1)  TEMPLO DEL FÚTBOL</v>
      </c>
      <c r="K13" s="169">
        <f>+'GRUPO B'!Q10</f>
        <v>7</v>
      </c>
      <c r="L13" s="169">
        <f>+'GRUPO B'!R10</f>
        <v>3</v>
      </c>
      <c r="M13" s="169">
        <f>+'GRUPO B'!S10</f>
        <v>2</v>
      </c>
      <c r="N13" s="169">
        <f>+'GRUPO B'!T10</f>
        <v>1</v>
      </c>
      <c r="O13" s="169">
        <f>+'GRUPO B'!U10</f>
        <v>0</v>
      </c>
      <c r="P13" s="169">
        <f>+'GRUPO B'!V10</f>
        <v>9</v>
      </c>
      <c r="Q13" s="169">
        <f>+'GRUPO B'!W10</f>
        <v>1</v>
      </c>
      <c r="R13" s="169">
        <f>+'GRUPO B'!X10</f>
        <v>8</v>
      </c>
      <c r="S13" s="169">
        <f>+'GRUPO B'!Y10</f>
        <v>0</v>
      </c>
    </row>
    <row r="14" spans="1:19" ht="21" hidden="1" customHeight="1" x14ac:dyDescent="0.3">
      <c r="A14" s="545"/>
      <c r="B14" s="169" t="e">
        <f>+#REF!</f>
        <v>#REF!</v>
      </c>
      <c r="C14" s="169" t="e">
        <f>+#REF!</f>
        <v>#REF!</v>
      </c>
      <c r="D14" s="169" t="e">
        <f>+#REF!</f>
        <v>#REF!</v>
      </c>
      <c r="E14" s="169" t="e">
        <f>+#REF!</f>
        <v>#REF!</v>
      </c>
      <c r="F14" s="169" t="e">
        <f>+#REF!</f>
        <v>#REF!</v>
      </c>
      <c r="G14" s="169" t="e">
        <f>+#REF!</f>
        <v>#REF!</v>
      </c>
      <c r="H14" s="169" t="e">
        <f>+#REF!</f>
        <v>#REF!</v>
      </c>
      <c r="J14" s="175" t="str">
        <f>+'GRUPO B'!P12</f>
        <v xml:space="preserve">  2)  CLUB CAMPESTRE IBAGUE</v>
      </c>
      <c r="K14" s="169">
        <f>+'GRUPO B'!Q12</f>
        <v>7</v>
      </c>
      <c r="L14" s="169">
        <f>+'GRUPO B'!R12</f>
        <v>3</v>
      </c>
      <c r="M14" s="169">
        <f>+'GRUPO B'!S12</f>
        <v>2</v>
      </c>
      <c r="N14" s="169">
        <f>+'GRUPO B'!T12</f>
        <v>1</v>
      </c>
      <c r="O14" s="169">
        <f>+'GRUPO B'!U12</f>
        <v>0</v>
      </c>
      <c r="P14" s="169">
        <f>+'GRUPO B'!V12</f>
        <v>9</v>
      </c>
      <c r="Q14" s="169">
        <f>+'GRUPO B'!W12</f>
        <v>3</v>
      </c>
      <c r="R14" s="169">
        <f>+'GRUPO B'!X12</f>
        <v>6</v>
      </c>
      <c r="S14" s="169">
        <f>+'GRUPO B'!Y12</f>
        <v>0</v>
      </c>
    </row>
    <row r="15" spans="1:19" ht="21" hidden="1" customHeight="1" x14ac:dyDescent="0.3">
      <c r="A15" s="545"/>
      <c r="B15" s="171" t="e">
        <f>+#REF!</f>
        <v>#REF!</v>
      </c>
      <c r="C15" s="171" t="e">
        <f>+#REF!</f>
        <v>#REF!</v>
      </c>
      <c r="D15" s="171" t="e">
        <f>+#REF!</f>
        <v>#REF!</v>
      </c>
      <c r="E15" s="171" t="e">
        <f>+#REF!</f>
        <v>#REF!</v>
      </c>
      <c r="F15" s="171" t="e">
        <f>+#REF!</f>
        <v>#REF!</v>
      </c>
      <c r="G15" s="171" t="e">
        <f>+#REF!</f>
        <v>#REF!</v>
      </c>
      <c r="H15" s="172" t="e">
        <f>+#REF!</f>
        <v>#REF!</v>
      </c>
      <c r="J15" s="175" t="str">
        <f>+'GRUPO B'!P14</f>
        <v xml:space="preserve">  3)  ESCUELA DEPORTIVA FÚTBOL RAQUIRA</v>
      </c>
      <c r="K15" s="169">
        <f>+'GRUPO B'!Q14</f>
        <v>0</v>
      </c>
      <c r="L15" s="169">
        <f>+'GRUPO B'!R14</f>
        <v>3</v>
      </c>
      <c r="M15" s="169">
        <f>+'GRUPO B'!S14</f>
        <v>0</v>
      </c>
      <c r="N15" s="169">
        <f>+'GRUPO B'!T14</f>
        <v>0</v>
      </c>
      <c r="O15" s="169">
        <f>+'GRUPO B'!U14</f>
        <v>3</v>
      </c>
      <c r="P15" s="169">
        <f>+'GRUPO B'!V14</f>
        <v>2</v>
      </c>
      <c r="Q15" s="169">
        <f>+'GRUPO B'!W14</f>
        <v>10</v>
      </c>
      <c r="R15" s="169">
        <f>+'GRUPO B'!X14</f>
        <v>-8</v>
      </c>
      <c r="S15" s="169">
        <f>+'GRUPO B'!Y14</f>
        <v>0</v>
      </c>
    </row>
    <row r="16" spans="1:19" ht="2.25" hidden="1" customHeight="1" x14ac:dyDescent="0.3">
      <c r="J16" s="183"/>
    </row>
    <row r="17" spans="1:19" ht="21" hidden="1" customHeight="1" x14ac:dyDescent="0.3">
      <c r="B17" s="546" t="str">
        <f>+'IMPRIMIR 2'!A14</f>
        <v>PARTIDOS                 fecha 2</v>
      </c>
      <c r="C17" s="547"/>
      <c r="D17" s="547"/>
      <c r="E17" s="547"/>
      <c r="F17" s="547"/>
      <c r="G17" s="547"/>
      <c r="H17" s="548"/>
      <c r="J17" s="175">
        <f>+'GRUPO B'!P16</f>
        <v>0</v>
      </c>
      <c r="K17" s="169">
        <f>+'GRUPO B'!Q16</f>
        <v>0</v>
      </c>
      <c r="L17" s="169">
        <f>+'GRUPO B'!R16</f>
        <v>0</v>
      </c>
      <c r="M17" s="169">
        <f>+'GRUPO B'!S16</f>
        <v>0</v>
      </c>
      <c r="N17" s="169">
        <f>+'GRUPO B'!T16</f>
        <v>0</v>
      </c>
      <c r="O17" s="169">
        <f>+'GRUPO B'!U16</f>
        <v>0</v>
      </c>
      <c r="P17" s="169">
        <f>+'GRUPO B'!V16</f>
        <v>0</v>
      </c>
      <c r="Q17" s="169">
        <f>+'GRUPO B'!W16</f>
        <v>0</v>
      </c>
      <c r="R17" s="169">
        <f>+'GRUPO B'!X16</f>
        <v>0</v>
      </c>
      <c r="S17" s="169">
        <f>+'GRUPO B'!Y16</f>
        <v>0</v>
      </c>
    </row>
    <row r="18" spans="1:19" ht="21" hidden="1" customHeight="1" x14ac:dyDescent="0.3">
      <c r="B18" s="180" t="s">
        <v>69</v>
      </c>
      <c r="C18" s="180" t="s">
        <v>70</v>
      </c>
      <c r="D18" s="180" t="s">
        <v>71</v>
      </c>
      <c r="E18" s="543" t="s">
        <v>72</v>
      </c>
      <c r="F18" s="543"/>
      <c r="G18" s="180" t="s">
        <v>71</v>
      </c>
      <c r="H18" s="180" t="s">
        <v>73</v>
      </c>
    </row>
    <row r="19" spans="1:19" ht="21" hidden="1" customHeight="1" x14ac:dyDescent="0.3">
      <c r="A19" s="544">
        <f>+'GRUPO A'!B26</f>
        <v>42812</v>
      </c>
      <c r="B19" s="169" t="str">
        <f>+'GRUPO A'!M26</f>
        <v>LAS VEGAS</v>
      </c>
      <c r="C19" s="169" t="str">
        <f>+'GRUPO A'!C26</f>
        <v>03:00. p.m.</v>
      </c>
      <c r="D19" s="169" t="str">
        <f>+'GRUPO A'!E26</f>
        <v>AJAX AIMARA</v>
      </c>
      <c r="E19" s="169">
        <f>+'GRUPO A'!G26</f>
        <v>1</v>
      </c>
      <c r="F19" s="169">
        <f>+'GRUPO A'!I26</f>
        <v>2</v>
      </c>
      <c r="G19" s="169" t="str">
        <f>+'GRUPO A'!K26</f>
        <v>ESCUELA DE FORMACION DEPORTIVA MARACANA</v>
      </c>
      <c r="H19" s="170" t="str">
        <f>+'GRUPO A'!B4</f>
        <v>GRUPO A</v>
      </c>
      <c r="J19" s="176" t="e">
        <f>+#REF!</f>
        <v>#REF!</v>
      </c>
      <c r="K19" s="177" t="e">
        <f>+#REF!</f>
        <v>#REF!</v>
      </c>
      <c r="L19" s="177" t="e">
        <f>+#REF!</f>
        <v>#REF!</v>
      </c>
      <c r="M19" s="177" t="e">
        <f>+#REF!</f>
        <v>#REF!</v>
      </c>
      <c r="N19" s="177" t="e">
        <f>+#REF!</f>
        <v>#REF!</v>
      </c>
      <c r="O19" s="177" t="e">
        <f>+#REF!</f>
        <v>#REF!</v>
      </c>
      <c r="P19" s="177" t="e">
        <f>+#REF!</f>
        <v>#REF!</v>
      </c>
      <c r="Q19" s="177" t="e">
        <f>+#REF!</f>
        <v>#REF!</v>
      </c>
      <c r="R19" s="177" t="e">
        <f>+#REF!</f>
        <v>#REF!</v>
      </c>
      <c r="S19" s="177" t="e">
        <f>+#REF!</f>
        <v>#REF!</v>
      </c>
    </row>
    <row r="20" spans="1:19" ht="21" hidden="1" customHeight="1" x14ac:dyDescent="0.3">
      <c r="A20" s="545"/>
      <c r="B20" s="171" t="str">
        <f>+'GRUPO A'!M29</f>
        <v>LAS VEGAS</v>
      </c>
      <c r="C20" s="171" t="str">
        <f>+'GRUPO A'!C29</f>
        <v>04:00. p.m.</v>
      </c>
      <c r="D20" s="171" t="str">
        <f>+'GRUPO A'!E29</f>
        <v>CLUB DEPORTIVO OS FUTSAL</v>
      </c>
      <c r="E20" s="171">
        <f>+'GRUPO A'!G29</f>
        <v>2</v>
      </c>
      <c r="F20" s="171">
        <f>+'GRUPO A'!I29</f>
        <v>10</v>
      </c>
      <c r="G20" s="171" t="str">
        <f>+'GRUPO A'!K29</f>
        <v>CLUB LOS PAPETICOS</v>
      </c>
      <c r="H20" s="172" t="str">
        <f>+'GRUPO A'!B4</f>
        <v>GRUPO A</v>
      </c>
      <c r="J20" s="175" t="e">
        <f>+#REF!</f>
        <v>#REF!</v>
      </c>
      <c r="K20" s="169" t="e">
        <f>+#REF!</f>
        <v>#REF!</v>
      </c>
      <c r="L20" s="169" t="e">
        <f>+#REF!</f>
        <v>#REF!</v>
      </c>
      <c r="M20" s="169" t="e">
        <f>+#REF!</f>
        <v>#REF!</v>
      </c>
      <c r="N20" s="169" t="e">
        <f>+#REF!</f>
        <v>#REF!</v>
      </c>
      <c r="O20" s="169" t="e">
        <f>+#REF!</f>
        <v>#REF!</v>
      </c>
      <c r="P20" s="169" t="e">
        <f>+#REF!</f>
        <v>#REF!</v>
      </c>
      <c r="Q20" s="169" t="e">
        <f>+#REF!</f>
        <v>#REF!</v>
      </c>
      <c r="R20" s="169" t="e">
        <f>+#REF!</f>
        <v>#REF!</v>
      </c>
      <c r="S20" s="169" t="e">
        <f>+#REF!</f>
        <v>#REF!</v>
      </c>
    </row>
    <row r="21" spans="1:19" ht="21" hidden="1" customHeight="1" x14ac:dyDescent="0.3">
      <c r="A21" s="545"/>
      <c r="B21" s="169" t="str">
        <f>+'GRUPO B'!M26</f>
        <v>CANCHA 1</v>
      </c>
      <c r="C21" s="169" t="str">
        <f>+'GRUPO B'!C26</f>
        <v>09:50. a.m.</v>
      </c>
      <c r="D21" s="169" t="str">
        <f>+'GRUPO B'!E26</f>
        <v>ESCUELA DEPORTIVA FÚTBOL RAQUIRA</v>
      </c>
      <c r="E21" s="169">
        <f>+'GRUPO B'!G26</f>
        <v>2</v>
      </c>
      <c r="F21" s="169">
        <f>+'GRUPO B'!I26</f>
        <v>6</v>
      </c>
      <c r="G21" s="169" t="str">
        <f>+'GRUPO B'!K26</f>
        <v>CLUB CAMPESTRE IBAGUE</v>
      </c>
      <c r="H21" s="170" t="str">
        <f>+'GRUPO B'!B4</f>
        <v>GRUPO B</v>
      </c>
      <c r="J21" s="175" t="e">
        <f>+#REF!</f>
        <v>#REF!</v>
      </c>
      <c r="K21" s="169" t="e">
        <f>+#REF!</f>
        <v>#REF!</v>
      </c>
      <c r="L21" s="169" t="e">
        <f>+#REF!</f>
        <v>#REF!</v>
      </c>
      <c r="M21" s="169" t="e">
        <f>+#REF!</f>
        <v>#REF!</v>
      </c>
      <c r="N21" s="169" t="e">
        <f>+#REF!</f>
        <v>#REF!</v>
      </c>
      <c r="O21" s="169" t="e">
        <f>+#REF!</f>
        <v>#REF!</v>
      </c>
      <c r="P21" s="169" t="e">
        <f>+#REF!</f>
        <v>#REF!</v>
      </c>
      <c r="Q21" s="169" t="e">
        <f>+#REF!</f>
        <v>#REF!</v>
      </c>
      <c r="R21" s="169" t="e">
        <f>+#REF!</f>
        <v>#REF!</v>
      </c>
      <c r="S21" s="169" t="e">
        <f>+#REF!</f>
        <v>#REF!</v>
      </c>
    </row>
    <row r="22" spans="1:19" ht="21" hidden="1" customHeight="1" x14ac:dyDescent="0.3">
      <c r="A22" s="545"/>
      <c r="B22" s="171" t="str">
        <f>+'GRUPO B'!M29</f>
        <v>CANCHA 1</v>
      </c>
      <c r="C22" s="171" t="str">
        <f>+'GRUPO B'!C29</f>
        <v>10:50. a.m.</v>
      </c>
      <c r="D22" s="171" t="str">
        <f>+'GRUPO B'!E29</f>
        <v>TEMPLO DEL FÚTBOL</v>
      </c>
      <c r="E22" s="171">
        <f>+'GRUPO B'!G29</f>
        <v>6</v>
      </c>
      <c r="F22" s="171">
        <f>+'GRUPO B'!I29</f>
        <v>1</v>
      </c>
      <c r="G22" s="171" t="str">
        <f>+'GRUPO B'!K29</f>
        <v>EIFD TESOROS SPORTS</v>
      </c>
      <c r="H22" s="172" t="str">
        <f>+'GRUPO B'!B4</f>
        <v>GRUPO B</v>
      </c>
      <c r="J22" s="175" t="e">
        <f>+#REF!</f>
        <v>#REF!</v>
      </c>
      <c r="K22" s="169" t="e">
        <f>+#REF!</f>
        <v>#REF!</v>
      </c>
      <c r="L22" s="169" t="e">
        <f>+#REF!</f>
        <v>#REF!</v>
      </c>
      <c r="M22" s="169" t="e">
        <f>+#REF!</f>
        <v>#REF!</v>
      </c>
      <c r="N22" s="169" t="e">
        <f>+#REF!</f>
        <v>#REF!</v>
      </c>
      <c r="O22" s="169" t="e">
        <f>+#REF!</f>
        <v>#REF!</v>
      </c>
      <c r="P22" s="169" t="e">
        <f>+#REF!</f>
        <v>#REF!</v>
      </c>
      <c r="Q22" s="169" t="e">
        <f>+#REF!</f>
        <v>#REF!</v>
      </c>
      <c r="R22" s="169" t="e">
        <f>+#REF!</f>
        <v>#REF!</v>
      </c>
      <c r="S22" s="169" t="e">
        <f>+#REF!</f>
        <v>#REF!</v>
      </c>
    </row>
    <row r="23" spans="1:19" ht="21" hidden="1" customHeight="1" x14ac:dyDescent="0.3">
      <c r="A23" s="545"/>
      <c r="B23" s="169" t="e">
        <f>+#REF!</f>
        <v>#REF!</v>
      </c>
      <c r="C23" s="169" t="e">
        <f>+#REF!</f>
        <v>#REF!</v>
      </c>
      <c r="D23" s="169" t="e">
        <f>+#REF!</f>
        <v>#REF!</v>
      </c>
      <c r="E23" s="169" t="e">
        <f>+#REF!</f>
        <v>#REF!</v>
      </c>
      <c r="F23" s="169" t="e">
        <f>+#REF!</f>
        <v>#REF!</v>
      </c>
      <c r="G23" s="169" t="e">
        <f>+#REF!</f>
        <v>#REF!</v>
      </c>
      <c r="H23" s="169" t="e">
        <f>+#REF!</f>
        <v>#REF!</v>
      </c>
      <c r="J23" s="175" t="e">
        <f>+#REF!</f>
        <v>#REF!</v>
      </c>
      <c r="K23" s="169" t="e">
        <f>+#REF!</f>
        <v>#REF!</v>
      </c>
      <c r="L23" s="169" t="e">
        <f>+#REF!</f>
        <v>#REF!</v>
      </c>
      <c r="M23" s="169" t="e">
        <f>+#REF!</f>
        <v>#REF!</v>
      </c>
      <c r="N23" s="169" t="e">
        <f>+#REF!</f>
        <v>#REF!</v>
      </c>
      <c r="O23" s="169" t="e">
        <f>+#REF!</f>
        <v>#REF!</v>
      </c>
      <c r="P23" s="169" t="e">
        <f>+#REF!</f>
        <v>#REF!</v>
      </c>
      <c r="Q23" s="169" t="e">
        <f>+#REF!</f>
        <v>#REF!</v>
      </c>
      <c r="R23" s="169" t="e">
        <f>+#REF!</f>
        <v>#REF!</v>
      </c>
      <c r="S23" s="169" t="e">
        <f>+#REF!</f>
        <v>#REF!</v>
      </c>
    </row>
    <row r="24" spans="1:19" ht="21" hidden="1" customHeight="1" x14ac:dyDescent="0.3">
      <c r="A24" s="545"/>
      <c r="B24" s="171" t="e">
        <f>+#REF!</f>
        <v>#REF!</v>
      </c>
      <c r="C24" s="171" t="e">
        <f>+#REF!</f>
        <v>#REF!</v>
      </c>
      <c r="D24" s="171" t="e">
        <f>+#REF!</f>
        <v>#REF!</v>
      </c>
      <c r="E24" s="171" t="e">
        <f>+#REF!</f>
        <v>#REF!</v>
      </c>
      <c r="F24" s="171" t="e">
        <f>+#REF!</f>
        <v>#REF!</v>
      </c>
      <c r="G24" s="171" t="e">
        <f>+#REF!</f>
        <v>#REF!</v>
      </c>
      <c r="H24" s="172" t="e">
        <f>+#REF!</f>
        <v>#REF!</v>
      </c>
      <c r="J24"/>
      <c r="K24"/>
      <c r="L24"/>
      <c r="M24"/>
      <c r="N24"/>
      <c r="O24"/>
      <c r="P24"/>
      <c r="Q24"/>
      <c r="R24"/>
      <c r="S24"/>
    </row>
    <row r="25" spans="1:19" ht="21" hidden="1" customHeight="1" x14ac:dyDescent="0.3">
      <c r="A25" s="545"/>
      <c r="B25" s="169" t="e">
        <f>+#REF!</f>
        <v>#REF!</v>
      </c>
      <c r="C25" s="169" t="e">
        <f>+#REF!</f>
        <v>#REF!</v>
      </c>
      <c r="D25" s="169" t="e">
        <f>+#REF!</f>
        <v>#REF!</v>
      </c>
      <c r="E25" s="169" t="e">
        <f>+#REF!</f>
        <v>#REF!</v>
      </c>
      <c r="F25" s="169" t="e">
        <f>+#REF!</f>
        <v>#REF!</v>
      </c>
      <c r="G25" s="169" t="e">
        <f>+#REF!</f>
        <v>#REF!</v>
      </c>
      <c r="H25" s="169" t="e">
        <f>+#REF!</f>
        <v>#REF!</v>
      </c>
      <c r="J25" s="178" t="e">
        <f>+#REF!</f>
        <v>#REF!</v>
      </c>
      <c r="K25" s="179" t="e">
        <f>+#REF!</f>
        <v>#REF!</v>
      </c>
      <c r="L25" s="179" t="e">
        <f>+#REF!</f>
        <v>#REF!</v>
      </c>
      <c r="M25" s="179" t="e">
        <f>+#REF!</f>
        <v>#REF!</v>
      </c>
      <c r="N25" s="179" t="e">
        <f>+#REF!</f>
        <v>#REF!</v>
      </c>
      <c r="O25" s="179" t="e">
        <f>+#REF!</f>
        <v>#REF!</v>
      </c>
      <c r="P25" s="179" t="e">
        <f>+#REF!</f>
        <v>#REF!</v>
      </c>
      <c r="Q25" s="179" t="e">
        <f>+#REF!</f>
        <v>#REF!</v>
      </c>
      <c r="R25" s="179" t="e">
        <f>+#REF!</f>
        <v>#REF!</v>
      </c>
      <c r="S25" s="179" t="e">
        <f>+#REF!</f>
        <v>#REF!</v>
      </c>
    </row>
    <row r="26" spans="1:19" ht="21" hidden="1" customHeight="1" x14ac:dyDescent="0.3">
      <c r="A26" s="545"/>
      <c r="B26" s="171" t="e">
        <f>+#REF!</f>
        <v>#REF!</v>
      </c>
      <c r="C26" s="171" t="e">
        <f>+#REF!</f>
        <v>#REF!</v>
      </c>
      <c r="D26" s="171" t="e">
        <f>+#REF!</f>
        <v>#REF!</v>
      </c>
      <c r="E26" s="171" t="e">
        <f>+#REF!</f>
        <v>#REF!</v>
      </c>
      <c r="F26" s="171" t="e">
        <f>+#REF!</f>
        <v>#REF!</v>
      </c>
      <c r="G26" s="171" t="e">
        <f>+#REF!</f>
        <v>#REF!</v>
      </c>
      <c r="H26" s="172" t="e">
        <f>+#REF!</f>
        <v>#REF!</v>
      </c>
      <c r="J26" s="175" t="e">
        <f>+#REF!</f>
        <v>#REF!</v>
      </c>
      <c r="K26" s="169" t="e">
        <f>+#REF!</f>
        <v>#REF!</v>
      </c>
      <c r="L26" s="169" t="e">
        <f>+#REF!</f>
        <v>#REF!</v>
      </c>
      <c r="M26" s="169" t="e">
        <f>+#REF!</f>
        <v>#REF!</v>
      </c>
      <c r="N26" s="169" t="e">
        <f>+#REF!</f>
        <v>#REF!</v>
      </c>
      <c r="O26" s="169" t="e">
        <f>+#REF!</f>
        <v>#REF!</v>
      </c>
      <c r="P26" s="169" t="e">
        <f>+#REF!</f>
        <v>#REF!</v>
      </c>
      <c r="Q26" s="169" t="e">
        <f>+#REF!</f>
        <v>#REF!</v>
      </c>
      <c r="R26" s="169" t="e">
        <f>+#REF!</f>
        <v>#REF!</v>
      </c>
      <c r="S26" s="169" t="e">
        <f>+#REF!</f>
        <v>#REF!</v>
      </c>
    </row>
    <row r="27" spans="1:19" ht="3" hidden="1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hidden="1" customHeight="1" x14ac:dyDescent="0.3">
      <c r="B28" s="538" t="str">
        <f>+'IMPRIMIR 3'!A17</f>
        <v>PARTIDOS                 fecha 3 ULTIMA</v>
      </c>
      <c r="C28" s="539"/>
      <c r="D28" s="539"/>
      <c r="E28" s="539"/>
      <c r="F28" s="539"/>
      <c r="G28" s="539"/>
      <c r="H28" s="540"/>
      <c r="J28" s="175" t="e">
        <f>+#REF!</f>
        <v>#REF!</v>
      </c>
      <c r="K28" s="169" t="e">
        <f>+#REF!</f>
        <v>#REF!</v>
      </c>
      <c r="L28" s="169" t="e">
        <f>+#REF!</f>
        <v>#REF!</v>
      </c>
      <c r="M28" s="169" t="e">
        <f>+#REF!</f>
        <v>#REF!</v>
      </c>
      <c r="N28" s="169" t="e">
        <f>+#REF!</f>
        <v>#REF!</v>
      </c>
      <c r="O28" s="169" t="e">
        <f>+#REF!</f>
        <v>#REF!</v>
      </c>
      <c r="P28" s="169" t="e">
        <f>+#REF!</f>
        <v>#REF!</v>
      </c>
      <c r="Q28" s="169" t="e">
        <f>+#REF!</f>
        <v>#REF!</v>
      </c>
      <c r="R28" s="169" t="e">
        <f>+#REF!</f>
        <v>#REF!</v>
      </c>
      <c r="S28" s="169" t="e">
        <f>+#REF!</f>
        <v>#REF!</v>
      </c>
    </row>
    <row r="29" spans="1:19" ht="21" hidden="1" customHeight="1" x14ac:dyDescent="0.3">
      <c r="B29" s="180" t="s">
        <v>69</v>
      </c>
      <c r="C29" s="180" t="s">
        <v>70</v>
      </c>
      <c r="D29" s="180" t="s">
        <v>71</v>
      </c>
      <c r="E29" s="543" t="s">
        <v>72</v>
      </c>
      <c r="F29" s="543"/>
      <c r="G29" s="180" t="s">
        <v>71</v>
      </c>
      <c r="H29" s="180" t="s">
        <v>73</v>
      </c>
      <c r="J29" s="175" t="e">
        <f>+#REF!</f>
        <v>#REF!</v>
      </c>
      <c r="K29" s="169" t="e">
        <f>+#REF!</f>
        <v>#REF!</v>
      </c>
      <c r="L29" s="169" t="e">
        <f>+#REF!</f>
        <v>#REF!</v>
      </c>
      <c r="M29" s="169" t="e">
        <f>+#REF!</f>
        <v>#REF!</v>
      </c>
      <c r="N29" s="169" t="e">
        <f>+#REF!</f>
        <v>#REF!</v>
      </c>
      <c r="O29" s="169" t="e">
        <f>+#REF!</f>
        <v>#REF!</v>
      </c>
      <c r="P29" s="169" t="e">
        <f>+#REF!</f>
        <v>#REF!</v>
      </c>
      <c r="Q29" s="169" t="e">
        <f>+#REF!</f>
        <v>#REF!</v>
      </c>
      <c r="R29" s="169" t="e">
        <f>+#REF!</f>
        <v>#REF!</v>
      </c>
      <c r="S29" s="169" t="e">
        <f>+#REF!</f>
        <v>#REF!</v>
      </c>
    </row>
    <row r="30" spans="1:19" ht="21" hidden="1" customHeight="1" x14ac:dyDescent="0.3">
      <c r="A30" s="544">
        <f>+'GRUPO A'!B32</f>
        <v>42813</v>
      </c>
      <c r="B30" s="169" t="str">
        <f>+'GRUPO A'!M32</f>
        <v>CANCHA 2</v>
      </c>
      <c r="C30" s="169" t="str">
        <f>+'GRUPO A'!C32</f>
        <v>01:15. p.m.</v>
      </c>
      <c r="D30" s="169" t="str">
        <f>+'GRUPO A'!E32</f>
        <v>CLUB DEPORTIVO OS FUTSAL</v>
      </c>
      <c r="E30" s="169">
        <f>+'GRUPO A'!G32</f>
        <v>0</v>
      </c>
      <c r="F30" s="169">
        <f>+'GRUPO A'!I32</f>
        <v>8</v>
      </c>
      <c r="G30" s="169" t="str">
        <f>+'GRUPO A'!K32</f>
        <v>ESCUELA DE FORMACION DEPORTIVA MARACANA</v>
      </c>
      <c r="H30" s="170" t="str">
        <f>+'GRUPO A'!B4</f>
        <v>GRUPO A</v>
      </c>
      <c r="J30" s="175" t="e">
        <f>+#REF!</f>
        <v>#REF!</v>
      </c>
      <c r="K30" s="169" t="e">
        <f>+#REF!</f>
        <v>#REF!</v>
      </c>
      <c r="L30" s="169" t="e">
        <f>+#REF!</f>
        <v>#REF!</v>
      </c>
      <c r="M30" s="169" t="e">
        <f>+#REF!</f>
        <v>#REF!</v>
      </c>
      <c r="N30" s="169" t="e">
        <f>+#REF!</f>
        <v>#REF!</v>
      </c>
      <c r="O30" s="169" t="e">
        <f>+#REF!</f>
        <v>#REF!</v>
      </c>
      <c r="P30" s="169" t="e">
        <f>+#REF!</f>
        <v>#REF!</v>
      </c>
      <c r="Q30" s="169" t="e">
        <f>+#REF!</f>
        <v>#REF!</v>
      </c>
      <c r="R30" s="169" t="e">
        <f>+#REF!</f>
        <v>#REF!</v>
      </c>
      <c r="S30" s="169" t="e">
        <f>+#REF!</f>
        <v>#REF!</v>
      </c>
    </row>
    <row r="31" spans="1:19" ht="21" hidden="1" customHeight="1" x14ac:dyDescent="0.3">
      <c r="A31" s="545"/>
      <c r="B31" s="171" t="str">
        <f>+'GRUPO A'!M35</f>
        <v>CANCHA 1</v>
      </c>
      <c r="C31" s="171" t="str">
        <f>+'GRUPO A'!C35</f>
        <v>02:30. p.m.</v>
      </c>
      <c r="D31" s="171" t="str">
        <f>+'GRUPO A'!E35</f>
        <v>AJAX AIMARA</v>
      </c>
      <c r="E31" s="171">
        <f>+'GRUPO A'!G35</f>
        <v>2</v>
      </c>
      <c r="F31" s="171">
        <f>+'GRUPO A'!I35</f>
        <v>7</v>
      </c>
      <c r="G31" s="171" t="str">
        <f>+'GRUPO A'!K35</f>
        <v>CLUB LOS PAPETICOS</v>
      </c>
      <c r="H31" s="172" t="str">
        <f>+'GRUPO A'!B4</f>
        <v>GRUPO A</v>
      </c>
    </row>
    <row r="32" spans="1:19" ht="21" hidden="1" customHeight="1" x14ac:dyDescent="0.3">
      <c r="A32" s="545"/>
      <c r="B32" s="169" t="str">
        <f>+'GRUPO B'!M32</f>
        <v>CANCHA 1</v>
      </c>
      <c r="C32" s="169" t="str">
        <f>+'GRUPO B'!C32</f>
        <v>04:30. p.m.</v>
      </c>
      <c r="D32" s="169" t="str">
        <f>+'GRUPO B'!E32</f>
        <v>ESCUELA DEPORTIVA FÚTBOL RAQUIRA</v>
      </c>
      <c r="E32" s="169">
        <f>+'GRUPO B'!G32</f>
        <v>0</v>
      </c>
      <c r="F32" s="169">
        <f>+'GRUPO B'!I32</f>
        <v>1</v>
      </c>
      <c r="G32" s="169" t="str">
        <f>+'GRUPO B'!K32</f>
        <v>BLUEMARTIN F.C .</v>
      </c>
      <c r="H32" s="170" t="str">
        <f>+'GRUPO B'!B4</f>
        <v>GRUPO B</v>
      </c>
    </row>
    <row r="33" spans="1:8" ht="21" hidden="1" customHeight="1" x14ac:dyDescent="0.3">
      <c r="A33" s="545"/>
      <c r="B33" s="171" t="str">
        <f>+'GRUPO B'!M35</f>
        <v>CANCHA 2</v>
      </c>
      <c r="C33" s="171" t="str">
        <f>+'GRUPO B'!C35</f>
        <v>03:25. p.m.</v>
      </c>
      <c r="D33" s="171" t="str">
        <f>+'GRUPO B'!E35</f>
        <v>TEMPLO DEL FÚTBOL</v>
      </c>
      <c r="E33" s="171">
        <f>+'GRUPO B'!G35</f>
        <v>0</v>
      </c>
      <c r="F33" s="171">
        <f>+'GRUPO B'!I35</f>
        <v>0</v>
      </c>
      <c r="G33" s="171" t="str">
        <f>+'GRUPO B'!K35</f>
        <v>CLUB CAMPESTRE IBAGUE</v>
      </c>
      <c r="H33" s="172" t="str">
        <f>+'GRUPO B'!B4</f>
        <v>GRUPO B</v>
      </c>
    </row>
    <row r="34" spans="1:8" ht="21" hidden="1" customHeight="1" x14ac:dyDescent="0.3">
      <c r="A34" s="545"/>
      <c r="B34" s="169" t="e">
        <f>+#REF!</f>
        <v>#REF!</v>
      </c>
      <c r="C34" s="169" t="e">
        <f>+#REF!</f>
        <v>#REF!</v>
      </c>
      <c r="D34" s="169" t="e">
        <f>+#REF!</f>
        <v>#REF!</v>
      </c>
      <c r="E34" s="169" t="e">
        <f>+#REF!</f>
        <v>#REF!</v>
      </c>
      <c r="F34" s="169" t="e">
        <f>+#REF!</f>
        <v>#REF!</v>
      </c>
      <c r="G34" s="169" t="e">
        <f>+#REF!</f>
        <v>#REF!</v>
      </c>
      <c r="H34" s="169" t="e">
        <f>+#REF!</f>
        <v>#REF!</v>
      </c>
    </row>
    <row r="35" spans="1:8" ht="21" hidden="1" customHeight="1" x14ac:dyDescent="0.3">
      <c r="A35" s="545"/>
      <c r="B35" s="171" t="e">
        <f>+#REF!</f>
        <v>#REF!</v>
      </c>
      <c r="C35" s="171" t="e">
        <f>+#REF!</f>
        <v>#REF!</v>
      </c>
      <c r="D35" s="171" t="e">
        <f>+#REF!</f>
        <v>#REF!</v>
      </c>
      <c r="E35" s="171" t="e">
        <f>+#REF!</f>
        <v>#REF!</v>
      </c>
      <c r="F35" s="171" t="e">
        <f>+#REF!</f>
        <v>#REF!</v>
      </c>
      <c r="G35" s="171" t="e">
        <f>+#REF!</f>
        <v>#REF!</v>
      </c>
      <c r="H35" s="172" t="e">
        <f>+#REF!</f>
        <v>#REF!</v>
      </c>
    </row>
    <row r="36" spans="1:8" ht="21" hidden="1" customHeight="1" x14ac:dyDescent="0.3">
      <c r="A36" s="545"/>
      <c r="B36" s="169" t="e">
        <f>+#REF!</f>
        <v>#REF!</v>
      </c>
      <c r="C36" s="169" t="e">
        <f>+#REF!</f>
        <v>#REF!</v>
      </c>
      <c r="D36" s="169" t="e">
        <f>+#REF!</f>
        <v>#REF!</v>
      </c>
      <c r="E36" s="169" t="e">
        <f>+#REF!</f>
        <v>#REF!</v>
      </c>
      <c r="F36" s="169" t="e">
        <f>+#REF!</f>
        <v>#REF!</v>
      </c>
      <c r="G36" s="169" t="e">
        <f>+#REF!</f>
        <v>#REF!</v>
      </c>
      <c r="H36" s="169" t="e">
        <f>+#REF!</f>
        <v>#REF!</v>
      </c>
    </row>
    <row r="37" spans="1:8" ht="21" hidden="1" customHeight="1" x14ac:dyDescent="0.3">
      <c r="A37" s="545"/>
      <c r="B37" s="171" t="e">
        <f>+#REF!</f>
        <v>#REF!</v>
      </c>
      <c r="C37" s="171" t="e">
        <f>+#REF!</f>
        <v>#REF!</v>
      </c>
      <c r="D37" s="171" t="e">
        <f>+#REF!</f>
        <v>#REF!</v>
      </c>
      <c r="E37" s="171" t="e">
        <f>+#REF!</f>
        <v>#REF!</v>
      </c>
      <c r="F37" s="171" t="e">
        <f>+#REF!</f>
        <v>#REF!</v>
      </c>
      <c r="G37" s="171" t="e">
        <f>+#REF!</f>
        <v>#REF!</v>
      </c>
      <c r="H37" s="172" t="e">
        <f>+#REF!</f>
        <v>#REF!</v>
      </c>
    </row>
    <row r="38" spans="1:8" ht="3" customHeight="1" x14ac:dyDescent="0.3">
      <c r="B38"/>
      <c r="C38"/>
      <c r="D38"/>
      <c r="E38"/>
      <c r="F38"/>
      <c r="G38"/>
      <c r="H38"/>
    </row>
    <row r="39" spans="1:8" ht="21.75" customHeight="1" x14ac:dyDescent="0.3">
      <c r="B39" s="555" t="str">
        <f>+'CUARTOS DE FINAL.'!B2</f>
        <v>CUARTOS DE FINAL</v>
      </c>
      <c r="C39" s="556"/>
      <c r="D39" s="556"/>
      <c r="E39" s="556"/>
      <c r="F39" s="556"/>
      <c r="G39" s="556"/>
      <c r="H39" s="557"/>
    </row>
    <row r="40" spans="1:8" ht="21" customHeight="1" x14ac:dyDescent="0.3">
      <c r="B40" s="180" t="s">
        <v>69</v>
      </c>
      <c r="C40" s="180" t="s">
        <v>70</v>
      </c>
      <c r="D40" s="180" t="s">
        <v>71</v>
      </c>
      <c r="E40" s="543" t="s">
        <v>72</v>
      </c>
      <c r="F40" s="543"/>
      <c r="G40" s="180" t="s">
        <v>71</v>
      </c>
      <c r="H40" s="180" t="s">
        <v>76</v>
      </c>
    </row>
    <row r="41" spans="1:8" ht="21" customHeight="1" x14ac:dyDescent="0.3">
      <c r="A41" s="544">
        <f>+'CUARTOS DE FINAL.'!B9</f>
        <v>42596</v>
      </c>
      <c r="B41" s="170" t="str">
        <f>+'CUARTOS DE FINAL.'!N6</f>
        <v>PALMARA</v>
      </c>
      <c r="C41" s="169" t="str">
        <f>+'CUARTOS DE FINAL.'!D6</f>
        <v>03:00. p.m.</v>
      </c>
      <c r="D41" s="169" t="e">
        <f>+'CUARTOS DE FINAL.'!G6</f>
        <v>#N/A</v>
      </c>
      <c r="E41" s="169">
        <f>+'CUARTOS DE FINAL.'!H6</f>
        <v>1</v>
      </c>
      <c r="F41" s="169">
        <f>+'CUARTOS DE FINAL.'!J6</f>
        <v>2</v>
      </c>
      <c r="G41" s="169" t="e">
        <f>+'CUARTOS DE FINAL.'!L6</f>
        <v>#REF!</v>
      </c>
      <c r="H41" s="170" t="str">
        <f>+'CUARTOS DE FINAL.'!C6</f>
        <v>LLAVE A</v>
      </c>
    </row>
    <row r="42" spans="1:8" ht="21" customHeight="1" x14ac:dyDescent="0.3">
      <c r="A42" s="544"/>
      <c r="B42" s="172" t="str">
        <f>+'CUARTOS DE FINAL.'!N9</f>
        <v>CANCHA 2</v>
      </c>
      <c r="C42" s="171" t="str">
        <f>+'CUARTOS DE FINAL.'!D9</f>
        <v>04:20. p.m.</v>
      </c>
      <c r="D42" s="171" t="str">
        <f>+'CUARTOS DE FINAL.'!G9</f>
        <v>TEMPLO DEL FÚTBOL</v>
      </c>
      <c r="E42" s="171">
        <f>+'CUARTOS DE FINAL.'!H9</f>
        <v>2</v>
      </c>
      <c r="F42" s="171">
        <f>+'CUARTOS DE FINAL.'!J9</f>
        <v>1</v>
      </c>
      <c r="G42" s="171" t="e">
        <f>+'CUARTOS DE FINAL.'!L9</f>
        <v>#REF!</v>
      </c>
      <c r="H42" s="172" t="str">
        <f>+'CUARTOS DE FINAL.'!C9</f>
        <v>LLAVE B</v>
      </c>
    </row>
    <row r="43" spans="1:8" ht="21" customHeight="1" x14ac:dyDescent="0.3">
      <c r="A43" s="544"/>
      <c r="B43" s="170" t="str">
        <f>+'CUARTOS DE FINAL.'!N12</f>
        <v>CANCHA 2</v>
      </c>
      <c r="C43" s="169" t="str">
        <f>+'CUARTOS DE FINAL.'!D12</f>
        <v>03:00. p.m.</v>
      </c>
      <c r="D43" s="169" t="e">
        <f>+'CUARTOS DE FINAL.'!G12</f>
        <v>#REF!</v>
      </c>
      <c r="E43" s="169">
        <f>+'CUARTOS DE FINAL.'!H12</f>
        <v>1</v>
      </c>
      <c r="F43" s="169">
        <f>+'CUARTOS DE FINAL.'!J12</f>
        <v>2</v>
      </c>
      <c r="G43" s="169" t="e">
        <f>+'CUARTOS DE FINAL.'!L12</f>
        <v>#N/A</v>
      </c>
      <c r="H43" s="170" t="str">
        <f>+'CUARTOS DE FINAL.'!C12</f>
        <v>LLAVE C</v>
      </c>
    </row>
    <row r="44" spans="1:8" ht="21" customHeight="1" x14ac:dyDescent="0.3">
      <c r="A44" s="544"/>
      <c r="B44" s="172" t="str">
        <f>+'CUARTOS DE FINAL.'!N15</f>
        <v>PALMARA</v>
      </c>
      <c r="C44" s="171" t="str">
        <f>+'CUARTOS DE FINAL.'!D15</f>
        <v>04:20. p.m.</v>
      </c>
      <c r="D44" s="171" t="e">
        <f>+'CUARTOS DE FINAL.'!G15</f>
        <v>#REF!</v>
      </c>
      <c r="E44" s="171">
        <f>+'CUARTOS DE FINAL.'!H15</f>
        <v>2</v>
      </c>
      <c r="F44" s="171">
        <f>+'CUARTOS DE FINAL.'!J15</f>
        <v>1</v>
      </c>
      <c r="G44" s="171" t="str">
        <f>+'CUARTOS DE FINAL.'!L15</f>
        <v>CLUB CAMPESTRE IBAGUE</v>
      </c>
      <c r="H44" s="172" t="str">
        <f>+'CUARTOS DE FINAL.'!C15</f>
        <v>LLAVE D</v>
      </c>
    </row>
    <row r="45" spans="1:8" ht="21" customHeight="1" x14ac:dyDescent="0.3">
      <c r="A45" s="181"/>
      <c r="B45" s="1"/>
      <c r="C45" s="1"/>
      <c r="D45" s="1"/>
      <c r="E45" s="1"/>
      <c r="F45" s="1"/>
      <c r="G45" s="1"/>
      <c r="H45" s="1"/>
    </row>
    <row r="46" spans="1:8" ht="27.9" customHeight="1" x14ac:dyDescent="0.3">
      <c r="B46" s="558" t="str">
        <f>+DEFINICION!B5</f>
        <v>SEMIFINALES</v>
      </c>
      <c r="C46" s="559"/>
      <c r="D46" s="559"/>
      <c r="E46" s="559"/>
      <c r="F46" s="559"/>
      <c r="G46" s="559"/>
      <c r="H46" s="560"/>
    </row>
    <row r="47" spans="1:8" ht="27.9" customHeight="1" x14ac:dyDescent="0.3">
      <c r="B47" s="180" t="s">
        <v>69</v>
      </c>
      <c r="C47" s="180" t="s">
        <v>70</v>
      </c>
      <c r="D47" s="180" t="s">
        <v>71</v>
      </c>
      <c r="E47" s="543" t="s">
        <v>72</v>
      </c>
      <c r="F47" s="543"/>
      <c r="G47" s="180" t="s">
        <v>71</v>
      </c>
      <c r="H47" s="180" t="s">
        <v>76</v>
      </c>
    </row>
    <row r="48" spans="1:8" ht="27.9" customHeight="1" x14ac:dyDescent="0.3">
      <c r="A48" s="544">
        <f>+DEFINICION!B9</f>
        <v>42814</v>
      </c>
      <c r="B48" s="170" t="str">
        <f>+DEFINICION!Q9</f>
        <v>CANCHA 2</v>
      </c>
      <c r="C48" s="169" t="str">
        <f>+DEFINICION!D9</f>
        <v>07:00. a.m.</v>
      </c>
      <c r="D48" s="169" t="s">
        <v>56</v>
      </c>
      <c r="E48" s="169">
        <f>+'CUARTOS DE FINAL.'!H13</f>
        <v>0</v>
      </c>
      <c r="F48" s="169">
        <f>+'CUARTOS DE FINAL.'!J13</f>
        <v>0</v>
      </c>
      <c r="G48" s="169" t="s">
        <v>57</v>
      </c>
      <c r="H48" s="170" t="str">
        <f>+DEFINICION!C9</f>
        <v>LLAVE 1</v>
      </c>
    </row>
    <row r="49" spans="1:8" ht="27.9" customHeight="1" x14ac:dyDescent="0.3">
      <c r="A49" s="544"/>
      <c r="B49" s="172" t="str">
        <f>+DEFINICION!Q12</f>
        <v>CANCHA 2</v>
      </c>
      <c r="C49" s="171" t="str">
        <f>+DEFINICION!D12</f>
        <v>08:00. a.m.</v>
      </c>
      <c r="D49" s="171" t="s">
        <v>61</v>
      </c>
      <c r="E49" s="171">
        <f>+'CUARTOS DE FINAL.'!H16</f>
        <v>0</v>
      </c>
      <c r="F49" s="171">
        <f>+'CUARTOS DE FINAL.'!J16</f>
        <v>0</v>
      </c>
      <c r="G49" s="171" t="s">
        <v>62</v>
      </c>
      <c r="H49" s="172" t="str">
        <f>+DEFINICION!C12</f>
        <v>LLAVE 2</v>
      </c>
    </row>
    <row r="50" spans="1:8" ht="27.9" customHeight="1" x14ac:dyDescent="0.3">
      <c r="A50" s="188"/>
      <c r="B50" s="184"/>
      <c r="C50" s="1"/>
      <c r="D50" s="1"/>
      <c r="E50" s="1"/>
      <c r="F50" s="1"/>
      <c r="G50" s="1"/>
      <c r="H50" s="184"/>
    </row>
    <row r="51" spans="1:8" ht="27.9" customHeight="1" x14ac:dyDescent="0.3">
      <c r="B51" s="552" t="str">
        <f>+FINAL!B7</f>
        <v>Partido por el TERCER PUESTO</v>
      </c>
      <c r="C51" s="553"/>
      <c r="D51" s="553"/>
      <c r="E51" s="553"/>
      <c r="F51" s="553"/>
      <c r="G51" s="553"/>
      <c r="H51" s="554"/>
    </row>
    <row r="52" spans="1:8" ht="27.9" customHeight="1" x14ac:dyDescent="0.3">
      <c r="B52" s="180" t="s">
        <v>69</v>
      </c>
      <c r="C52" s="180" t="s">
        <v>70</v>
      </c>
      <c r="D52" s="180" t="s">
        <v>71</v>
      </c>
      <c r="E52" s="543" t="s">
        <v>72</v>
      </c>
      <c r="F52" s="543"/>
      <c r="G52" s="180" t="s">
        <v>71</v>
      </c>
      <c r="H52" s="180"/>
    </row>
    <row r="53" spans="1:8" ht="27.9" customHeight="1" x14ac:dyDescent="0.3">
      <c r="A53" s="185">
        <f>+DEFINICION!B14</f>
        <v>0</v>
      </c>
      <c r="B53" s="170" t="str">
        <f>+FINAL!O9</f>
        <v>CANCHA 2</v>
      </c>
      <c r="C53" s="169">
        <f>+DEFINICION!D14</f>
        <v>0</v>
      </c>
      <c r="D53" s="169" t="s">
        <v>65</v>
      </c>
      <c r="E53" s="169">
        <f>+'CUARTOS DE FINAL.'!H18</f>
        <v>0</v>
      </c>
      <c r="F53" s="169">
        <f>+'CUARTOS DE FINAL.'!J18</f>
        <v>0</v>
      </c>
      <c r="G53" s="169" t="s">
        <v>66</v>
      </c>
      <c r="H53" s="170"/>
    </row>
    <row r="54" spans="1:8" ht="10.5" customHeight="1" x14ac:dyDescent="0.3">
      <c r="A54" s="186"/>
      <c r="B54" s="189"/>
      <c r="C54" s="190"/>
      <c r="D54" s="190"/>
      <c r="E54" s="190"/>
      <c r="F54" s="190"/>
      <c r="G54" s="190"/>
      <c r="H54" s="191"/>
    </row>
    <row r="55" spans="1:8" ht="27.9" customHeight="1" x14ac:dyDescent="0.3">
      <c r="A55" s="186"/>
      <c r="B55" s="549" t="str">
        <f>+FINAL!B13</f>
        <v>FINAL DEL CAMPEONATO</v>
      </c>
      <c r="C55" s="550"/>
      <c r="D55" s="550"/>
      <c r="E55" s="550"/>
      <c r="F55" s="550"/>
      <c r="G55" s="550"/>
      <c r="H55" s="551"/>
    </row>
    <row r="56" spans="1:8" ht="27.9" customHeight="1" x14ac:dyDescent="0.3">
      <c r="A56" s="186"/>
      <c r="B56" s="180" t="s">
        <v>69</v>
      </c>
      <c r="C56" s="180" t="s">
        <v>70</v>
      </c>
      <c r="D56" s="180" t="s">
        <v>71</v>
      </c>
      <c r="E56" s="543" t="s">
        <v>72</v>
      </c>
      <c r="F56" s="543"/>
      <c r="G56" s="180" t="s">
        <v>71</v>
      </c>
      <c r="H56" s="180"/>
    </row>
    <row r="57" spans="1:8" ht="27.9" customHeight="1" x14ac:dyDescent="0.3">
      <c r="A57" s="187"/>
      <c r="B57" s="172" t="str">
        <f>+FINAL!O15</f>
        <v>CANCHA 2</v>
      </c>
      <c r="C57" s="171">
        <f>+DEFINICION!C4</f>
        <v>0</v>
      </c>
      <c r="D57" s="171" t="s">
        <v>67</v>
      </c>
      <c r="E57" s="171">
        <f>+'CUARTOS DE FINAL.'!H21</f>
        <v>0</v>
      </c>
      <c r="F57" s="171">
        <f>+'CUARTOS DE FINAL.'!J21</f>
        <v>0</v>
      </c>
      <c r="G57" s="171" t="s">
        <v>68</v>
      </c>
      <c r="H57" s="172"/>
    </row>
  </sheetData>
  <mergeCells count="24">
    <mergeCell ref="E18:F18"/>
    <mergeCell ref="A19:A26"/>
    <mergeCell ref="B28:H28"/>
    <mergeCell ref="B55:H55"/>
    <mergeCell ref="E56:F56"/>
    <mergeCell ref="E47:F47"/>
    <mergeCell ref="A48:A49"/>
    <mergeCell ref="B51:H51"/>
    <mergeCell ref="E52:F52"/>
    <mergeCell ref="E29:F29"/>
    <mergeCell ref="A30:A37"/>
    <mergeCell ref="B39:H39"/>
    <mergeCell ref="E40:F40"/>
    <mergeCell ref="A41:A44"/>
    <mergeCell ref="B46:H46"/>
    <mergeCell ref="B6:H6"/>
    <mergeCell ref="A2:H2"/>
    <mergeCell ref="A1:H1"/>
    <mergeCell ref="A8:A15"/>
    <mergeCell ref="B17:H17"/>
    <mergeCell ref="A5:H5"/>
    <mergeCell ref="A4:H4"/>
    <mergeCell ref="A3:H3"/>
    <mergeCell ref="E7:F7"/>
  </mergeCells>
  <printOptions horizontalCentered="1" verticalCentered="1"/>
  <pageMargins left="0.23622047244094491" right="0.23622047244094491" top="0.74803149606299213" bottom="0.74803149606299213" header="0" footer="0"/>
  <pageSetup scale="69" orientation="landscape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S72"/>
  <sheetViews>
    <sheetView zoomScale="80" zoomScaleNormal="80" workbookViewId="0">
      <selection activeCell="A47" sqref="A47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11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541" t="e">
        <f>+'GRUPOS INFANTIL'!B1:H1</f>
        <v>#VALUE!</v>
      </c>
      <c r="B1" s="541"/>
      <c r="C1" s="541"/>
      <c r="D1" s="541"/>
      <c r="E1" s="541"/>
      <c r="F1" s="541"/>
      <c r="G1" s="541"/>
      <c r="H1" s="541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</row>
    <row r="2" spans="1:19" ht="28.8" x14ac:dyDescent="0.55000000000000004">
      <c r="A2" s="542" t="e">
        <f>+'GRUPOS INFANTIL'!B2:H2</f>
        <v>#VALUE!</v>
      </c>
      <c r="B2" s="542"/>
      <c r="C2" s="542"/>
      <c r="D2" s="542"/>
      <c r="E2" s="542"/>
      <c r="F2" s="542"/>
      <c r="G2" s="542"/>
      <c r="H2" s="542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</row>
    <row r="3" spans="1:19" ht="28.8" x14ac:dyDescent="0.55000000000000004">
      <c r="A3" s="542" t="str">
        <f>+'GRUPOS INFANTIL'!B3</f>
        <v>NACIDOS 2014 2015</v>
      </c>
      <c r="B3" s="542"/>
      <c r="C3" s="542"/>
      <c r="D3" s="542"/>
      <c r="E3" s="542"/>
      <c r="F3" s="542"/>
      <c r="G3" s="542"/>
      <c r="H3" s="542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</row>
    <row r="4" spans="1:19" ht="21" x14ac:dyDescent="0.4">
      <c r="A4" s="364" t="str">
        <f>+'GRUPOS INFANTIL'!B4</f>
        <v>SEPTIEMBRE 28 Y 29 DEL 2024</v>
      </c>
      <c r="B4" s="364"/>
      <c r="C4" s="364"/>
      <c r="D4" s="364"/>
      <c r="E4" s="364"/>
      <c r="F4" s="364"/>
      <c r="G4" s="364"/>
      <c r="H4" s="364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</row>
    <row r="5" spans="1:19" ht="21" x14ac:dyDescent="0.4">
      <c r="A5" s="364" t="s">
        <v>74</v>
      </c>
      <c r="B5" s="364"/>
      <c r="C5" s="364"/>
      <c r="D5" s="364"/>
      <c r="E5" s="364"/>
      <c r="F5" s="364"/>
      <c r="G5" s="364"/>
      <c r="H5" s="364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</row>
    <row r="6" spans="1:19" ht="21" hidden="1" customHeight="1" x14ac:dyDescent="0.3">
      <c r="A6"/>
      <c r="B6" s="538" t="str">
        <f>+IMPRIMIR!A14</f>
        <v>PARTIDOS                 fecha 1</v>
      </c>
      <c r="C6" s="539"/>
      <c r="D6" s="539"/>
      <c r="E6" s="539"/>
      <c r="F6" s="539"/>
      <c r="G6" s="539"/>
      <c r="H6" s="540"/>
      <c r="J6" s="174" t="str">
        <f>+'GRUPO A'!B4</f>
        <v>GRUPO A</v>
      </c>
      <c r="K6" s="174">
        <f>+'GRUPO A'!Q20</f>
        <v>0</v>
      </c>
      <c r="L6" s="174">
        <f>+'GRUPO A'!R20</f>
        <v>0</v>
      </c>
      <c r="M6" s="174">
        <f>+'GRUPO A'!S20</f>
        <v>0</v>
      </c>
      <c r="N6" s="174">
        <f>+'GRUPO A'!T20</f>
        <v>0</v>
      </c>
      <c r="O6" s="174">
        <f>+'GRUPO A'!U20</f>
        <v>0</v>
      </c>
      <c r="P6" s="174">
        <f>+'GRUPO A'!V20</f>
        <v>0</v>
      </c>
      <c r="Q6" s="174">
        <f>+'GRUPO A'!W20</f>
        <v>0</v>
      </c>
      <c r="R6" s="174">
        <f>+'GRUPO A'!X20</f>
        <v>0</v>
      </c>
      <c r="S6" s="174">
        <f>+'GRUPO A'!Y20</f>
        <v>0</v>
      </c>
    </row>
    <row r="7" spans="1:19" hidden="1" x14ac:dyDescent="0.3">
      <c r="B7" s="180" t="s">
        <v>69</v>
      </c>
      <c r="C7" s="180" t="s">
        <v>70</v>
      </c>
      <c r="D7" s="180" t="s">
        <v>71</v>
      </c>
      <c r="E7" s="543" t="s">
        <v>72</v>
      </c>
      <c r="F7" s="543"/>
      <c r="G7" s="180" t="s">
        <v>71</v>
      </c>
      <c r="H7" s="180" t="s">
        <v>73</v>
      </c>
      <c r="J7" s="175">
        <f>+'GRUPO A'!P22</f>
        <v>0</v>
      </c>
      <c r="K7" s="169">
        <f>+'GRUPO A'!Q22</f>
        <v>0</v>
      </c>
      <c r="L7" s="169">
        <f>+'GRUPO A'!R22</f>
        <v>0</v>
      </c>
      <c r="M7" s="169">
        <f>+'GRUPO A'!S22</f>
        <v>0</v>
      </c>
      <c r="N7" s="169">
        <f>+'GRUPO A'!T22</f>
        <v>0</v>
      </c>
      <c r="O7" s="169">
        <f>+'GRUPO A'!U22</f>
        <v>0</v>
      </c>
      <c r="P7" s="169">
        <f>+'GRUPO A'!V22</f>
        <v>0</v>
      </c>
      <c r="Q7" s="169">
        <f>+'GRUPO A'!W22</f>
        <v>0</v>
      </c>
      <c r="R7" s="169">
        <f>+'GRUPO A'!X22</f>
        <v>0</v>
      </c>
      <c r="S7" s="169">
        <f>+'GRUPO A'!Y22</f>
        <v>0</v>
      </c>
    </row>
    <row r="8" spans="1:19" ht="21" hidden="1" customHeight="1" x14ac:dyDescent="0.3">
      <c r="A8" s="544">
        <f>+'GRUPO A'!B20</f>
        <v>42812</v>
      </c>
      <c r="B8" s="169" t="str">
        <f>+'GRUPO A'!M20</f>
        <v>CANCHA 2</v>
      </c>
      <c r="C8" s="169" t="str">
        <f>+'GRUPO A'!C20</f>
        <v>07:15. a.m.</v>
      </c>
      <c r="D8" s="169" t="str">
        <f>+'GRUPO A'!E20</f>
        <v>AJAX AIMARA</v>
      </c>
      <c r="E8" s="169">
        <f>+'GRUPO A'!G20</f>
        <v>10</v>
      </c>
      <c r="F8" s="169">
        <f>+'GRUPO A'!I20</f>
        <v>0</v>
      </c>
      <c r="G8" s="169" t="str">
        <f>+'GRUPO A'!K20</f>
        <v>CLUB DEPORTIVO OS FUTSAL</v>
      </c>
      <c r="H8" s="169" t="str">
        <f>+'GRUPO A'!B4</f>
        <v>GRUPO A</v>
      </c>
      <c r="J8" s="175">
        <f>+'GRUPO A'!P24</f>
        <v>0</v>
      </c>
      <c r="K8" s="169">
        <f>+'GRUPO A'!Q24</f>
        <v>0</v>
      </c>
      <c r="L8" s="169">
        <f>+'GRUPO A'!R24</f>
        <v>0</v>
      </c>
      <c r="M8" s="169">
        <f>+'GRUPO A'!S24</f>
        <v>0</v>
      </c>
      <c r="N8" s="169">
        <f>+'GRUPO A'!T24</f>
        <v>0</v>
      </c>
      <c r="O8" s="169">
        <f>+'GRUPO A'!U24</f>
        <v>0</v>
      </c>
      <c r="P8" s="169">
        <f>+'GRUPO A'!V24</f>
        <v>0</v>
      </c>
      <c r="Q8" s="169">
        <f>+'GRUPO A'!W24</f>
        <v>0</v>
      </c>
      <c r="R8" s="169">
        <f>+'GRUPO A'!X24</f>
        <v>0</v>
      </c>
      <c r="S8" s="169">
        <f>+'GRUPO A'!Y24</f>
        <v>0</v>
      </c>
    </row>
    <row r="9" spans="1:19" ht="21" hidden="1" customHeight="1" x14ac:dyDescent="0.3">
      <c r="A9" s="545"/>
      <c r="B9" s="171" t="str">
        <f>+'GRUPO A'!M23</f>
        <v>LAS VEGAS</v>
      </c>
      <c r="C9" s="171" t="str">
        <f>+'GRUPO A'!C23</f>
        <v>08:20. a.m.</v>
      </c>
      <c r="D9" s="171" t="str">
        <f>+'GRUPO A'!E23</f>
        <v>ESCUELA DE FORMACION DEPORTIVA MARACANA</v>
      </c>
      <c r="E9" s="171">
        <f>+'GRUPO A'!G23</f>
        <v>3</v>
      </c>
      <c r="F9" s="171">
        <f>+'GRUPO A'!I23</f>
        <v>3</v>
      </c>
      <c r="G9" s="171" t="str">
        <f>+'GRUPO A'!K23</f>
        <v>CLUB LOS PAPETICOS</v>
      </c>
      <c r="H9" s="172" t="str">
        <f>+'GRUPO A'!B4</f>
        <v>GRUPO A</v>
      </c>
      <c r="J9" s="175">
        <f>+'GRUPO A'!P26</f>
        <v>0</v>
      </c>
      <c r="K9" s="169">
        <f>+'GRUPO A'!Q26</f>
        <v>0</v>
      </c>
      <c r="L9" s="169">
        <f>+'GRUPO A'!R26</f>
        <v>0</v>
      </c>
      <c r="M9" s="169">
        <f>+'GRUPO A'!S26</f>
        <v>0</v>
      </c>
      <c r="N9" s="169">
        <f>+'GRUPO A'!T26</f>
        <v>0</v>
      </c>
      <c r="O9" s="169">
        <f>+'GRUPO A'!U26</f>
        <v>0</v>
      </c>
      <c r="P9" s="169">
        <f>+'GRUPO A'!V26</f>
        <v>0</v>
      </c>
      <c r="Q9" s="169">
        <f>+'GRUPO A'!W26</f>
        <v>0</v>
      </c>
      <c r="R9" s="169">
        <f>+'GRUPO A'!X26</f>
        <v>0</v>
      </c>
      <c r="S9" s="169">
        <f>+'GRUPO A'!Y26</f>
        <v>0</v>
      </c>
    </row>
    <row r="10" spans="1:19" ht="21" hidden="1" customHeight="1" x14ac:dyDescent="0.3">
      <c r="A10" s="545"/>
      <c r="B10" s="169" t="str">
        <f>+'GRUPO B'!M20</f>
        <v>CANCHA 2</v>
      </c>
      <c r="C10" s="169" t="str">
        <f>+'GRUPO B'!C20</f>
        <v>12:00. m.d.</v>
      </c>
      <c r="D10" s="169" t="str">
        <f>+'GRUPO B'!E20</f>
        <v>ESCUELA DEPORTIVA FÚTBOL RAQUIRA</v>
      </c>
      <c r="E10" s="169">
        <f>+'GRUPO B'!G20</f>
        <v>0</v>
      </c>
      <c r="F10" s="169">
        <f>+'GRUPO B'!I20</f>
        <v>3</v>
      </c>
      <c r="G10" s="169" t="str">
        <f>+'GRUPO B'!K20</f>
        <v>TEMPLO DEL FÚTBOL</v>
      </c>
      <c r="H10" s="169" t="str">
        <f>+'GRUPO B'!B4</f>
        <v>GRUPO B</v>
      </c>
      <c r="J10" s="175">
        <f>+'GRUPO A'!P28</f>
        <v>0</v>
      </c>
      <c r="K10" s="169">
        <f>+'GRUPO A'!Q28</f>
        <v>0</v>
      </c>
      <c r="L10" s="169">
        <f>+'GRUPO A'!R28</f>
        <v>0</v>
      </c>
      <c r="M10" s="169">
        <f>+'GRUPO A'!S28</f>
        <v>0</v>
      </c>
      <c r="N10" s="169">
        <f>+'GRUPO A'!T28</f>
        <v>0</v>
      </c>
      <c r="O10" s="169">
        <f>+'GRUPO A'!U28</f>
        <v>0</v>
      </c>
      <c r="P10" s="169">
        <f>+'GRUPO A'!V28</f>
        <v>0</v>
      </c>
      <c r="Q10" s="169">
        <f>+'GRUPO A'!W28</f>
        <v>0</v>
      </c>
      <c r="R10" s="169">
        <f>+'GRUPO A'!X28</f>
        <v>0</v>
      </c>
      <c r="S10" s="169">
        <f>+'GRUPO A'!Y28</f>
        <v>0</v>
      </c>
    </row>
    <row r="11" spans="1:19" ht="21" hidden="1" customHeight="1" x14ac:dyDescent="0.3">
      <c r="A11" s="545"/>
      <c r="B11" s="171" t="str">
        <f>+'GRUPO B'!M23</f>
        <v>CANCHA 2</v>
      </c>
      <c r="C11" s="171" t="str">
        <f>+'GRUPO B'!C23</f>
        <v>01:10. p.m.</v>
      </c>
      <c r="D11" s="171" t="str">
        <f>+'GRUPO B'!E23</f>
        <v>CLUB CAMPESTRE IBAGUE</v>
      </c>
      <c r="E11" s="171">
        <f>+'GRUPO B'!G23</f>
        <v>3</v>
      </c>
      <c r="F11" s="171">
        <f>+'GRUPO B'!I23</f>
        <v>1</v>
      </c>
      <c r="G11" s="171" t="str">
        <f>+'GRUPO B'!K23</f>
        <v>CENTAUROS DEL ARIARI</v>
      </c>
      <c r="H11" s="172" t="str">
        <f>+'GRUPO B'!B4</f>
        <v>GRUPO B</v>
      </c>
    </row>
    <row r="12" spans="1:19" ht="21" hidden="1" customHeight="1" x14ac:dyDescent="0.3">
      <c r="A12" s="545"/>
      <c r="B12" s="169" t="e">
        <f>+#REF!</f>
        <v>#REF!</v>
      </c>
      <c r="C12" s="169" t="e">
        <f>+#REF!</f>
        <v>#REF!</v>
      </c>
      <c r="D12" s="169" t="e">
        <f>+#REF!</f>
        <v>#REF!</v>
      </c>
      <c r="E12" s="169" t="e">
        <f>+#REF!</f>
        <v>#REF!</v>
      </c>
      <c r="F12" s="169" t="e">
        <f>+#REF!</f>
        <v>#REF!</v>
      </c>
      <c r="G12" s="169" t="e">
        <f>+#REF!</f>
        <v>#REF!</v>
      </c>
      <c r="H12" s="169" t="e">
        <f>+#REF!</f>
        <v>#REF!</v>
      </c>
      <c r="J12" s="173" t="str">
        <f>+'GRUPO B'!B4</f>
        <v>GRUPO B</v>
      </c>
      <c r="K12" s="173" t="str">
        <f>+'GRUPO B'!Q8</f>
        <v>Pts.</v>
      </c>
      <c r="L12" s="173" t="str">
        <f>+'GRUPO B'!R8</f>
        <v>PJ</v>
      </c>
      <c r="M12" s="173" t="str">
        <f>+'GRUPO B'!S8</f>
        <v>Gan.</v>
      </c>
      <c r="N12" s="173" t="str">
        <f>+'GRUPO B'!T8</f>
        <v>Emp.</v>
      </c>
      <c r="O12" s="173" t="str">
        <f>+'GRUPO B'!U8</f>
        <v>Per.</v>
      </c>
      <c r="P12" s="173" t="str">
        <f>+'GRUPO B'!V8</f>
        <v>GF</v>
      </c>
      <c r="Q12" s="173" t="str">
        <f>+'GRUPO B'!W8</f>
        <v>GC</v>
      </c>
      <c r="R12" s="173" t="str">
        <f>+'GRUPO B'!X8</f>
        <v>Dif.</v>
      </c>
      <c r="S12" s="173" t="str">
        <f>+'GRUPO B'!Y8</f>
        <v>Tj</v>
      </c>
    </row>
    <row r="13" spans="1:19" ht="21" hidden="1" customHeight="1" x14ac:dyDescent="0.3">
      <c r="A13" s="545"/>
      <c r="B13" s="171" t="e">
        <f>+#REF!</f>
        <v>#REF!</v>
      </c>
      <c r="C13" s="171" t="e">
        <f>+#REF!</f>
        <v>#REF!</v>
      </c>
      <c r="D13" s="171" t="e">
        <f>+#REF!</f>
        <v>#REF!</v>
      </c>
      <c r="E13" s="171" t="e">
        <f>+#REF!</f>
        <v>#REF!</v>
      </c>
      <c r="F13" s="171" t="e">
        <f>+#REF!</f>
        <v>#REF!</v>
      </c>
      <c r="G13" s="171" t="e">
        <f>+#REF!</f>
        <v>#REF!</v>
      </c>
      <c r="H13" s="172" t="e">
        <f>+#REF!</f>
        <v>#REF!</v>
      </c>
      <c r="J13" s="175" t="str">
        <f>+'GRUPO B'!P10</f>
        <v xml:space="preserve">  1)  TEMPLO DEL FÚTBOL</v>
      </c>
      <c r="K13" s="169">
        <f>+'GRUPO B'!Q10</f>
        <v>7</v>
      </c>
      <c r="L13" s="169">
        <f>+'GRUPO B'!R10</f>
        <v>3</v>
      </c>
      <c r="M13" s="169">
        <f>+'GRUPO B'!S10</f>
        <v>2</v>
      </c>
      <c r="N13" s="169">
        <f>+'GRUPO B'!T10</f>
        <v>1</v>
      </c>
      <c r="O13" s="169">
        <f>+'GRUPO B'!U10</f>
        <v>0</v>
      </c>
      <c r="P13" s="169">
        <f>+'GRUPO B'!V10</f>
        <v>9</v>
      </c>
      <c r="Q13" s="169">
        <f>+'GRUPO B'!W10</f>
        <v>1</v>
      </c>
      <c r="R13" s="169">
        <f>+'GRUPO B'!X10</f>
        <v>8</v>
      </c>
      <c r="S13" s="169">
        <f>+'GRUPO B'!Y10</f>
        <v>0</v>
      </c>
    </row>
    <row r="14" spans="1:19" ht="21" hidden="1" customHeight="1" x14ac:dyDescent="0.3">
      <c r="A14" s="545"/>
      <c r="B14" s="169" t="e">
        <f>+#REF!</f>
        <v>#REF!</v>
      </c>
      <c r="C14" s="169" t="e">
        <f>+#REF!</f>
        <v>#REF!</v>
      </c>
      <c r="D14" s="169" t="e">
        <f>+#REF!</f>
        <v>#REF!</v>
      </c>
      <c r="E14" s="169" t="e">
        <f>+#REF!</f>
        <v>#REF!</v>
      </c>
      <c r="F14" s="169" t="e">
        <f>+#REF!</f>
        <v>#REF!</v>
      </c>
      <c r="G14" s="169" t="e">
        <f>+#REF!</f>
        <v>#REF!</v>
      </c>
      <c r="H14" s="169" t="e">
        <f>+#REF!</f>
        <v>#REF!</v>
      </c>
      <c r="J14" s="175" t="str">
        <f>+'GRUPO B'!P12</f>
        <v xml:space="preserve">  2)  CLUB CAMPESTRE IBAGUE</v>
      </c>
      <c r="K14" s="169">
        <f>+'GRUPO B'!Q12</f>
        <v>7</v>
      </c>
      <c r="L14" s="169">
        <f>+'GRUPO B'!R12</f>
        <v>3</v>
      </c>
      <c r="M14" s="169">
        <f>+'GRUPO B'!S12</f>
        <v>2</v>
      </c>
      <c r="N14" s="169">
        <f>+'GRUPO B'!T12</f>
        <v>1</v>
      </c>
      <c r="O14" s="169">
        <f>+'GRUPO B'!U12</f>
        <v>0</v>
      </c>
      <c r="P14" s="169">
        <f>+'GRUPO B'!V12</f>
        <v>9</v>
      </c>
      <c r="Q14" s="169">
        <f>+'GRUPO B'!W12</f>
        <v>3</v>
      </c>
      <c r="R14" s="169">
        <f>+'GRUPO B'!X12</f>
        <v>6</v>
      </c>
      <c r="S14" s="169">
        <f>+'GRUPO B'!Y12</f>
        <v>0</v>
      </c>
    </row>
    <row r="15" spans="1:19" ht="21" hidden="1" customHeight="1" x14ac:dyDescent="0.3">
      <c r="A15" s="545"/>
      <c r="B15" s="171" t="e">
        <f>+#REF!</f>
        <v>#REF!</v>
      </c>
      <c r="C15" s="171" t="e">
        <f>+#REF!</f>
        <v>#REF!</v>
      </c>
      <c r="D15" s="171" t="e">
        <f>+#REF!</f>
        <v>#REF!</v>
      </c>
      <c r="E15" s="171" t="e">
        <f>+#REF!</f>
        <v>#REF!</v>
      </c>
      <c r="F15" s="171" t="e">
        <f>+#REF!</f>
        <v>#REF!</v>
      </c>
      <c r="G15" s="171" t="e">
        <f>+#REF!</f>
        <v>#REF!</v>
      </c>
      <c r="H15" s="172" t="e">
        <f>+#REF!</f>
        <v>#REF!</v>
      </c>
      <c r="J15" s="175" t="str">
        <f>+'GRUPO B'!P14</f>
        <v xml:space="preserve">  3)  ESCUELA DEPORTIVA FÚTBOL RAQUIRA</v>
      </c>
      <c r="K15" s="169">
        <f>+'GRUPO B'!Q14</f>
        <v>0</v>
      </c>
      <c r="L15" s="169">
        <f>+'GRUPO B'!R14</f>
        <v>3</v>
      </c>
      <c r="M15" s="169">
        <f>+'GRUPO B'!S14</f>
        <v>0</v>
      </c>
      <c r="N15" s="169">
        <f>+'GRUPO B'!T14</f>
        <v>0</v>
      </c>
      <c r="O15" s="169">
        <f>+'GRUPO B'!U14</f>
        <v>3</v>
      </c>
      <c r="P15" s="169">
        <f>+'GRUPO B'!V14</f>
        <v>2</v>
      </c>
      <c r="Q15" s="169">
        <f>+'GRUPO B'!W14</f>
        <v>10</v>
      </c>
      <c r="R15" s="169">
        <f>+'GRUPO B'!X14</f>
        <v>-8</v>
      </c>
      <c r="S15" s="169">
        <f>+'GRUPO B'!Y14</f>
        <v>0</v>
      </c>
    </row>
    <row r="16" spans="1:19" ht="2.25" hidden="1" customHeight="1" x14ac:dyDescent="0.3">
      <c r="J16" s="183"/>
    </row>
    <row r="17" spans="1:19" ht="21" hidden="1" customHeight="1" x14ac:dyDescent="0.3">
      <c r="B17" s="546" t="str">
        <f>+'IMPRIMIR 2'!A14</f>
        <v>PARTIDOS                 fecha 2</v>
      </c>
      <c r="C17" s="547"/>
      <c r="D17" s="547"/>
      <c r="E17" s="547"/>
      <c r="F17" s="547"/>
      <c r="G17" s="547"/>
      <c r="H17" s="548"/>
      <c r="J17" s="175">
        <f>+'GRUPO B'!P16</f>
        <v>0</v>
      </c>
      <c r="K17" s="169">
        <f>+'GRUPO B'!Q16</f>
        <v>0</v>
      </c>
      <c r="L17" s="169">
        <f>+'GRUPO B'!R16</f>
        <v>0</v>
      </c>
      <c r="M17" s="169">
        <f>+'GRUPO B'!S16</f>
        <v>0</v>
      </c>
      <c r="N17" s="169">
        <f>+'GRUPO B'!T16</f>
        <v>0</v>
      </c>
      <c r="O17" s="169">
        <f>+'GRUPO B'!U16</f>
        <v>0</v>
      </c>
      <c r="P17" s="169">
        <f>+'GRUPO B'!V16</f>
        <v>0</v>
      </c>
      <c r="Q17" s="169">
        <f>+'GRUPO B'!W16</f>
        <v>0</v>
      </c>
      <c r="R17" s="169">
        <f>+'GRUPO B'!X16</f>
        <v>0</v>
      </c>
      <c r="S17" s="169">
        <f>+'GRUPO B'!Y16</f>
        <v>0</v>
      </c>
    </row>
    <row r="18" spans="1:19" ht="21" hidden="1" customHeight="1" x14ac:dyDescent="0.3">
      <c r="B18" s="180" t="s">
        <v>69</v>
      </c>
      <c r="C18" s="180" t="s">
        <v>70</v>
      </c>
      <c r="D18" s="180" t="s">
        <v>71</v>
      </c>
      <c r="E18" s="543" t="s">
        <v>72</v>
      </c>
      <c r="F18" s="543"/>
      <c r="G18" s="180" t="s">
        <v>71</v>
      </c>
      <c r="H18" s="180" t="s">
        <v>73</v>
      </c>
    </row>
    <row r="19" spans="1:19" ht="21" hidden="1" customHeight="1" x14ac:dyDescent="0.3">
      <c r="A19" s="544">
        <f>+'GRUPO A'!B26</f>
        <v>42812</v>
      </c>
      <c r="B19" s="169" t="str">
        <f>+'GRUPO A'!M26</f>
        <v>LAS VEGAS</v>
      </c>
      <c r="C19" s="169" t="str">
        <f>+'GRUPO A'!C26</f>
        <v>03:00. p.m.</v>
      </c>
      <c r="D19" s="169" t="str">
        <f>+'GRUPO A'!E26</f>
        <v>AJAX AIMARA</v>
      </c>
      <c r="E19" s="169">
        <f>+'GRUPO A'!G26</f>
        <v>1</v>
      </c>
      <c r="F19" s="169">
        <f>+'GRUPO A'!I26</f>
        <v>2</v>
      </c>
      <c r="G19" s="169" t="str">
        <f>+'GRUPO A'!K26</f>
        <v>ESCUELA DE FORMACION DEPORTIVA MARACANA</v>
      </c>
      <c r="H19" s="170" t="str">
        <f>+'GRUPO A'!B4</f>
        <v>GRUPO A</v>
      </c>
      <c r="J19" s="176" t="e">
        <f>+#REF!</f>
        <v>#REF!</v>
      </c>
      <c r="K19" s="177" t="e">
        <f>+#REF!</f>
        <v>#REF!</v>
      </c>
      <c r="L19" s="177" t="e">
        <f>+#REF!</f>
        <v>#REF!</v>
      </c>
      <c r="M19" s="177" t="e">
        <f>+#REF!</f>
        <v>#REF!</v>
      </c>
      <c r="N19" s="177" t="e">
        <f>+#REF!</f>
        <v>#REF!</v>
      </c>
      <c r="O19" s="177" t="e">
        <f>+#REF!</f>
        <v>#REF!</v>
      </c>
      <c r="P19" s="177" t="e">
        <f>+#REF!</f>
        <v>#REF!</v>
      </c>
      <c r="Q19" s="177" t="e">
        <f>+#REF!</f>
        <v>#REF!</v>
      </c>
      <c r="R19" s="177" t="e">
        <f>+#REF!</f>
        <v>#REF!</v>
      </c>
      <c r="S19" s="177" t="e">
        <f>+#REF!</f>
        <v>#REF!</v>
      </c>
    </row>
    <row r="20" spans="1:19" ht="21" hidden="1" customHeight="1" x14ac:dyDescent="0.3">
      <c r="A20" s="545"/>
      <c r="B20" s="171" t="str">
        <f>+'GRUPO A'!M29</f>
        <v>LAS VEGAS</v>
      </c>
      <c r="C20" s="171" t="str">
        <f>+'GRUPO A'!C29</f>
        <v>04:00. p.m.</v>
      </c>
      <c r="D20" s="171" t="str">
        <f>+'GRUPO A'!E29</f>
        <v>CLUB DEPORTIVO OS FUTSAL</v>
      </c>
      <c r="E20" s="171">
        <f>+'GRUPO A'!G29</f>
        <v>2</v>
      </c>
      <c r="F20" s="171">
        <f>+'GRUPO A'!I29</f>
        <v>10</v>
      </c>
      <c r="G20" s="171" t="str">
        <f>+'GRUPO A'!K29</f>
        <v>CLUB LOS PAPETICOS</v>
      </c>
      <c r="H20" s="172" t="str">
        <f>+'GRUPO A'!B4</f>
        <v>GRUPO A</v>
      </c>
      <c r="J20" s="175" t="e">
        <f>+#REF!</f>
        <v>#REF!</v>
      </c>
      <c r="K20" s="169" t="e">
        <f>+#REF!</f>
        <v>#REF!</v>
      </c>
      <c r="L20" s="169" t="e">
        <f>+#REF!</f>
        <v>#REF!</v>
      </c>
      <c r="M20" s="169" t="e">
        <f>+#REF!</f>
        <v>#REF!</v>
      </c>
      <c r="N20" s="169" t="e">
        <f>+#REF!</f>
        <v>#REF!</v>
      </c>
      <c r="O20" s="169" t="e">
        <f>+#REF!</f>
        <v>#REF!</v>
      </c>
      <c r="P20" s="169" t="e">
        <f>+#REF!</f>
        <v>#REF!</v>
      </c>
      <c r="Q20" s="169" t="e">
        <f>+#REF!</f>
        <v>#REF!</v>
      </c>
      <c r="R20" s="169" t="e">
        <f>+#REF!</f>
        <v>#REF!</v>
      </c>
      <c r="S20" s="169" t="e">
        <f>+#REF!</f>
        <v>#REF!</v>
      </c>
    </row>
    <row r="21" spans="1:19" ht="21" hidden="1" customHeight="1" x14ac:dyDescent="0.3">
      <c r="A21" s="545"/>
      <c r="B21" s="169" t="str">
        <f>+'GRUPO B'!M26</f>
        <v>CANCHA 1</v>
      </c>
      <c r="C21" s="169" t="str">
        <f>+'GRUPO B'!C26</f>
        <v>09:50. a.m.</v>
      </c>
      <c r="D21" s="169" t="str">
        <f>+'GRUPO B'!E26</f>
        <v>ESCUELA DEPORTIVA FÚTBOL RAQUIRA</v>
      </c>
      <c r="E21" s="169">
        <f>+'GRUPO B'!G26</f>
        <v>2</v>
      </c>
      <c r="F21" s="169">
        <f>+'GRUPO B'!I26</f>
        <v>6</v>
      </c>
      <c r="G21" s="169" t="str">
        <f>+'GRUPO B'!K26</f>
        <v>CLUB CAMPESTRE IBAGUE</v>
      </c>
      <c r="H21" s="170" t="str">
        <f>+'GRUPO B'!B4</f>
        <v>GRUPO B</v>
      </c>
      <c r="J21" s="175" t="e">
        <f>+#REF!</f>
        <v>#REF!</v>
      </c>
      <c r="K21" s="169" t="e">
        <f>+#REF!</f>
        <v>#REF!</v>
      </c>
      <c r="L21" s="169" t="e">
        <f>+#REF!</f>
        <v>#REF!</v>
      </c>
      <c r="M21" s="169" t="e">
        <f>+#REF!</f>
        <v>#REF!</v>
      </c>
      <c r="N21" s="169" t="e">
        <f>+#REF!</f>
        <v>#REF!</v>
      </c>
      <c r="O21" s="169" t="e">
        <f>+#REF!</f>
        <v>#REF!</v>
      </c>
      <c r="P21" s="169" t="e">
        <f>+#REF!</f>
        <v>#REF!</v>
      </c>
      <c r="Q21" s="169" t="e">
        <f>+#REF!</f>
        <v>#REF!</v>
      </c>
      <c r="R21" s="169" t="e">
        <f>+#REF!</f>
        <v>#REF!</v>
      </c>
      <c r="S21" s="169" t="e">
        <f>+#REF!</f>
        <v>#REF!</v>
      </c>
    </row>
    <row r="22" spans="1:19" ht="21" hidden="1" customHeight="1" x14ac:dyDescent="0.3">
      <c r="A22" s="545"/>
      <c r="B22" s="171" t="str">
        <f>+'GRUPO B'!M29</f>
        <v>CANCHA 1</v>
      </c>
      <c r="C22" s="171" t="str">
        <f>+'GRUPO B'!C29</f>
        <v>10:50. a.m.</v>
      </c>
      <c r="D22" s="171" t="str">
        <f>+'GRUPO B'!E29</f>
        <v>TEMPLO DEL FÚTBOL</v>
      </c>
      <c r="E22" s="171">
        <f>+'GRUPO B'!G29</f>
        <v>6</v>
      </c>
      <c r="F22" s="171">
        <f>+'GRUPO B'!I29</f>
        <v>1</v>
      </c>
      <c r="G22" s="171" t="str">
        <f>+'GRUPO B'!K29</f>
        <v>EIFD TESOROS SPORTS</v>
      </c>
      <c r="H22" s="172" t="str">
        <f>+'GRUPO B'!B4</f>
        <v>GRUPO B</v>
      </c>
      <c r="J22" s="175" t="e">
        <f>+#REF!</f>
        <v>#REF!</v>
      </c>
      <c r="K22" s="169" t="e">
        <f>+#REF!</f>
        <v>#REF!</v>
      </c>
      <c r="L22" s="169" t="e">
        <f>+#REF!</f>
        <v>#REF!</v>
      </c>
      <c r="M22" s="169" t="e">
        <f>+#REF!</f>
        <v>#REF!</v>
      </c>
      <c r="N22" s="169" t="e">
        <f>+#REF!</f>
        <v>#REF!</v>
      </c>
      <c r="O22" s="169" t="e">
        <f>+#REF!</f>
        <v>#REF!</v>
      </c>
      <c r="P22" s="169" t="e">
        <f>+#REF!</f>
        <v>#REF!</v>
      </c>
      <c r="Q22" s="169" t="e">
        <f>+#REF!</f>
        <v>#REF!</v>
      </c>
      <c r="R22" s="169" t="e">
        <f>+#REF!</f>
        <v>#REF!</v>
      </c>
      <c r="S22" s="169" t="e">
        <f>+#REF!</f>
        <v>#REF!</v>
      </c>
    </row>
    <row r="23" spans="1:19" ht="21" hidden="1" customHeight="1" x14ac:dyDescent="0.3">
      <c r="A23" s="545"/>
      <c r="B23" s="169" t="e">
        <f>+#REF!</f>
        <v>#REF!</v>
      </c>
      <c r="C23" s="169" t="e">
        <f>+#REF!</f>
        <v>#REF!</v>
      </c>
      <c r="D23" s="169" t="e">
        <f>+#REF!</f>
        <v>#REF!</v>
      </c>
      <c r="E23" s="169" t="e">
        <f>+#REF!</f>
        <v>#REF!</v>
      </c>
      <c r="F23" s="169" t="e">
        <f>+#REF!</f>
        <v>#REF!</v>
      </c>
      <c r="G23" s="169" t="e">
        <f>+#REF!</f>
        <v>#REF!</v>
      </c>
      <c r="H23" s="169" t="e">
        <f>+#REF!</f>
        <v>#REF!</v>
      </c>
      <c r="J23" s="175" t="e">
        <f>+#REF!</f>
        <v>#REF!</v>
      </c>
      <c r="K23" s="169" t="e">
        <f>+#REF!</f>
        <v>#REF!</v>
      </c>
      <c r="L23" s="169" t="e">
        <f>+#REF!</f>
        <v>#REF!</v>
      </c>
      <c r="M23" s="169" t="e">
        <f>+#REF!</f>
        <v>#REF!</v>
      </c>
      <c r="N23" s="169" t="e">
        <f>+#REF!</f>
        <v>#REF!</v>
      </c>
      <c r="O23" s="169" t="e">
        <f>+#REF!</f>
        <v>#REF!</v>
      </c>
      <c r="P23" s="169" t="e">
        <f>+#REF!</f>
        <v>#REF!</v>
      </c>
      <c r="Q23" s="169" t="e">
        <f>+#REF!</f>
        <v>#REF!</v>
      </c>
      <c r="R23" s="169" t="e">
        <f>+#REF!</f>
        <v>#REF!</v>
      </c>
      <c r="S23" s="169" t="e">
        <f>+#REF!</f>
        <v>#REF!</v>
      </c>
    </row>
    <row r="24" spans="1:19" ht="21" hidden="1" customHeight="1" x14ac:dyDescent="0.3">
      <c r="A24" s="545"/>
      <c r="B24" s="171" t="e">
        <f>+#REF!</f>
        <v>#REF!</v>
      </c>
      <c r="C24" s="171" t="e">
        <f>+#REF!</f>
        <v>#REF!</v>
      </c>
      <c r="D24" s="171" t="e">
        <f>+#REF!</f>
        <v>#REF!</v>
      </c>
      <c r="E24" s="171" t="e">
        <f>+#REF!</f>
        <v>#REF!</v>
      </c>
      <c r="F24" s="171" t="e">
        <f>+#REF!</f>
        <v>#REF!</v>
      </c>
      <c r="G24" s="171" t="e">
        <f>+#REF!</f>
        <v>#REF!</v>
      </c>
      <c r="H24" s="172" t="e">
        <f>+#REF!</f>
        <v>#REF!</v>
      </c>
      <c r="J24"/>
      <c r="K24"/>
      <c r="L24"/>
      <c r="M24"/>
      <c r="N24"/>
      <c r="O24"/>
      <c r="P24"/>
      <c r="Q24"/>
      <c r="R24"/>
      <c r="S24"/>
    </row>
    <row r="25" spans="1:19" ht="21" hidden="1" customHeight="1" x14ac:dyDescent="0.3">
      <c r="A25" s="545"/>
      <c r="B25" s="169" t="e">
        <f>+#REF!</f>
        <v>#REF!</v>
      </c>
      <c r="C25" s="169" t="e">
        <f>+#REF!</f>
        <v>#REF!</v>
      </c>
      <c r="D25" s="169" t="e">
        <f>+#REF!</f>
        <v>#REF!</v>
      </c>
      <c r="E25" s="169" t="e">
        <f>+#REF!</f>
        <v>#REF!</v>
      </c>
      <c r="F25" s="169" t="e">
        <f>+#REF!</f>
        <v>#REF!</v>
      </c>
      <c r="G25" s="169" t="e">
        <f>+#REF!</f>
        <v>#REF!</v>
      </c>
      <c r="H25" s="169" t="e">
        <f>+#REF!</f>
        <v>#REF!</v>
      </c>
      <c r="J25" s="178" t="e">
        <f>+#REF!</f>
        <v>#REF!</v>
      </c>
      <c r="K25" s="179" t="e">
        <f>+#REF!</f>
        <v>#REF!</v>
      </c>
      <c r="L25" s="179" t="e">
        <f>+#REF!</f>
        <v>#REF!</v>
      </c>
      <c r="M25" s="179" t="e">
        <f>+#REF!</f>
        <v>#REF!</v>
      </c>
      <c r="N25" s="179" t="e">
        <f>+#REF!</f>
        <v>#REF!</v>
      </c>
      <c r="O25" s="179" t="e">
        <f>+#REF!</f>
        <v>#REF!</v>
      </c>
      <c r="P25" s="179" t="e">
        <f>+#REF!</f>
        <v>#REF!</v>
      </c>
      <c r="Q25" s="179" t="e">
        <f>+#REF!</f>
        <v>#REF!</v>
      </c>
      <c r="R25" s="179" t="e">
        <f>+#REF!</f>
        <v>#REF!</v>
      </c>
      <c r="S25" s="179" t="e">
        <f>+#REF!</f>
        <v>#REF!</v>
      </c>
    </row>
    <row r="26" spans="1:19" ht="21" hidden="1" customHeight="1" x14ac:dyDescent="0.3">
      <c r="A26" s="545"/>
      <c r="B26" s="171" t="e">
        <f>+#REF!</f>
        <v>#REF!</v>
      </c>
      <c r="C26" s="171" t="e">
        <f>+#REF!</f>
        <v>#REF!</v>
      </c>
      <c r="D26" s="171" t="e">
        <f>+#REF!</f>
        <v>#REF!</v>
      </c>
      <c r="E26" s="171" t="e">
        <f>+#REF!</f>
        <v>#REF!</v>
      </c>
      <c r="F26" s="171" t="e">
        <f>+#REF!</f>
        <v>#REF!</v>
      </c>
      <c r="G26" s="171" t="e">
        <f>+#REF!</f>
        <v>#REF!</v>
      </c>
      <c r="H26" s="172" t="e">
        <f>+#REF!</f>
        <v>#REF!</v>
      </c>
      <c r="J26" s="175" t="e">
        <f>+#REF!</f>
        <v>#REF!</v>
      </c>
      <c r="K26" s="169" t="e">
        <f>+#REF!</f>
        <v>#REF!</v>
      </c>
      <c r="L26" s="169" t="e">
        <f>+#REF!</f>
        <v>#REF!</v>
      </c>
      <c r="M26" s="169" t="e">
        <f>+#REF!</f>
        <v>#REF!</v>
      </c>
      <c r="N26" s="169" t="e">
        <f>+#REF!</f>
        <v>#REF!</v>
      </c>
      <c r="O26" s="169" t="e">
        <f>+#REF!</f>
        <v>#REF!</v>
      </c>
      <c r="P26" s="169" t="e">
        <f>+#REF!</f>
        <v>#REF!</v>
      </c>
      <c r="Q26" s="169" t="e">
        <f>+#REF!</f>
        <v>#REF!</v>
      </c>
      <c r="R26" s="169" t="e">
        <f>+#REF!</f>
        <v>#REF!</v>
      </c>
      <c r="S26" s="169" t="e">
        <f>+#REF!</f>
        <v>#REF!</v>
      </c>
    </row>
    <row r="27" spans="1:19" ht="3" hidden="1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hidden="1" customHeight="1" x14ac:dyDescent="0.3">
      <c r="B28" s="538" t="str">
        <f>+'IMPRIMIR 3'!A17</f>
        <v>PARTIDOS                 fecha 3 ULTIMA</v>
      </c>
      <c r="C28" s="539"/>
      <c r="D28" s="539"/>
      <c r="E28" s="539"/>
      <c r="F28" s="539"/>
      <c r="G28" s="539"/>
      <c r="H28" s="540"/>
      <c r="J28" s="175" t="e">
        <f>+#REF!</f>
        <v>#REF!</v>
      </c>
      <c r="K28" s="169" t="e">
        <f>+#REF!</f>
        <v>#REF!</v>
      </c>
      <c r="L28" s="169" t="e">
        <f>+#REF!</f>
        <v>#REF!</v>
      </c>
      <c r="M28" s="169" t="e">
        <f>+#REF!</f>
        <v>#REF!</v>
      </c>
      <c r="N28" s="169" t="e">
        <f>+#REF!</f>
        <v>#REF!</v>
      </c>
      <c r="O28" s="169" t="e">
        <f>+#REF!</f>
        <v>#REF!</v>
      </c>
      <c r="P28" s="169" t="e">
        <f>+#REF!</f>
        <v>#REF!</v>
      </c>
      <c r="Q28" s="169" t="e">
        <f>+#REF!</f>
        <v>#REF!</v>
      </c>
      <c r="R28" s="169" t="e">
        <f>+#REF!</f>
        <v>#REF!</v>
      </c>
      <c r="S28" s="169" t="e">
        <f>+#REF!</f>
        <v>#REF!</v>
      </c>
    </row>
    <row r="29" spans="1:19" ht="21" hidden="1" customHeight="1" x14ac:dyDescent="0.3">
      <c r="B29" s="180" t="s">
        <v>69</v>
      </c>
      <c r="C29" s="180" t="s">
        <v>70</v>
      </c>
      <c r="D29" s="180" t="s">
        <v>71</v>
      </c>
      <c r="E29" s="543" t="s">
        <v>72</v>
      </c>
      <c r="F29" s="543"/>
      <c r="G29" s="180" t="s">
        <v>71</v>
      </c>
      <c r="H29" s="180" t="s">
        <v>73</v>
      </c>
      <c r="J29" s="175" t="e">
        <f>+#REF!</f>
        <v>#REF!</v>
      </c>
      <c r="K29" s="169" t="e">
        <f>+#REF!</f>
        <v>#REF!</v>
      </c>
      <c r="L29" s="169" t="e">
        <f>+#REF!</f>
        <v>#REF!</v>
      </c>
      <c r="M29" s="169" t="e">
        <f>+#REF!</f>
        <v>#REF!</v>
      </c>
      <c r="N29" s="169" t="e">
        <f>+#REF!</f>
        <v>#REF!</v>
      </c>
      <c r="O29" s="169" t="e">
        <f>+#REF!</f>
        <v>#REF!</v>
      </c>
      <c r="P29" s="169" t="e">
        <f>+#REF!</f>
        <v>#REF!</v>
      </c>
      <c r="Q29" s="169" t="e">
        <f>+#REF!</f>
        <v>#REF!</v>
      </c>
      <c r="R29" s="169" t="e">
        <f>+#REF!</f>
        <v>#REF!</v>
      </c>
      <c r="S29" s="169" t="e">
        <f>+#REF!</f>
        <v>#REF!</v>
      </c>
    </row>
    <row r="30" spans="1:19" ht="21" hidden="1" customHeight="1" x14ac:dyDescent="0.3">
      <c r="A30" s="544">
        <f>+'GRUPO A'!B32</f>
        <v>42813</v>
      </c>
      <c r="B30" s="169" t="str">
        <f>+'GRUPO A'!M32</f>
        <v>CANCHA 2</v>
      </c>
      <c r="C30" s="169" t="str">
        <f>+'GRUPO A'!C32</f>
        <v>01:15. p.m.</v>
      </c>
      <c r="D30" s="169" t="str">
        <f>+'GRUPO A'!E32</f>
        <v>CLUB DEPORTIVO OS FUTSAL</v>
      </c>
      <c r="E30" s="169">
        <f>+'GRUPO A'!G32</f>
        <v>0</v>
      </c>
      <c r="F30" s="169">
        <f>+'GRUPO A'!I32</f>
        <v>8</v>
      </c>
      <c r="G30" s="169" t="str">
        <f>+'GRUPO A'!K32</f>
        <v>ESCUELA DE FORMACION DEPORTIVA MARACANA</v>
      </c>
      <c r="H30" s="170" t="str">
        <f>+'GRUPO A'!B4</f>
        <v>GRUPO A</v>
      </c>
      <c r="J30" s="175" t="e">
        <f>+#REF!</f>
        <v>#REF!</v>
      </c>
      <c r="K30" s="169" t="e">
        <f>+#REF!</f>
        <v>#REF!</v>
      </c>
      <c r="L30" s="169" t="e">
        <f>+#REF!</f>
        <v>#REF!</v>
      </c>
      <c r="M30" s="169" t="e">
        <f>+#REF!</f>
        <v>#REF!</v>
      </c>
      <c r="N30" s="169" t="e">
        <f>+#REF!</f>
        <v>#REF!</v>
      </c>
      <c r="O30" s="169" t="e">
        <f>+#REF!</f>
        <v>#REF!</v>
      </c>
      <c r="P30" s="169" t="e">
        <f>+#REF!</f>
        <v>#REF!</v>
      </c>
      <c r="Q30" s="169" t="e">
        <f>+#REF!</f>
        <v>#REF!</v>
      </c>
      <c r="R30" s="169" t="e">
        <f>+#REF!</f>
        <v>#REF!</v>
      </c>
      <c r="S30" s="169" t="e">
        <f>+#REF!</f>
        <v>#REF!</v>
      </c>
    </row>
    <row r="31" spans="1:19" ht="21" hidden="1" customHeight="1" x14ac:dyDescent="0.3">
      <c r="A31" s="545"/>
      <c r="B31" s="171" t="str">
        <f>+'GRUPO A'!M35</f>
        <v>CANCHA 1</v>
      </c>
      <c r="C31" s="171" t="str">
        <f>+'GRUPO A'!C35</f>
        <v>02:30. p.m.</v>
      </c>
      <c r="D31" s="171" t="str">
        <f>+'GRUPO A'!E35</f>
        <v>AJAX AIMARA</v>
      </c>
      <c r="E31" s="171">
        <f>+'GRUPO A'!G35</f>
        <v>2</v>
      </c>
      <c r="F31" s="171">
        <f>+'GRUPO A'!I35</f>
        <v>7</v>
      </c>
      <c r="G31" s="171" t="str">
        <f>+'GRUPO A'!K35</f>
        <v>CLUB LOS PAPETICOS</v>
      </c>
      <c r="H31" s="172" t="str">
        <f>+'GRUPO A'!B4</f>
        <v>GRUPO A</v>
      </c>
    </row>
    <row r="32" spans="1:19" ht="21" hidden="1" customHeight="1" x14ac:dyDescent="0.3">
      <c r="A32" s="545"/>
      <c r="B32" s="169" t="str">
        <f>+'GRUPO B'!M32</f>
        <v>CANCHA 1</v>
      </c>
      <c r="C32" s="169" t="str">
        <f>+'GRUPO B'!C32</f>
        <v>04:30. p.m.</v>
      </c>
      <c r="D32" s="169" t="str">
        <f>+'GRUPO B'!E32</f>
        <v>ESCUELA DEPORTIVA FÚTBOL RAQUIRA</v>
      </c>
      <c r="E32" s="169">
        <f>+'GRUPO B'!G32</f>
        <v>0</v>
      </c>
      <c r="F32" s="169">
        <f>+'GRUPO B'!I32</f>
        <v>1</v>
      </c>
      <c r="G32" s="169" t="str">
        <f>+'GRUPO B'!K32</f>
        <v>BLUEMARTIN F.C .</v>
      </c>
      <c r="H32" s="170" t="str">
        <f>+'GRUPO B'!B4</f>
        <v>GRUPO B</v>
      </c>
    </row>
    <row r="33" spans="1:8" ht="21" hidden="1" customHeight="1" x14ac:dyDescent="0.3">
      <c r="A33" s="545"/>
      <c r="B33" s="171" t="str">
        <f>+'GRUPO B'!M35</f>
        <v>CANCHA 2</v>
      </c>
      <c r="C33" s="171" t="str">
        <f>+'GRUPO B'!C35</f>
        <v>03:25. p.m.</v>
      </c>
      <c r="D33" s="171" t="str">
        <f>+'GRUPO B'!E35</f>
        <v>TEMPLO DEL FÚTBOL</v>
      </c>
      <c r="E33" s="171">
        <f>+'GRUPO B'!G35</f>
        <v>0</v>
      </c>
      <c r="F33" s="171">
        <f>+'GRUPO B'!I35</f>
        <v>0</v>
      </c>
      <c r="G33" s="171" t="str">
        <f>+'GRUPO B'!K35</f>
        <v>CLUB CAMPESTRE IBAGUE</v>
      </c>
      <c r="H33" s="172" t="str">
        <f>+'GRUPO B'!B4</f>
        <v>GRUPO B</v>
      </c>
    </row>
    <row r="34" spans="1:8" ht="21" hidden="1" customHeight="1" x14ac:dyDescent="0.3">
      <c r="A34" s="545"/>
      <c r="B34" s="169" t="e">
        <f>+#REF!</f>
        <v>#REF!</v>
      </c>
      <c r="C34" s="169" t="e">
        <f>+#REF!</f>
        <v>#REF!</v>
      </c>
      <c r="D34" s="169" t="e">
        <f>+#REF!</f>
        <v>#REF!</v>
      </c>
      <c r="E34" s="169" t="e">
        <f>+#REF!</f>
        <v>#REF!</v>
      </c>
      <c r="F34" s="169" t="e">
        <f>+#REF!</f>
        <v>#REF!</v>
      </c>
      <c r="G34" s="169" t="e">
        <f>+#REF!</f>
        <v>#REF!</v>
      </c>
      <c r="H34" s="169" t="e">
        <f>+#REF!</f>
        <v>#REF!</v>
      </c>
    </row>
    <row r="35" spans="1:8" ht="21" hidden="1" customHeight="1" x14ac:dyDescent="0.3">
      <c r="A35" s="545"/>
      <c r="B35" s="171" t="e">
        <f>+#REF!</f>
        <v>#REF!</v>
      </c>
      <c r="C35" s="171" t="e">
        <f>+#REF!</f>
        <v>#REF!</v>
      </c>
      <c r="D35" s="171" t="e">
        <f>+#REF!</f>
        <v>#REF!</v>
      </c>
      <c r="E35" s="171" t="e">
        <f>+#REF!</f>
        <v>#REF!</v>
      </c>
      <c r="F35" s="171" t="e">
        <f>+#REF!</f>
        <v>#REF!</v>
      </c>
      <c r="G35" s="171" t="e">
        <f>+#REF!</f>
        <v>#REF!</v>
      </c>
      <c r="H35" s="172" t="e">
        <f>+#REF!</f>
        <v>#REF!</v>
      </c>
    </row>
    <row r="36" spans="1:8" ht="21" hidden="1" customHeight="1" x14ac:dyDescent="0.3">
      <c r="A36" s="545"/>
      <c r="B36" s="169" t="e">
        <f>+#REF!</f>
        <v>#REF!</v>
      </c>
      <c r="C36" s="169" t="e">
        <f>+#REF!</f>
        <v>#REF!</v>
      </c>
      <c r="D36" s="169" t="e">
        <f>+#REF!</f>
        <v>#REF!</v>
      </c>
      <c r="E36" s="169" t="e">
        <f>+#REF!</f>
        <v>#REF!</v>
      </c>
      <c r="F36" s="169" t="e">
        <f>+#REF!</f>
        <v>#REF!</v>
      </c>
      <c r="G36" s="169" t="e">
        <f>+#REF!</f>
        <v>#REF!</v>
      </c>
      <c r="H36" s="169" t="e">
        <f>+#REF!</f>
        <v>#REF!</v>
      </c>
    </row>
    <row r="37" spans="1:8" ht="21" hidden="1" customHeight="1" x14ac:dyDescent="0.3">
      <c r="A37" s="545"/>
      <c r="B37" s="171" t="e">
        <f>+#REF!</f>
        <v>#REF!</v>
      </c>
      <c r="C37" s="171" t="e">
        <f>+#REF!</f>
        <v>#REF!</v>
      </c>
      <c r="D37" s="171" t="e">
        <f>+#REF!</f>
        <v>#REF!</v>
      </c>
      <c r="E37" s="171" t="e">
        <f>+#REF!</f>
        <v>#REF!</v>
      </c>
      <c r="F37" s="171" t="e">
        <f>+#REF!</f>
        <v>#REF!</v>
      </c>
      <c r="G37" s="171" t="e">
        <f>+#REF!</f>
        <v>#REF!</v>
      </c>
      <c r="H37" s="172" t="e">
        <f>+#REF!</f>
        <v>#REF!</v>
      </c>
    </row>
    <row r="38" spans="1:8" ht="3" customHeight="1" x14ac:dyDescent="0.3">
      <c r="B38"/>
      <c r="C38"/>
      <c r="D38"/>
      <c r="E38"/>
      <c r="F38"/>
      <c r="G38"/>
      <c r="H38"/>
    </row>
    <row r="39" spans="1:8" ht="23.25" customHeight="1" x14ac:dyDescent="0.3">
      <c r="B39" s="555" t="str">
        <f>+'CUARTOS DE FINAL.'!B2</f>
        <v>CUARTOS DE FINAL</v>
      </c>
      <c r="C39" s="556"/>
      <c r="D39" s="556"/>
      <c r="E39" s="556"/>
      <c r="F39" s="556"/>
      <c r="G39" s="556"/>
      <c r="H39" s="557"/>
    </row>
    <row r="40" spans="1:8" ht="21" customHeight="1" x14ac:dyDescent="0.3">
      <c r="B40" s="180" t="s">
        <v>69</v>
      </c>
      <c r="C40" s="180" t="s">
        <v>70</v>
      </c>
      <c r="D40" s="180" t="s">
        <v>71</v>
      </c>
      <c r="E40" s="543" t="s">
        <v>72</v>
      </c>
      <c r="F40" s="543"/>
      <c r="G40" s="180" t="s">
        <v>71</v>
      </c>
      <c r="H40" s="180" t="s">
        <v>76</v>
      </c>
    </row>
    <row r="41" spans="1:8" ht="21" customHeight="1" x14ac:dyDescent="0.3">
      <c r="A41" s="544">
        <f>+'CUARTOS DE FINAL.'!B9</f>
        <v>42596</v>
      </c>
      <c r="B41" s="170" t="str">
        <f>+'CUARTOS DE FINAL.'!N6</f>
        <v>PALMARA</v>
      </c>
      <c r="C41" s="169" t="str">
        <f>+'CUARTOS DE FINAL.'!D6</f>
        <v>03:00. p.m.</v>
      </c>
      <c r="D41" s="169" t="e">
        <f>+'CUARTOS DE FINAL.'!G6</f>
        <v>#N/A</v>
      </c>
      <c r="E41" s="169">
        <f>+'CUARTOS DE FINAL.'!H6</f>
        <v>1</v>
      </c>
      <c r="F41" s="169">
        <f>+'CUARTOS DE FINAL.'!J6</f>
        <v>2</v>
      </c>
      <c r="G41" s="169" t="e">
        <f>+'CUARTOS DE FINAL.'!L6</f>
        <v>#REF!</v>
      </c>
      <c r="H41" s="170" t="str">
        <f>+'CUARTOS DE FINAL.'!C6</f>
        <v>LLAVE A</v>
      </c>
    </row>
    <row r="42" spans="1:8" ht="21" customHeight="1" x14ac:dyDescent="0.3">
      <c r="A42" s="544"/>
      <c r="B42" s="172" t="str">
        <f>+'CUARTOS DE FINAL.'!N9</f>
        <v>CANCHA 2</v>
      </c>
      <c r="C42" s="171" t="str">
        <f>+'CUARTOS DE FINAL.'!D9</f>
        <v>04:20. p.m.</v>
      </c>
      <c r="D42" s="171" t="str">
        <f>+'CUARTOS DE FINAL.'!G9</f>
        <v>TEMPLO DEL FÚTBOL</v>
      </c>
      <c r="E42" s="171">
        <f>+'CUARTOS DE FINAL.'!H9</f>
        <v>2</v>
      </c>
      <c r="F42" s="171">
        <f>+'CUARTOS DE FINAL.'!J9</f>
        <v>1</v>
      </c>
      <c r="G42" s="171" t="e">
        <f>+'CUARTOS DE FINAL.'!L9</f>
        <v>#REF!</v>
      </c>
      <c r="H42" s="172" t="str">
        <f>+'CUARTOS DE FINAL.'!C9</f>
        <v>LLAVE B</v>
      </c>
    </row>
    <row r="43" spans="1:8" ht="21" customHeight="1" x14ac:dyDescent="0.3">
      <c r="A43" s="544"/>
      <c r="B43" s="170" t="str">
        <f>+'CUARTOS DE FINAL.'!N12</f>
        <v>CANCHA 2</v>
      </c>
      <c r="C43" s="169" t="str">
        <f>+'CUARTOS DE FINAL.'!D12</f>
        <v>03:00. p.m.</v>
      </c>
      <c r="D43" s="169" t="e">
        <f>+'CUARTOS DE FINAL.'!G12</f>
        <v>#REF!</v>
      </c>
      <c r="E43" s="169">
        <f>+'CUARTOS DE FINAL.'!H12</f>
        <v>1</v>
      </c>
      <c r="F43" s="169">
        <f>+'CUARTOS DE FINAL.'!J12</f>
        <v>2</v>
      </c>
      <c r="G43" s="169" t="e">
        <f>+'CUARTOS DE FINAL.'!L12</f>
        <v>#N/A</v>
      </c>
      <c r="H43" s="170" t="str">
        <f>+'CUARTOS DE FINAL.'!C12</f>
        <v>LLAVE C</v>
      </c>
    </row>
    <row r="44" spans="1:8" ht="21" customHeight="1" x14ac:dyDescent="0.3">
      <c r="A44" s="544"/>
      <c r="B44" s="172" t="str">
        <f>+'CUARTOS DE FINAL.'!N15</f>
        <v>PALMARA</v>
      </c>
      <c r="C44" s="171" t="str">
        <f>+'CUARTOS DE FINAL.'!D15</f>
        <v>04:20. p.m.</v>
      </c>
      <c r="D44" s="171" t="e">
        <f>+'CUARTOS DE FINAL.'!G15</f>
        <v>#REF!</v>
      </c>
      <c r="E44" s="171">
        <f>+'CUARTOS DE FINAL.'!H15</f>
        <v>2</v>
      </c>
      <c r="F44" s="171">
        <f>+'CUARTOS DE FINAL.'!J15</f>
        <v>1</v>
      </c>
      <c r="G44" s="171" t="str">
        <f>+'CUARTOS DE FINAL.'!L15</f>
        <v>CLUB CAMPESTRE IBAGUE</v>
      </c>
      <c r="H44" s="172" t="str">
        <f>+'CUARTOS DE FINAL.'!C15</f>
        <v>LLAVE D</v>
      </c>
    </row>
    <row r="45" spans="1:8" ht="21" customHeight="1" x14ac:dyDescent="0.3">
      <c r="A45" s="181"/>
      <c r="B45" s="1"/>
      <c r="C45" s="1"/>
      <c r="D45" s="1"/>
      <c r="E45" s="1"/>
      <c r="F45" s="1"/>
      <c r="G45" s="1"/>
      <c r="H45" s="1"/>
    </row>
    <row r="46" spans="1:8" ht="27.9" customHeight="1" x14ac:dyDescent="0.3">
      <c r="B46" s="558" t="str">
        <f>+DEFINICION!B5</f>
        <v>SEMIFINALES</v>
      </c>
      <c r="C46" s="559"/>
      <c r="D46" s="559"/>
      <c r="E46" s="559"/>
      <c r="F46" s="559"/>
      <c r="G46" s="559"/>
      <c r="H46" s="560"/>
    </row>
    <row r="47" spans="1:8" ht="27.9" customHeight="1" x14ac:dyDescent="0.3">
      <c r="B47" s="180" t="s">
        <v>69</v>
      </c>
      <c r="C47" s="180" t="s">
        <v>70</v>
      </c>
      <c r="D47" s="180" t="s">
        <v>71</v>
      </c>
      <c r="E47" s="543" t="s">
        <v>72</v>
      </c>
      <c r="F47" s="543"/>
      <c r="G47" s="180" t="s">
        <v>71</v>
      </c>
      <c r="H47" s="180" t="s">
        <v>76</v>
      </c>
    </row>
    <row r="48" spans="1:8" ht="27.9" customHeight="1" x14ac:dyDescent="0.3">
      <c r="A48" s="544">
        <f>+DEFINICION!B9</f>
        <v>42814</v>
      </c>
      <c r="B48" s="170" t="str">
        <f>+DEFINICION!Q9</f>
        <v>CANCHA 2</v>
      </c>
      <c r="C48" s="169" t="str">
        <f>+DEFINICION!D9</f>
        <v>07:00. a.m.</v>
      </c>
      <c r="D48" s="169" t="e">
        <f>+'CUARTOS DE FINAL.'!P6</f>
        <v>#REF!</v>
      </c>
      <c r="E48" s="169">
        <f>+DEFINICION!J9</f>
        <v>2</v>
      </c>
      <c r="F48" s="169">
        <f>+DEFINICION!L9</f>
        <v>0</v>
      </c>
      <c r="G48" s="169" t="e">
        <f>+'CUARTOS DE FINAL.'!P12</f>
        <v>#N/A</v>
      </c>
      <c r="H48" s="170" t="str">
        <f>+DEFINICION!C9</f>
        <v>LLAVE 1</v>
      </c>
    </row>
    <row r="49" spans="1:8" ht="27.9" customHeight="1" x14ac:dyDescent="0.3">
      <c r="A49" s="544"/>
      <c r="B49" s="172" t="str">
        <f>+DEFINICION!Q12</f>
        <v>CANCHA 2</v>
      </c>
      <c r="C49" s="171" t="str">
        <f>+DEFINICION!D12</f>
        <v>08:00. a.m.</v>
      </c>
      <c r="D49" s="171" t="str">
        <f>+'CUARTOS DE FINAL.'!P9</f>
        <v>TEMPLO DEL FÚTBOL</v>
      </c>
      <c r="E49" s="171">
        <f>+DEFINICION!J12</f>
        <v>1</v>
      </c>
      <c r="F49" s="171">
        <f>+DEFINICION!L12</f>
        <v>0</v>
      </c>
      <c r="G49" s="171" t="e">
        <f>+'CUARTOS DE FINAL.'!P15</f>
        <v>#REF!</v>
      </c>
      <c r="H49" s="172" t="str">
        <f>+DEFINICION!C12</f>
        <v>LLAVE 2</v>
      </c>
    </row>
    <row r="50" spans="1:8" ht="27.9" customHeight="1" x14ac:dyDescent="0.3">
      <c r="A50" s="188"/>
      <c r="B50" s="184"/>
      <c r="C50" s="1"/>
      <c r="D50" s="1"/>
      <c r="E50" s="1"/>
      <c r="F50" s="1"/>
      <c r="G50" s="1"/>
      <c r="H50" s="184"/>
    </row>
    <row r="51" spans="1:8" ht="27.9" customHeight="1" x14ac:dyDescent="0.3">
      <c r="B51" s="552" t="str">
        <f>+FINAL!B7</f>
        <v>Partido por el TERCER PUESTO</v>
      </c>
      <c r="C51" s="553"/>
      <c r="D51" s="553"/>
      <c r="E51" s="553"/>
      <c r="F51" s="553"/>
      <c r="G51" s="553"/>
      <c r="H51" s="554"/>
    </row>
    <row r="52" spans="1:8" ht="27.9" customHeight="1" x14ac:dyDescent="0.3">
      <c r="B52" s="180" t="s">
        <v>69</v>
      </c>
      <c r="C52" s="180" t="s">
        <v>70</v>
      </c>
      <c r="D52" s="180" t="s">
        <v>71</v>
      </c>
      <c r="E52" s="543" t="s">
        <v>72</v>
      </c>
      <c r="F52" s="543"/>
      <c r="G52" s="180" t="s">
        <v>71</v>
      </c>
      <c r="H52" s="180"/>
    </row>
    <row r="53" spans="1:8" ht="27.9" customHeight="1" x14ac:dyDescent="0.3">
      <c r="A53" s="192">
        <f>+FINAL!B9</f>
        <v>42814</v>
      </c>
      <c r="B53" s="170" t="str">
        <f>+FINAL!O9</f>
        <v>CANCHA 2</v>
      </c>
      <c r="C53" s="169">
        <f>+DEFINICION!D14</f>
        <v>0</v>
      </c>
      <c r="D53" s="169" t="str">
        <f>+FINAL!H9</f>
        <v>CLUB CAMPESTRE IBAGUE</v>
      </c>
      <c r="E53" s="169" t="str">
        <f>+FINAL!I9</f>
        <v>.</v>
      </c>
      <c r="F53" s="169" t="str">
        <f>+FINAL!K9</f>
        <v>.</v>
      </c>
      <c r="G53" s="169" t="e">
        <f>+FINAL!M9</f>
        <v>#N/A</v>
      </c>
      <c r="H53" s="170"/>
    </row>
    <row r="54" spans="1:8" ht="10.5" customHeight="1" x14ac:dyDescent="0.3">
      <c r="A54" s="186"/>
      <c r="B54" s="189"/>
      <c r="C54" s="190"/>
      <c r="D54" s="190"/>
      <c r="E54" s="190"/>
      <c r="F54" s="190"/>
      <c r="G54" s="190"/>
      <c r="H54" s="191"/>
    </row>
    <row r="55" spans="1:8" ht="27.9" customHeight="1" x14ac:dyDescent="0.3">
      <c r="A55" s="186"/>
      <c r="B55" s="549" t="str">
        <f>+FINAL!B13</f>
        <v>FINAL DEL CAMPEONATO</v>
      </c>
      <c r="C55" s="550"/>
      <c r="D55" s="550"/>
      <c r="E55" s="550"/>
      <c r="F55" s="550"/>
      <c r="G55" s="550"/>
      <c r="H55" s="551"/>
    </row>
    <row r="56" spans="1:8" ht="27.9" customHeight="1" x14ac:dyDescent="0.3">
      <c r="A56" s="186"/>
      <c r="B56" s="180" t="s">
        <v>69</v>
      </c>
      <c r="C56" s="180" t="s">
        <v>70</v>
      </c>
      <c r="D56" s="180" t="s">
        <v>71</v>
      </c>
      <c r="E56" s="543" t="s">
        <v>72</v>
      </c>
      <c r="F56" s="543"/>
      <c r="G56" s="180" t="s">
        <v>71</v>
      </c>
      <c r="H56" s="180"/>
    </row>
    <row r="57" spans="1:8" ht="27.9" customHeight="1" x14ac:dyDescent="0.3">
      <c r="A57" s="192">
        <f>+FINAL!B15</f>
        <v>42814</v>
      </c>
      <c r="B57" s="172" t="str">
        <f>+FINAL!O15</f>
        <v>CANCHA 2</v>
      </c>
      <c r="C57" s="171">
        <f>+DEFINICION!C4</f>
        <v>0</v>
      </c>
      <c r="D57" s="171" t="e">
        <f>+FINAL!H15</f>
        <v>#N/A</v>
      </c>
      <c r="E57" s="171" t="str">
        <f>+FINAL!I15</f>
        <v>,</v>
      </c>
      <c r="F57" s="171" t="str">
        <f>+FINAL!K15</f>
        <v>,</v>
      </c>
      <c r="G57" s="171" t="str">
        <f>+FINAL!M15</f>
        <v>TEMPLO DEL FÚTBOL</v>
      </c>
      <c r="H57" s="172"/>
    </row>
    <row r="59" spans="1:8" ht="37.5" customHeight="1" x14ac:dyDescent="0.3">
      <c r="B59" s="563" t="str">
        <f>+FINAL!C19</f>
        <v>CAMPEÓN “COPA FUTURO TALENTO”</v>
      </c>
      <c r="C59" s="564"/>
      <c r="D59" s="564"/>
      <c r="E59" s="564"/>
      <c r="F59" s="564"/>
      <c r="G59" s="564"/>
      <c r="H59" s="565"/>
    </row>
    <row r="60" spans="1:8" x14ac:dyDescent="0.3">
      <c r="B60" s="561" t="str">
        <f>+FINAL!C21</f>
        <v/>
      </c>
      <c r="C60" s="561"/>
      <c r="D60" s="561"/>
      <c r="E60" s="561"/>
      <c r="F60" s="561"/>
      <c r="G60" s="561"/>
      <c r="H60" s="561"/>
    </row>
    <row r="61" spans="1:8" x14ac:dyDescent="0.3">
      <c r="B61" s="562"/>
      <c r="C61" s="562"/>
      <c r="D61" s="562"/>
      <c r="E61" s="562"/>
      <c r="F61" s="562"/>
      <c r="G61" s="562"/>
      <c r="H61" s="562"/>
    </row>
    <row r="62" spans="1:8" x14ac:dyDescent="0.3">
      <c r="B62" s="562"/>
      <c r="C62" s="562"/>
      <c r="D62" s="562"/>
      <c r="E62" s="562"/>
      <c r="F62" s="562"/>
      <c r="G62" s="562"/>
      <c r="H62" s="562"/>
    </row>
    <row r="64" spans="1:8" ht="38.25" customHeight="1" x14ac:dyDescent="0.3">
      <c r="B64" s="566" t="str">
        <f>+FINAL!Q13</f>
        <v>SEGUNDO PUESTO</v>
      </c>
      <c r="C64" s="567"/>
      <c r="D64" s="567"/>
      <c r="E64" s="567"/>
      <c r="F64" s="567"/>
      <c r="G64" s="567"/>
      <c r="H64" s="568"/>
    </row>
    <row r="65" spans="2:8" x14ac:dyDescent="0.3">
      <c r="B65" s="561" t="str">
        <f>+FINAL!Q14</f>
        <v/>
      </c>
      <c r="C65" s="561"/>
      <c r="D65" s="561"/>
      <c r="E65" s="561"/>
      <c r="F65" s="561"/>
      <c r="G65" s="561"/>
      <c r="H65" s="561"/>
    </row>
    <row r="66" spans="2:8" x14ac:dyDescent="0.3">
      <c r="B66" s="562"/>
      <c r="C66" s="562"/>
      <c r="D66" s="562"/>
      <c r="E66" s="562"/>
      <c r="F66" s="562"/>
      <c r="G66" s="562"/>
      <c r="H66" s="562"/>
    </row>
    <row r="67" spans="2:8" x14ac:dyDescent="0.3">
      <c r="B67" s="562"/>
      <c r="C67" s="562"/>
      <c r="D67" s="562"/>
      <c r="E67" s="562"/>
      <c r="F67" s="562"/>
      <c r="G67" s="562"/>
      <c r="H67" s="562"/>
    </row>
    <row r="69" spans="2:8" ht="38.4" x14ac:dyDescent="0.3">
      <c r="B69" s="569" t="str">
        <f>+FINAL!Q7</f>
        <v>TERCER PUESTO</v>
      </c>
      <c r="C69" s="570"/>
      <c r="D69" s="570"/>
      <c r="E69" s="570"/>
      <c r="F69" s="570"/>
      <c r="G69" s="570"/>
      <c r="H69" s="571"/>
    </row>
    <row r="70" spans="2:8" x14ac:dyDescent="0.3">
      <c r="B70" s="561" t="str">
        <f>+FINAL!Q8</f>
        <v/>
      </c>
      <c r="C70" s="561"/>
      <c r="D70" s="561"/>
      <c r="E70" s="561"/>
      <c r="F70" s="561"/>
      <c r="G70" s="561"/>
      <c r="H70" s="561"/>
    </row>
    <row r="71" spans="2:8" x14ac:dyDescent="0.3">
      <c r="B71" s="562"/>
      <c r="C71" s="562"/>
      <c r="D71" s="562"/>
      <c r="E71" s="562"/>
      <c r="F71" s="562"/>
      <c r="G71" s="562"/>
      <c r="H71" s="562"/>
    </row>
    <row r="72" spans="2:8" x14ac:dyDescent="0.3">
      <c r="B72" s="562"/>
      <c r="C72" s="562"/>
      <c r="D72" s="562"/>
      <c r="E72" s="562"/>
      <c r="F72" s="562"/>
      <c r="G72" s="562"/>
      <c r="H72" s="562"/>
    </row>
  </sheetData>
  <mergeCells count="30">
    <mergeCell ref="A1:H1"/>
    <mergeCell ref="A2:H2"/>
    <mergeCell ref="A3:H3"/>
    <mergeCell ref="A4:H4"/>
    <mergeCell ref="A5:H5"/>
    <mergeCell ref="B70:H72"/>
    <mergeCell ref="E47:F47"/>
    <mergeCell ref="A48:A49"/>
    <mergeCell ref="B51:H51"/>
    <mergeCell ref="E52:F52"/>
    <mergeCell ref="B55:H55"/>
    <mergeCell ref="E56:F56"/>
    <mergeCell ref="B59:H59"/>
    <mergeCell ref="B60:H62"/>
    <mergeCell ref="B64:H64"/>
    <mergeCell ref="B65:H67"/>
    <mergeCell ref="B69:H69"/>
    <mergeCell ref="B6:H6"/>
    <mergeCell ref="B46:H46"/>
    <mergeCell ref="E7:F7"/>
    <mergeCell ref="A8:A15"/>
    <mergeCell ref="B17:H17"/>
    <mergeCell ref="E18:F18"/>
    <mergeCell ref="A19:A26"/>
    <mergeCell ref="B28:H28"/>
    <mergeCell ref="E29:F29"/>
    <mergeCell ref="A30:A37"/>
    <mergeCell ref="B39:H39"/>
    <mergeCell ref="E40:F40"/>
    <mergeCell ref="A41:A44"/>
  </mergeCells>
  <printOptions horizontalCentered="1" verticalCentered="1"/>
  <pageMargins left="0.23622047244094491" right="0.23622047244094491" top="0.74803149606299213" bottom="0.74803149606299213" header="0" footer="0"/>
  <pageSetup scale="57" orientation="landscape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I39"/>
  <sheetViews>
    <sheetView topLeftCell="A8" zoomScaleNormal="100" workbookViewId="0">
      <selection activeCell="C1" sqref="B1:J40"/>
    </sheetView>
  </sheetViews>
  <sheetFormatPr baseColWidth="10" defaultColWidth="11.44140625" defaultRowHeight="14.4" x14ac:dyDescent="0.3"/>
  <cols>
    <col min="1" max="1" width="11.44140625" style="3"/>
    <col min="2" max="2" width="8.5546875" style="3" customWidth="1"/>
    <col min="3" max="3" width="11.44140625" style="3" customWidth="1"/>
    <col min="4" max="4" width="3" style="3" customWidth="1"/>
    <col min="5" max="5" width="11.44140625" style="3" customWidth="1"/>
    <col min="6" max="6" width="3" style="3" customWidth="1"/>
    <col min="7" max="7" width="11.44140625" style="3" customWidth="1"/>
    <col min="8" max="8" width="2.88671875" style="3" customWidth="1"/>
    <col min="9" max="9" width="11.44140625" style="3" customWidth="1"/>
    <col min="10" max="10" width="6.5546875" style="3" customWidth="1"/>
    <col min="11" max="16384" width="11.44140625" style="3"/>
  </cols>
  <sheetData>
    <row r="1" spans="2:9" ht="22.8" x14ac:dyDescent="0.3">
      <c r="C1" s="532">
        <f>+'GRUPOS INFANTIL'!B1:H1</f>
        <v>0</v>
      </c>
      <c r="D1" s="532"/>
      <c r="E1" s="532"/>
      <c r="F1" s="532"/>
      <c r="G1" s="532"/>
      <c r="H1" s="532"/>
      <c r="I1" s="532"/>
    </row>
    <row r="2" spans="2:9" ht="17.399999999999999" x14ac:dyDescent="0.3">
      <c r="C2" s="533" t="s">
        <v>6</v>
      </c>
      <c r="D2" s="533"/>
      <c r="E2" s="533"/>
      <c r="F2" s="533"/>
      <c r="G2" s="533"/>
      <c r="H2" s="533"/>
      <c r="I2" s="533"/>
    </row>
    <row r="4" spans="2:9" ht="20.399999999999999" x14ac:dyDescent="0.3">
      <c r="C4" s="575" t="s">
        <v>115</v>
      </c>
      <c r="D4" s="575"/>
      <c r="E4" s="575"/>
      <c r="F4" s="575"/>
      <c r="G4" s="575"/>
      <c r="H4" s="575"/>
      <c r="I4" s="575"/>
    </row>
    <row r="5" spans="2:9" ht="6" customHeight="1" thickBot="1" x14ac:dyDescent="0.35">
      <c r="C5" s="156"/>
      <c r="D5" s="156"/>
      <c r="E5" s="156"/>
      <c r="F5" s="156"/>
      <c r="G5" s="156"/>
      <c r="H5" s="156"/>
      <c r="I5" s="156"/>
    </row>
    <row r="6" spans="2:9" ht="15.6" x14ac:dyDescent="0.3">
      <c r="D6" s="158"/>
      <c r="E6" s="157" t="s">
        <v>0</v>
      </c>
      <c r="F6" s="160"/>
      <c r="G6" s="159" t="s">
        <v>1</v>
      </c>
      <c r="H6" s="162"/>
    </row>
    <row r="7" spans="2:9" ht="18" x14ac:dyDescent="0.3">
      <c r="D7" s="164"/>
      <c r="E7" s="117">
        <v>1</v>
      </c>
      <c r="G7" s="117">
        <v>5</v>
      </c>
      <c r="H7" s="35"/>
    </row>
    <row r="8" spans="2:9" ht="18" x14ac:dyDescent="0.3">
      <c r="D8" s="164"/>
      <c r="E8" s="117">
        <v>2</v>
      </c>
      <c r="G8" s="117">
        <v>6</v>
      </c>
      <c r="H8" s="35"/>
    </row>
    <row r="9" spans="2:9" ht="18" x14ac:dyDescent="0.3">
      <c r="D9" s="164"/>
      <c r="E9" s="117">
        <v>3</v>
      </c>
      <c r="G9" s="117">
        <v>7</v>
      </c>
      <c r="H9" s="35"/>
    </row>
    <row r="10" spans="2:9" ht="18" x14ac:dyDescent="0.3">
      <c r="D10" s="164"/>
      <c r="E10" s="117">
        <v>4</v>
      </c>
      <c r="G10" s="117">
        <v>8</v>
      </c>
      <c r="H10" s="35"/>
    </row>
    <row r="11" spans="2:9" x14ac:dyDescent="0.3">
      <c r="B11" s="535"/>
      <c r="C11" s="535"/>
      <c r="D11" s="535"/>
      <c r="E11" s="535"/>
      <c r="F11" s="535"/>
      <c r="G11" s="535"/>
      <c r="H11" s="535"/>
      <c r="I11" s="535"/>
    </row>
    <row r="12" spans="2:9" ht="20.399999999999999" x14ac:dyDescent="0.3">
      <c r="C12" s="572" t="s">
        <v>81</v>
      </c>
      <c r="D12" s="572"/>
      <c r="E12" s="572"/>
      <c r="F12" s="572"/>
      <c r="G12" s="572"/>
      <c r="H12" s="572"/>
      <c r="I12" s="572"/>
    </row>
    <row r="13" spans="2:9" ht="3.6" customHeight="1" thickBot="1" x14ac:dyDescent="0.4">
      <c r="B13" s="165"/>
      <c r="C13" s="165"/>
      <c r="D13" s="165"/>
      <c r="E13" s="165"/>
      <c r="F13" s="165"/>
      <c r="G13" s="165"/>
      <c r="H13" s="165"/>
      <c r="I13" s="165"/>
    </row>
    <row r="14" spans="2:9" ht="15" thickBot="1" x14ac:dyDescent="0.35">
      <c r="B14" s="207"/>
      <c r="C14" s="530" t="s">
        <v>87</v>
      </c>
      <c r="D14" s="530"/>
      <c r="E14" s="530"/>
      <c r="F14" s="167" t="s">
        <v>48</v>
      </c>
      <c r="G14" s="529" t="s">
        <v>91</v>
      </c>
      <c r="H14" s="530"/>
      <c r="I14" s="531"/>
    </row>
    <row r="15" spans="2:9" ht="4.2" customHeight="1" thickBot="1" x14ac:dyDescent="0.35">
      <c r="B15" s="168"/>
      <c r="F15" s="168"/>
    </row>
    <row r="16" spans="2:9" ht="15" thickBot="1" x14ac:dyDescent="0.35">
      <c r="B16" s="207"/>
      <c r="C16" s="530" t="s">
        <v>88</v>
      </c>
      <c r="D16" s="530"/>
      <c r="E16" s="530"/>
      <c r="F16" s="167" t="s">
        <v>48</v>
      </c>
      <c r="G16" s="529" t="s">
        <v>92</v>
      </c>
      <c r="H16" s="530"/>
      <c r="I16" s="531"/>
    </row>
    <row r="18" spans="2:9" ht="15" thickBot="1" x14ac:dyDescent="0.35">
      <c r="B18" s="207"/>
      <c r="C18" s="530" t="s">
        <v>89</v>
      </c>
      <c r="D18" s="530"/>
      <c r="E18" s="530"/>
      <c r="F18" s="167" t="s">
        <v>48</v>
      </c>
      <c r="G18" s="529" t="s">
        <v>93</v>
      </c>
      <c r="H18" s="530"/>
      <c r="I18" s="531"/>
    </row>
    <row r="19" spans="2:9" ht="4.2" customHeight="1" thickBot="1" x14ac:dyDescent="0.35">
      <c r="B19" s="168"/>
    </row>
    <row r="20" spans="2:9" ht="15" thickBot="1" x14ac:dyDescent="0.35">
      <c r="B20" s="207"/>
      <c r="C20" s="530" t="s">
        <v>90</v>
      </c>
      <c r="D20" s="530"/>
      <c r="E20" s="530"/>
      <c r="F20" s="167" t="s">
        <v>48</v>
      </c>
      <c r="G20" s="529" t="s">
        <v>94</v>
      </c>
      <c r="H20" s="530"/>
      <c r="I20" s="531"/>
    </row>
    <row r="21" spans="2:9" ht="4.2" customHeight="1" x14ac:dyDescent="0.3">
      <c r="B21" s="204"/>
      <c r="C21" s="205"/>
      <c r="D21" s="205"/>
      <c r="E21" s="205"/>
      <c r="F21" s="206"/>
      <c r="G21" s="205"/>
      <c r="H21" s="205"/>
      <c r="I21" s="205"/>
    </row>
    <row r="22" spans="2:9" x14ac:dyDescent="0.3">
      <c r="B22" s="204"/>
      <c r="C22" s="573" t="s">
        <v>84</v>
      </c>
      <c r="D22" s="573"/>
      <c r="E22" s="573"/>
      <c r="F22" s="573"/>
      <c r="G22" s="573"/>
      <c r="H22" s="573"/>
      <c r="I22" s="573"/>
    </row>
    <row r="23" spans="2:9" x14ac:dyDescent="0.3">
      <c r="B23" s="204"/>
      <c r="C23" s="573"/>
      <c r="D23" s="573"/>
      <c r="E23" s="573"/>
      <c r="F23" s="573"/>
      <c r="G23" s="573"/>
      <c r="H23" s="573"/>
      <c r="I23" s="573"/>
    </row>
    <row r="25" spans="2:9" ht="18" x14ac:dyDescent="0.35">
      <c r="B25" s="537" t="s">
        <v>58</v>
      </c>
      <c r="C25" s="537"/>
      <c r="D25" s="537"/>
      <c r="E25" s="537"/>
      <c r="F25" s="537"/>
      <c r="G25" s="537"/>
      <c r="H25" s="537"/>
      <c r="I25" s="537"/>
    </row>
    <row r="26" spans="2:9" x14ac:dyDescent="0.3">
      <c r="B26" s="574" t="s">
        <v>116</v>
      </c>
      <c r="C26" s="574"/>
      <c r="D26" s="574"/>
      <c r="E26" s="574"/>
      <c r="F26" s="574"/>
      <c r="G26" s="574"/>
      <c r="H26" s="574"/>
      <c r="I26" s="574"/>
    </row>
    <row r="27" spans="2:9" x14ac:dyDescent="0.3">
      <c r="B27" s="574"/>
      <c r="C27" s="574"/>
      <c r="D27" s="574"/>
      <c r="E27" s="574"/>
      <c r="F27" s="574"/>
      <c r="G27" s="574"/>
      <c r="H27" s="574"/>
      <c r="I27" s="574"/>
    </row>
    <row r="28" spans="2:9" ht="3.75" customHeight="1" thickBot="1" x14ac:dyDescent="0.35"/>
    <row r="29" spans="2:9" ht="15" thickBot="1" x14ac:dyDescent="0.35">
      <c r="B29" s="166" t="s">
        <v>44</v>
      </c>
      <c r="C29" s="529" t="s">
        <v>82</v>
      </c>
      <c r="D29" s="530"/>
      <c r="E29" s="531"/>
      <c r="F29" s="167" t="s">
        <v>48</v>
      </c>
      <c r="G29" s="529" t="s">
        <v>95</v>
      </c>
      <c r="H29" s="530"/>
      <c r="I29" s="531"/>
    </row>
    <row r="30" spans="2:9" ht="6.75" customHeight="1" thickBot="1" x14ac:dyDescent="0.35"/>
    <row r="31" spans="2:9" ht="15" thickBot="1" x14ac:dyDescent="0.35">
      <c r="B31" s="166" t="s">
        <v>45</v>
      </c>
      <c r="C31" s="529" t="s">
        <v>83</v>
      </c>
      <c r="D31" s="530"/>
      <c r="E31" s="531"/>
      <c r="F31" s="167" t="s">
        <v>48</v>
      </c>
      <c r="G31" s="529" t="s">
        <v>96</v>
      </c>
      <c r="H31" s="530"/>
      <c r="I31" s="531"/>
    </row>
    <row r="33" spans="3:9" ht="17.399999999999999" customHeight="1" thickBot="1" x14ac:dyDescent="0.35">
      <c r="C33" s="536" t="s">
        <v>64</v>
      </c>
      <c r="D33" s="536"/>
      <c r="E33" s="536"/>
      <c r="F33" s="536"/>
      <c r="G33" s="536"/>
      <c r="H33" s="536"/>
      <c r="I33" s="536"/>
    </row>
    <row r="34" spans="3:9" ht="0.6" hidden="1" customHeight="1" thickBot="1" x14ac:dyDescent="0.35"/>
    <row r="35" spans="3:9" ht="15" thickBot="1" x14ac:dyDescent="0.35">
      <c r="C35" s="529" t="s">
        <v>65</v>
      </c>
      <c r="D35" s="530"/>
      <c r="E35" s="531"/>
      <c r="F35" s="167" t="s">
        <v>48</v>
      </c>
      <c r="G35" s="529" t="s">
        <v>66</v>
      </c>
      <c r="H35" s="530"/>
      <c r="I35" s="531"/>
    </row>
    <row r="37" spans="3:9" ht="16.95" customHeight="1" thickBot="1" x14ac:dyDescent="0.35">
      <c r="C37" s="536" t="s">
        <v>63</v>
      </c>
      <c r="D37" s="536"/>
      <c r="E37" s="536"/>
      <c r="F37" s="536"/>
      <c r="G37" s="536"/>
      <c r="H37" s="536"/>
      <c r="I37" s="536"/>
    </row>
    <row r="38" spans="3:9" ht="7.2" hidden="1" customHeight="1" thickBot="1" x14ac:dyDescent="0.35"/>
    <row r="39" spans="3:9" ht="15" thickBot="1" x14ac:dyDescent="0.35">
      <c r="C39" s="529" t="s">
        <v>67</v>
      </c>
      <c r="D39" s="530"/>
      <c r="E39" s="531"/>
      <c r="F39" s="167" t="s">
        <v>48</v>
      </c>
      <c r="G39" s="529" t="s">
        <v>68</v>
      </c>
      <c r="H39" s="530"/>
      <c r="I39" s="531"/>
    </row>
  </sheetData>
  <mergeCells count="26">
    <mergeCell ref="C20:E20"/>
    <mergeCell ref="G20:I20"/>
    <mergeCell ref="C22:I23"/>
    <mergeCell ref="B26:I27"/>
    <mergeCell ref="C1:I1"/>
    <mergeCell ref="C2:I2"/>
    <mergeCell ref="C4:I4"/>
    <mergeCell ref="B11:I11"/>
    <mergeCell ref="C14:E14"/>
    <mergeCell ref="G14:I14"/>
    <mergeCell ref="G39:I39"/>
    <mergeCell ref="C12:I12"/>
    <mergeCell ref="C35:E35"/>
    <mergeCell ref="G35:I35"/>
    <mergeCell ref="C37:I37"/>
    <mergeCell ref="C39:E39"/>
    <mergeCell ref="B25:I25"/>
    <mergeCell ref="C29:E29"/>
    <mergeCell ref="G29:I29"/>
    <mergeCell ref="C31:E31"/>
    <mergeCell ref="G31:I31"/>
    <mergeCell ref="C33:I33"/>
    <mergeCell ref="C16:E16"/>
    <mergeCell ref="G16:I16"/>
    <mergeCell ref="C18:E18"/>
    <mergeCell ref="G18:I18"/>
  </mergeCells>
  <hyperlinks>
    <hyperlink ref="G6" location="'GRUPO B'!A1" display="GRUPO B" xr:uid="{00000000-0004-0000-1400-000000000000}"/>
    <hyperlink ref="E6" location="'GRUPO B'!A1" display="GRUPO B" xr:uid="{00000000-0004-0000-1400-000001000000}"/>
  </hyperlink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20</vt:i4>
      </vt:variant>
    </vt:vector>
  </HeadingPairs>
  <TitlesOfParts>
    <vt:vector size="42" baseType="lpstr">
      <vt:lpstr>GRUPOS INFANTIL</vt:lpstr>
      <vt:lpstr>GRUPO A</vt:lpstr>
      <vt:lpstr>GRUPO B</vt:lpstr>
      <vt:lpstr>CUARTOS DE FINAL.</vt:lpstr>
      <vt:lpstr>GRUPO C</vt:lpstr>
      <vt:lpstr>GRUPO D</vt:lpstr>
      <vt:lpstr>IMPRIMIR HOJA</vt:lpstr>
      <vt:lpstr>IMPRIMIR HOJA (2)</vt:lpstr>
      <vt:lpstr>DEFINICION</vt:lpstr>
      <vt:lpstr>FINAL</vt:lpstr>
      <vt:lpstr>IMPRIMIR</vt:lpstr>
      <vt:lpstr>IMPRIMIR 2</vt:lpstr>
      <vt:lpstr>IMPRIMIR 3</vt:lpstr>
      <vt:lpstr>IMPRIMIR 3 (2)</vt:lpstr>
      <vt:lpstr>CUARTOS DE FINAL</vt:lpstr>
      <vt:lpstr>IMPRIMIR 4</vt:lpstr>
      <vt:lpstr>IMPRIMIR 5</vt:lpstr>
      <vt:lpstr>Hoja1</vt:lpstr>
      <vt:lpstr>Hoja2 (2)</vt:lpstr>
      <vt:lpstr>Hoja2 (3)</vt:lpstr>
      <vt:lpstr>Hoja2 (4)</vt:lpstr>
      <vt:lpstr>Hoja1 (2)</vt:lpstr>
      <vt:lpstr>'CUARTOS DE FINAL'!Área_de_impresión</vt:lpstr>
      <vt:lpstr>'CUARTOS DE FINAL.'!Área_de_impresión</vt:lpstr>
      <vt:lpstr>DEFINICION!Área_de_impresión</vt:lpstr>
      <vt:lpstr>FINAL!Área_de_impresión</vt:lpstr>
      <vt:lpstr>'GRUPO A'!Área_de_impresión</vt:lpstr>
      <vt:lpstr>'GRUPO B'!Área_de_impresión</vt:lpstr>
      <vt:lpstr>'GRUPO C'!Área_de_impresión</vt:lpstr>
      <vt:lpstr>'GRUPO D'!Área_de_impresión</vt:lpstr>
      <vt:lpstr>'GRUPOS INFANTIL'!Área_de_impresión</vt:lpstr>
      <vt:lpstr>'Hoja2 (2)'!Área_de_impresión</vt:lpstr>
      <vt:lpstr>'Hoja2 (3)'!Área_de_impresión</vt:lpstr>
      <vt:lpstr>'Hoja2 (4)'!Área_de_impresión</vt:lpstr>
      <vt:lpstr>IMPRIMIR!Área_de_impresión</vt:lpstr>
      <vt:lpstr>'IMPRIMIR 2'!Área_de_impresión</vt:lpstr>
      <vt:lpstr>'IMPRIMIR 3'!Área_de_impresión</vt:lpstr>
      <vt:lpstr>'IMPRIMIR 3 (2)'!Área_de_impresión</vt:lpstr>
      <vt:lpstr>'IMPRIMIR 4'!Área_de_impresión</vt:lpstr>
      <vt:lpstr>'IMPRIMIR 5'!Área_de_impresión</vt:lpstr>
      <vt:lpstr>'IMPRIMIR HOJA'!Área_de_impresión</vt:lpstr>
      <vt:lpstr>'IMPRIMIR HOJA (2)'!Área_de_impresión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MALABER</dc:creator>
  <cp:lastModifiedBy>William Malaver Figueroa</cp:lastModifiedBy>
  <cp:lastPrinted>2017-03-19T23:56:13Z</cp:lastPrinted>
  <dcterms:created xsi:type="dcterms:W3CDTF">2015-01-09T01:36:28Z</dcterms:created>
  <dcterms:modified xsi:type="dcterms:W3CDTF">2024-09-29T16:54:40Z</dcterms:modified>
</cp:coreProperties>
</file>