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Documentos/PARA LA APP/FIXTURE 2 DIAS/"/>
    </mc:Choice>
  </mc:AlternateContent>
  <xr:revisionPtr revIDLastSave="4" documentId="13_ncr:1_{8F3F66CF-3316-4937-82FE-15877B430FE3}" xr6:coauthVersionLast="47" xr6:coauthVersionMax="47" xr10:uidLastSave="{D9A42DE3-C11F-4F4B-BB04-A6890C862D09}"/>
  <bookViews>
    <workbookView xWindow="-108" yWindow="-108" windowWidth="23256" windowHeight="13896" tabRatio="627" activeTab="3" xr2:uid="{00000000-000D-0000-FFFF-FFFF00000000}"/>
  </bookViews>
  <sheets>
    <sheet name="GRUPOS PRE JUVENIL" sheetId="3" r:id="rId1"/>
    <sheet name="GRUPO A" sheetId="29" r:id="rId2"/>
    <sheet name="GRUPO B" sheetId="30" r:id="rId3"/>
    <sheet name="CALENDARIO" sheetId="35" r:id="rId4"/>
    <sheet name="Hoja1" sheetId="23" r:id="rId5"/>
    <sheet name="IMPRIMIR (A-B) 1-2" sheetId="15" state="hidden" r:id="rId6"/>
    <sheet name="IMPRIMIR (C-D) 1-2." sheetId="21" state="hidden" r:id="rId7"/>
    <sheet name="IMPRIMIR (A-B) 3-4" sheetId="32" state="hidden" r:id="rId8"/>
    <sheet name="IMPRIMIR (C-D)3-4." sheetId="33" state="hidden" r:id="rId9"/>
    <sheet name="IMPRIMIR 6" sheetId="18" state="hidden" r:id="rId10"/>
    <sheet name="IMPRIMIR 7" sheetId="19" state="hidden" r:id="rId11"/>
  </sheets>
  <externalReferences>
    <externalReference r:id="rId12"/>
  </externalReferences>
  <definedNames>
    <definedName name="_xlnm.Print_Area" localSheetId="3">CALENDARIO!$A$1:$U$57</definedName>
    <definedName name="_xlnm.Print_Area" localSheetId="1">'GRUPO A'!$B$4:$M$27</definedName>
    <definedName name="_xlnm.Print_Area" localSheetId="2">'GRUPO B'!$B$4:$M$39</definedName>
    <definedName name="_xlnm.Print_Area" localSheetId="0">'GRUPOS PRE JUVENIL'!$A$1:$O$14</definedName>
    <definedName name="_xlnm.Print_Area" localSheetId="7">'IMPRIMIR (A-B) 3-4'!$A$1:$M$59</definedName>
    <definedName name="_xlnm.Print_Area" localSheetId="6">'IMPRIMIR (C-D) 1-2.'!$A$1:$M$58</definedName>
    <definedName name="_xlnm.Print_Area" localSheetId="9">'IMPRIMIR 6'!$A$1:$R$26</definedName>
    <definedName name="_xlnm.Print_Area" localSheetId="10">'IMPRIMIR 7'!$A$1:$R$31</definedName>
    <definedName name="_xlnm.Print_Titles" localSheetId="3">CALENDARIO!$1:$5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5" l="1"/>
  <c r="F21" i="35" l="1"/>
  <c r="O22" i="19" l="1"/>
  <c r="C22" i="19"/>
  <c r="O13" i="19"/>
  <c r="K13" i="19"/>
  <c r="I13" i="19"/>
  <c r="L13" i="19" s="1"/>
  <c r="G13" i="19"/>
  <c r="B19" i="19" s="1"/>
  <c r="D13" i="19"/>
  <c r="B13" i="19"/>
  <c r="O7" i="19"/>
  <c r="K7" i="19"/>
  <c r="I7" i="19"/>
  <c r="L7" i="19" s="1"/>
  <c r="G7" i="19"/>
  <c r="Q6" i="19" s="1"/>
  <c r="D7" i="19"/>
  <c r="B7" i="19"/>
  <c r="J14" i="18"/>
  <c r="C14" i="18"/>
  <c r="O10" i="18"/>
  <c r="K10" i="18"/>
  <c r="I10" i="18"/>
  <c r="G10" i="18" s="1"/>
  <c r="D10" i="18"/>
  <c r="C10" i="18"/>
  <c r="B10" i="18"/>
  <c r="O7" i="18"/>
  <c r="K7" i="18"/>
  <c r="L7" i="18" s="1"/>
  <c r="I7" i="18"/>
  <c r="D7" i="18"/>
  <c r="C7" i="18"/>
  <c r="B7" i="18"/>
  <c r="M46" i="33"/>
  <c r="J46" i="33"/>
  <c r="I46" i="33"/>
  <c r="H46" i="33"/>
  <c r="F46" i="33"/>
  <c r="E46" i="33"/>
  <c r="C46" i="33"/>
  <c r="B46" i="33"/>
  <c r="A46" i="33"/>
  <c r="M44" i="33"/>
  <c r="J44" i="33"/>
  <c r="H44" i="33"/>
  <c r="F44" i="33"/>
  <c r="I44" i="33" s="1"/>
  <c r="E44" i="33"/>
  <c r="C44" i="33"/>
  <c r="B44" i="33"/>
  <c r="A44" i="33"/>
  <c r="M42" i="33"/>
  <c r="J42" i="33"/>
  <c r="H42" i="33"/>
  <c r="I42" i="33" s="1"/>
  <c r="F42" i="33"/>
  <c r="E42" i="33" s="1"/>
  <c r="C42" i="33"/>
  <c r="B42" i="33"/>
  <c r="A42" i="33"/>
  <c r="M40" i="33"/>
  <c r="J40" i="33"/>
  <c r="H40" i="33"/>
  <c r="I40" i="33" s="1"/>
  <c r="F40" i="33"/>
  <c r="E40" i="33" s="1"/>
  <c r="C40" i="33"/>
  <c r="B40" i="33"/>
  <c r="A40" i="33"/>
  <c r="M38" i="33"/>
  <c r="J38" i="33"/>
  <c r="I38" i="33"/>
  <c r="H38" i="33"/>
  <c r="F38" i="33"/>
  <c r="E38" i="33"/>
  <c r="C38" i="33"/>
  <c r="B38" i="33"/>
  <c r="A38" i="33"/>
  <c r="A35" i="33"/>
  <c r="D33" i="33"/>
  <c r="D32" i="33"/>
  <c r="D31" i="33"/>
  <c r="D30" i="33"/>
  <c r="D29" i="33"/>
  <c r="D28" i="33"/>
  <c r="H25" i="33"/>
  <c r="F25" i="33"/>
  <c r="M23" i="33"/>
  <c r="H23" i="33"/>
  <c r="F23" i="33"/>
  <c r="B23" i="33"/>
  <c r="A23" i="33"/>
  <c r="M21" i="33"/>
  <c r="H21" i="33"/>
  <c r="F21" i="33"/>
  <c r="B21" i="33"/>
  <c r="M19" i="33"/>
  <c r="H19" i="33"/>
  <c r="F19" i="33"/>
  <c r="B19" i="33"/>
  <c r="A19" i="33"/>
  <c r="M16" i="33"/>
  <c r="J16" i="33"/>
  <c r="H16" i="33"/>
  <c r="I16" i="33" s="1"/>
  <c r="F16" i="33"/>
  <c r="C16" i="33"/>
  <c r="B16" i="33"/>
  <c r="A16" i="33"/>
  <c r="A12" i="33"/>
  <c r="B11" i="33"/>
  <c r="B10" i="33"/>
  <c r="D8" i="33"/>
  <c r="D7" i="33"/>
  <c r="D6" i="33"/>
  <c r="D5" i="33"/>
  <c r="D4" i="33"/>
  <c r="D3" i="33"/>
  <c r="A1" i="33"/>
  <c r="M49" i="32"/>
  <c r="H49" i="32"/>
  <c r="F49" i="32"/>
  <c r="B49" i="32"/>
  <c r="A49" i="32"/>
  <c r="M47" i="32"/>
  <c r="H47" i="32"/>
  <c r="F47" i="32"/>
  <c r="E47" i="32"/>
  <c r="B47" i="32"/>
  <c r="A47" i="32"/>
  <c r="M45" i="32"/>
  <c r="J45" i="32"/>
  <c r="H45" i="32"/>
  <c r="I45" i="32" s="1"/>
  <c r="F45" i="32"/>
  <c r="E45" i="32" s="1"/>
  <c r="C45" i="32"/>
  <c r="B45" i="32"/>
  <c r="A45" i="32"/>
  <c r="M43" i="32"/>
  <c r="H43" i="32"/>
  <c r="F43" i="32"/>
  <c r="B43" i="32"/>
  <c r="A43" i="32"/>
  <c r="M40" i="32"/>
  <c r="H40" i="32"/>
  <c r="F40" i="32"/>
  <c r="B40" i="32"/>
  <c r="A40" i="32"/>
  <c r="A36" i="32"/>
  <c r="D33" i="32"/>
  <c r="D32" i="32"/>
  <c r="D31" i="32"/>
  <c r="D30" i="32"/>
  <c r="D29" i="32"/>
  <c r="D28" i="32"/>
  <c r="M25" i="32"/>
  <c r="J25" i="32"/>
  <c r="I25" i="32"/>
  <c r="H25" i="32"/>
  <c r="F25" i="32"/>
  <c r="E25" i="32"/>
  <c r="C25" i="32"/>
  <c r="B25" i="32"/>
  <c r="A25" i="32"/>
  <c r="M23" i="32"/>
  <c r="J23" i="32"/>
  <c r="H23" i="32"/>
  <c r="I23" i="32" s="1"/>
  <c r="F23" i="32"/>
  <c r="E23" i="32"/>
  <c r="C23" i="32"/>
  <c r="B23" i="32"/>
  <c r="A23" i="32"/>
  <c r="M21" i="32"/>
  <c r="J21" i="32"/>
  <c r="H21" i="32"/>
  <c r="I21" i="32" s="1"/>
  <c r="F21" i="32"/>
  <c r="E21" i="32" s="1"/>
  <c r="C21" i="32"/>
  <c r="B21" i="32"/>
  <c r="A21" i="32"/>
  <c r="M19" i="32"/>
  <c r="J19" i="32"/>
  <c r="H19" i="32"/>
  <c r="I19" i="32" s="1"/>
  <c r="F19" i="32"/>
  <c r="C19" i="32"/>
  <c r="B19" i="32"/>
  <c r="A19" i="32"/>
  <c r="M16" i="32"/>
  <c r="J16" i="32"/>
  <c r="I16" i="32"/>
  <c r="H16" i="32"/>
  <c r="F16" i="32"/>
  <c r="E16" i="32"/>
  <c r="C16" i="32"/>
  <c r="B16" i="32"/>
  <c r="A16" i="32"/>
  <c r="A12" i="32"/>
  <c r="B11" i="32"/>
  <c r="B10" i="32"/>
  <c r="D8" i="32"/>
  <c r="D7" i="32"/>
  <c r="D6" i="32"/>
  <c r="D5" i="32"/>
  <c r="D4" i="32"/>
  <c r="D3" i="32"/>
  <c r="M48" i="21"/>
  <c r="J48" i="21"/>
  <c r="H48" i="21"/>
  <c r="E48" i="21" s="1"/>
  <c r="F48" i="21"/>
  <c r="C48" i="21"/>
  <c r="B48" i="21"/>
  <c r="A48" i="21"/>
  <c r="M46" i="21"/>
  <c r="J46" i="21"/>
  <c r="I46" i="21"/>
  <c r="H46" i="21"/>
  <c r="F46" i="21"/>
  <c r="E46" i="21"/>
  <c r="C46" i="21"/>
  <c r="B46" i="21"/>
  <c r="A46" i="21"/>
  <c r="M44" i="21"/>
  <c r="J44" i="21"/>
  <c r="H44" i="21"/>
  <c r="I44" i="21" s="1"/>
  <c r="F44" i="21"/>
  <c r="E44" i="21"/>
  <c r="C44" i="21"/>
  <c r="B44" i="21"/>
  <c r="A44" i="21"/>
  <c r="M42" i="21"/>
  <c r="J42" i="21"/>
  <c r="H42" i="21"/>
  <c r="I42" i="21" s="1"/>
  <c r="F42" i="21"/>
  <c r="E42" i="21" s="1"/>
  <c r="C42" i="21"/>
  <c r="B42" i="21"/>
  <c r="A42" i="21"/>
  <c r="M39" i="21"/>
  <c r="J39" i="21"/>
  <c r="H39" i="21"/>
  <c r="E39" i="21" s="1"/>
  <c r="F39" i="21"/>
  <c r="C39" i="21"/>
  <c r="B39" i="21"/>
  <c r="A39" i="21"/>
  <c r="A35" i="21"/>
  <c r="D33" i="21"/>
  <c r="D32" i="21"/>
  <c r="D31" i="21"/>
  <c r="D30" i="21"/>
  <c r="D29" i="21"/>
  <c r="D28" i="21"/>
  <c r="H25" i="21"/>
  <c r="F25" i="21"/>
  <c r="A25" i="21"/>
  <c r="M23" i="21"/>
  <c r="H23" i="21"/>
  <c r="F23" i="21"/>
  <c r="E23" i="21"/>
  <c r="B23" i="21"/>
  <c r="A23" i="21"/>
  <c r="M21" i="21"/>
  <c r="H21" i="21"/>
  <c r="I21" i="21" s="1"/>
  <c r="F21" i="21"/>
  <c r="E21" i="21" s="1"/>
  <c r="H19" i="21"/>
  <c r="I19" i="21" s="1"/>
  <c r="F19" i="21"/>
  <c r="B19" i="21"/>
  <c r="I16" i="21"/>
  <c r="H16" i="21"/>
  <c r="F16" i="21"/>
  <c r="E16" i="21"/>
  <c r="A12" i="21"/>
  <c r="B11" i="21"/>
  <c r="B10" i="21"/>
  <c r="D8" i="21"/>
  <c r="D7" i="21"/>
  <c r="D6" i="21"/>
  <c r="D5" i="21"/>
  <c r="D4" i="21"/>
  <c r="D3" i="21"/>
  <c r="M47" i="15"/>
  <c r="H47" i="15"/>
  <c r="F47" i="15"/>
  <c r="B47" i="15"/>
  <c r="A47" i="15"/>
  <c r="M45" i="15"/>
  <c r="H45" i="15"/>
  <c r="F45" i="15"/>
  <c r="B45" i="15"/>
  <c r="A45" i="15"/>
  <c r="M43" i="15"/>
  <c r="H43" i="15"/>
  <c r="I43" i="15" s="1"/>
  <c r="F43" i="15"/>
  <c r="E43" i="15"/>
  <c r="B43" i="15"/>
  <c r="A43" i="15"/>
  <c r="M41" i="15"/>
  <c r="H41" i="15"/>
  <c r="I41" i="15" s="1"/>
  <c r="F41" i="15"/>
  <c r="E41" i="15" s="1"/>
  <c r="B41" i="15"/>
  <c r="A41" i="15"/>
  <c r="M39" i="15"/>
  <c r="H39" i="15"/>
  <c r="E39" i="15" s="1"/>
  <c r="F39" i="15"/>
  <c r="B39" i="15"/>
  <c r="A39" i="15"/>
  <c r="A35" i="15"/>
  <c r="D33" i="15"/>
  <c r="D32" i="15"/>
  <c r="D31" i="15"/>
  <c r="D30" i="15"/>
  <c r="D29" i="15"/>
  <c r="D28" i="15"/>
  <c r="M25" i="15"/>
  <c r="J25" i="15"/>
  <c r="H25" i="15"/>
  <c r="I25" i="15" s="1"/>
  <c r="F25" i="15"/>
  <c r="C25" i="15"/>
  <c r="B25" i="15"/>
  <c r="A25" i="15"/>
  <c r="M23" i="15"/>
  <c r="J23" i="15"/>
  <c r="I23" i="15"/>
  <c r="H23" i="15"/>
  <c r="F23" i="15"/>
  <c r="E23" i="15"/>
  <c r="C23" i="15"/>
  <c r="B23" i="15"/>
  <c r="A23" i="15"/>
  <c r="M21" i="15"/>
  <c r="J21" i="15"/>
  <c r="I21" i="15"/>
  <c r="E21" i="15"/>
  <c r="C21" i="15"/>
  <c r="B21" i="15"/>
  <c r="A21" i="15"/>
  <c r="M19" i="15"/>
  <c r="J19" i="15"/>
  <c r="I19" i="15"/>
  <c r="H19" i="15"/>
  <c r="F19" i="15"/>
  <c r="E19" i="15"/>
  <c r="C19" i="15"/>
  <c r="B19" i="15"/>
  <c r="A19" i="15"/>
  <c r="M16" i="15"/>
  <c r="J16" i="15"/>
  <c r="I16" i="15"/>
  <c r="H16" i="15"/>
  <c r="E16" i="15"/>
  <c r="C16" i="15"/>
  <c r="B16" i="15"/>
  <c r="A16" i="15"/>
  <c r="A12" i="15"/>
  <c r="B11" i="15"/>
  <c r="B10" i="15"/>
  <c r="D8" i="15"/>
  <c r="D7" i="15"/>
  <c r="D6" i="15"/>
  <c r="D5" i="15"/>
  <c r="D4" i="15"/>
  <c r="D3" i="15"/>
  <c r="A1" i="15"/>
  <c r="A1" i="32" s="1"/>
  <c r="C4" i="23"/>
  <c r="C3" i="23"/>
  <c r="C2" i="23"/>
  <c r="C1" i="23"/>
  <c r="F28" i="35"/>
  <c r="E28" i="35"/>
  <c r="F27" i="35"/>
  <c r="E27" i="35"/>
  <c r="F26" i="35"/>
  <c r="E26" i="35"/>
  <c r="F20" i="35"/>
  <c r="E20" i="35"/>
  <c r="F22" i="35"/>
  <c r="E22" i="35"/>
  <c r="E21" i="35"/>
  <c r="F16" i="35"/>
  <c r="E16" i="35"/>
  <c r="F15" i="35"/>
  <c r="E15" i="35"/>
  <c r="F14" i="35"/>
  <c r="E14" i="35"/>
  <c r="T12" i="35"/>
  <c r="S12" i="35"/>
  <c r="R12" i="35"/>
  <c r="Q12" i="35"/>
  <c r="P12" i="35"/>
  <c r="O12" i="35"/>
  <c r="N12" i="35"/>
  <c r="M12" i="35"/>
  <c r="L12" i="35"/>
  <c r="K12" i="35"/>
  <c r="F10" i="35"/>
  <c r="E10" i="35"/>
  <c r="F9" i="35"/>
  <c r="E9" i="35"/>
  <c r="F8" i="35"/>
  <c r="E8" i="35"/>
  <c r="T6" i="35"/>
  <c r="S6" i="35"/>
  <c r="R6" i="35"/>
  <c r="Q6" i="35"/>
  <c r="P6" i="35"/>
  <c r="O6" i="35"/>
  <c r="N6" i="35"/>
  <c r="M6" i="35"/>
  <c r="L6" i="35"/>
  <c r="K6" i="35"/>
  <c r="A3" i="35"/>
  <c r="A4" i="35"/>
  <c r="A2" i="35"/>
  <c r="A1" i="35"/>
  <c r="Q44" i="30"/>
  <c r="P44" i="30"/>
  <c r="Q43" i="30"/>
  <c r="P43" i="30"/>
  <c r="P42" i="30"/>
  <c r="M32" i="30"/>
  <c r="M25" i="33" s="1"/>
  <c r="J32" i="30"/>
  <c r="F32" i="30"/>
  <c r="T42" i="30" s="1"/>
  <c r="C32" i="30"/>
  <c r="B25" i="33" s="1"/>
  <c r="B32" i="30"/>
  <c r="A25" i="33" s="1"/>
  <c r="L31" i="30"/>
  <c r="J31" i="30"/>
  <c r="K29" i="30"/>
  <c r="J29" i="30"/>
  <c r="T44" i="30" s="1"/>
  <c r="F29" i="30"/>
  <c r="T43" i="30" s="1"/>
  <c r="E29" i="30"/>
  <c r="M26" i="30"/>
  <c r="J26" i="30"/>
  <c r="S43" i="30" s="1"/>
  <c r="F26" i="30"/>
  <c r="C26" i="30"/>
  <c r="B26" i="30"/>
  <c r="A21" i="33" s="1"/>
  <c r="K23" i="30"/>
  <c r="J23" i="30"/>
  <c r="S44" i="30" s="1"/>
  <c r="F23" i="30"/>
  <c r="S42" i="30" s="1"/>
  <c r="E23" i="30"/>
  <c r="M20" i="30"/>
  <c r="M25" i="21" s="1"/>
  <c r="K20" i="30"/>
  <c r="J25" i="21" s="1"/>
  <c r="J20" i="30"/>
  <c r="R44" i="30" s="1"/>
  <c r="F20" i="30"/>
  <c r="C20" i="30"/>
  <c r="B25" i="21" s="1"/>
  <c r="K17" i="30"/>
  <c r="J17" i="30"/>
  <c r="R43" i="30" s="1"/>
  <c r="F17" i="30"/>
  <c r="R42" i="30" s="1"/>
  <c r="E17" i="30"/>
  <c r="M14" i="30"/>
  <c r="J14" i="30"/>
  <c r="Q42" i="30" s="1"/>
  <c r="F14" i="30"/>
  <c r="C14" i="30"/>
  <c r="B21" i="21" s="1"/>
  <c r="B14" i="30"/>
  <c r="A21" i="21" s="1"/>
  <c r="AI12" i="30"/>
  <c r="AG12" i="30"/>
  <c r="AF12" i="30"/>
  <c r="AA12" i="30"/>
  <c r="M11" i="30"/>
  <c r="M19" i="21" s="1"/>
  <c r="J11" i="30"/>
  <c r="F11" i="30"/>
  <c r="C11" i="30"/>
  <c r="B11" i="30"/>
  <c r="A19" i="21" s="1"/>
  <c r="AI10" i="30"/>
  <c r="AG10" i="30"/>
  <c r="AF10" i="30"/>
  <c r="AA10" i="30"/>
  <c r="AI8" i="30"/>
  <c r="AG8" i="30"/>
  <c r="AF8" i="30"/>
  <c r="AA8" i="30"/>
  <c r="M8" i="30"/>
  <c r="M16" i="21" s="1"/>
  <c r="J8" i="30"/>
  <c r="F8" i="30"/>
  <c r="C8" i="30"/>
  <c r="B16" i="21" s="1"/>
  <c r="B8" i="30"/>
  <c r="A16" i="21" s="1"/>
  <c r="AJ4" i="30"/>
  <c r="B4" i="30"/>
  <c r="H22" i="35" s="1"/>
  <c r="F3" i="30"/>
  <c r="B3" i="30"/>
  <c r="P46" i="29"/>
  <c r="P45" i="29"/>
  <c r="P44" i="29"/>
  <c r="K32" i="29"/>
  <c r="J32" i="29"/>
  <c r="T44" i="29" s="1"/>
  <c r="F32" i="29"/>
  <c r="E32" i="29"/>
  <c r="L31" i="29"/>
  <c r="J31" i="29"/>
  <c r="K29" i="29"/>
  <c r="J29" i="29"/>
  <c r="T45" i="29" s="1"/>
  <c r="F29" i="29"/>
  <c r="T46" i="29" s="1"/>
  <c r="E29" i="29"/>
  <c r="K26" i="29"/>
  <c r="J26" i="29"/>
  <c r="F26" i="29"/>
  <c r="S45" i="29" s="1"/>
  <c r="E26" i="29"/>
  <c r="K23" i="29"/>
  <c r="J23" i="29"/>
  <c r="S46" i="29" s="1"/>
  <c r="F23" i="29"/>
  <c r="S44" i="29" s="1"/>
  <c r="E23" i="29"/>
  <c r="K20" i="29"/>
  <c r="J20" i="29"/>
  <c r="F20" i="29"/>
  <c r="R46" i="29" s="1"/>
  <c r="E20" i="29"/>
  <c r="K17" i="29"/>
  <c r="J17" i="29"/>
  <c r="R45" i="29" s="1"/>
  <c r="F17" i="29"/>
  <c r="R44" i="29" s="1"/>
  <c r="E17" i="29"/>
  <c r="AI14" i="29"/>
  <c r="AG14" i="29"/>
  <c r="AF14" i="29"/>
  <c r="AA14" i="29"/>
  <c r="K14" i="29"/>
  <c r="J39" i="15" s="1"/>
  <c r="J14" i="29"/>
  <c r="F14" i="29"/>
  <c r="Q46" i="29" s="1"/>
  <c r="E14" i="29"/>
  <c r="E14" i="30" s="1"/>
  <c r="C21" i="21" s="1"/>
  <c r="AI12" i="29"/>
  <c r="AG12" i="29"/>
  <c r="AF12" i="29"/>
  <c r="AA12" i="29"/>
  <c r="K11" i="29"/>
  <c r="K11" i="30" s="1"/>
  <c r="J19" i="21" s="1"/>
  <c r="J11" i="29"/>
  <c r="F11" i="29"/>
  <c r="Q45" i="29" s="1"/>
  <c r="E11" i="29"/>
  <c r="C43" i="15" s="1"/>
  <c r="AI10" i="29"/>
  <c r="AG10" i="29"/>
  <c r="AF10" i="29"/>
  <c r="AA10" i="29"/>
  <c r="K8" i="29"/>
  <c r="J41" i="15" s="1"/>
  <c r="J8" i="29"/>
  <c r="F8" i="29"/>
  <c r="Q44" i="29" s="1"/>
  <c r="E8" i="29"/>
  <c r="C41" i="15" s="1"/>
  <c r="AJ6" i="29"/>
  <c r="B4" i="29"/>
  <c r="H21" i="35" s="1"/>
  <c r="F3" i="29"/>
  <c r="B3" i="29"/>
  <c r="L10" i="18" l="1"/>
  <c r="G7" i="18"/>
  <c r="I25" i="33"/>
  <c r="E25" i="33"/>
  <c r="E23" i="33"/>
  <c r="AH12" i="30"/>
  <c r="E43" i="32"/>
  <c r="I28" i="35"/>
  <c r="I27" i="35"/>
  <c r="I21" i="35"/>
  <c r="I22" i="35"/>
  <c r="I16" i="35"/>
  <c r="I15" i="35"/>
  <c r="I14" i="35"/>
  <c r="I10" i="35"/>
  <c r="I9" i="35"/>
  <c r="I8" i="35"/>
  <c r="I26" i="35"/>
  <c r="I19" i="33"/>
  <c r="E45" i="15"/>
  <c r="I47" i="32"/>
  <c r="AH10" i="29"/>
  <c r="AH14" i="29"/>
  <c r="D9" i="35"/>
  <c r="K14" i="30"/>
  <c r="J21" i="21" s="1"/>
  <c r="E32" i="30"/>
  <c r="C25" i="33" s="1"/>
  <c r="J43" i="15"/>
  <c r="J23" i="33"/>
  <c r="G16" i="35"/>
  <c r="G10" i="35"/>
  <c r="G21" i="35"/>
  <c r="J47" i="32"/>
  <c r="E8" i="30"/>
  <c r="C16" i="21" s="1"/>
  <c r="D22" i="35"/>
  <c r="A1" i="21"/>
  <c r="G20" i="35"/>
  <c r="C39" i="15"/>
  <c r="I39" i="15"/>
  <c r="E47" i="15"/>
  <c r="I39" i="21"/>
  <c r="I48" i="21"/>
  <c r="Q12" i="19"/>
  <c r="K26" i="30"/>
  <c r="J21" i="33" s="1"/>
  <c r="G8" i="35"/>
  <c r="D10" i="35"/>
  <c r="H10" i="35"/>
  <c r="H15" i="35" s="1"/>
  <c r="D14" i="35"/>
  <c r="D16" i="35"/>
  <c r="D20" i="35"/>
  <c r="E25" i="15"/>
  <c r="J47" i="15"/>
  <c r="E19" i="21"/>
  <c r="E19" i="32"/>
  <c r="I40" i="32"/>
  <c r="J43" i="32"/>
  <c r="E16" i="33"/>
  <c r="C19" i="33"/>
  <c r="E21" i="33"/>
  <c r="E20" i="30"/>
  <c r="C25" i="21" s="1"/>
  <c r="H9" i="35"/>
  <c r="H14" i="35" s="1"/>
  <c r="D15" i="35"/>
  <c r="C45" i="15"/>
  <c r="C40" i="32"/>
  <c r="C49" i="32"/>
  <c r="C23" i="33"/>
  <c r="AC10" i="29"/>
  <c r="G14" i="35"/>
  <c r="J19" i="33"/>
  <c r="K8" i="30"/>
  <c r="J16" i="21" s="1"/>
  <c r="AH10" i="30"/>
  <c r="E11" i="30"/>
  <c r="C19" i="21" s="1"/>
  <c r="E26" i="30"/>
  <c r="C21" i="33" s="1"/>
  <c r="K32" i="30"/>
  <c r="J25" i="33" s="1"/>
  <c r="D8" i="35"/>
  <c r="G9" i="35"/>
  <c r="G15" i="35"/>
  <c r="D21" i="35"/>
  <c r="G22" i="35"/>
  <c r="J45" i="15"/>
  <c r="C47" i="15"/>
  <c r="C23" i="21"/>
  <c r="J23" i="21"/>
  <c r="J40" i="32"/>
  <c r="C43" i="32"/>
  <c r="C47" i="32"/>
  <c r="J49" i="32"/>
  <c r="I23" i="33"/>
  <c r="E49" i="32"/>
  <c r="I49" i="32"/>
  <c r="I43" i="32"/>
  <c r="AE10" i="29"/>
  <c r="E40" i="32"/>
  <c r="I21" i="33"/>
  <c r="E19" i="33"/>
  <c r="AH12" i="29"/>
  <c r="I47" i="15"/>
  <c r="AE12" i="29"/>
  <c r="AD12" i="29"/>
  <c r="AC12" i="29"/>
  <c r="AD10" i="29"/>
  <c r="I23" i="21"/>
  <c r="AH8" i="30"/>
  <c r="AE8" i="30"/>
  <c r="AC8" i="30"/>
  <c r="AD8" i="30"/>
  <c r="AC10" i="30"/>
  <c r="AE10" i="30"/>
  <c r="AD10" i="30"/>
  <c r="E25" i="21"/>
  <c r="AE12" i="30"/>
  <c r="AD12" i="30"/>
  <c r="AC12" i="30"/>
  <c r="I25" i="21"/>
  <c r="AD14" i="29"/>
  <c r="AC14" i="29"/>
  <c r="AE14" i="29"/>
  <c r="I45" i="15"/>
  <c r="AB10" i="29" l="1"/>
  <c r="AJ10" i="29" s="1"/>
  <c r="AK10" i="29" s="1"/>
  <c r="AB14" i="29"/>
  <c r="AJ14" i="29" s="1"/>
  <c r="AB12" i="29"/>
  <c r="AJ12" i="29" s="1"/>
  <c r="AK12" i="29" s="1"/>
  <c r="AB10" i="30"/>
  <c r="AJ10" i="30" s="1"/>
  <c r="AK10" i="30" s="1"/>
  <c r="AB8" i="30"/>
  <c r="AJ8" i="30" s="1"/>
  <c r="AK8" i="30" s="1"/>
  <c r="AB12" i="30"/>
  <c r="AJ12" i="30" s="1"/>
  <c r="Z10" i="29" l="1"/>
  <c r="Z14" i="29"/>
  <c r="Z12" i="29"/>
  <c r="Z8" i="30"/>
  <c r="AJ6" i="30" s="1"/>
  <c r="Z12" i="30"/>
  <c r="Z10" i="30"/>
  <c r="X12" i="29" l="1"/>
  <c r="P14" i="29"/>
  <c r="X14" i="29"/>
  <c r="S9" i="35" s="1"/>
  <c r="V14" i="29"/>
  <c r="W14" i="29"/>
  <c r="T14" i="29"/>
  <c r="V12" i="29"/>
  <c r="W12" i="29"/>
  <c r="P12" i="29"/>
  <c r="V10" i="29"/>
  <c r="S10" i="29"/>
  <c r="W10" i="29"/>
  <c r="Q12" i="29"/>
  <c r="U10" i="29"/>
  <c r="U12" i="29"/>
  <c r="Y10" i="29"/>
  <c r="Y12" i="29"/>
  <c r="S12" i="29"/>
  <c r="S14" i="29"/>
  <c r="P10" i="29"/>
  <c r="T10" i="29"/>
  <c r="X10" i="29"/>
  <c r="Q10" i="29"/>
  <c r="AJ8" i="29"/>
  <c r="Y14" i="29"/>
  <c r="Q14" i="29"/>
  <c r="T12" i="29"/>
  <c r="U14" i="29"/>
  <c r="W12" i="30"/>
  <c r="S12" i="30"/>
  <c r="X10" i="30"/>
  <c r="T10" i="30"/>
  <c r="P10" i="30"/>
  <c r="V8" i="30"/>
  <c r="X12" i="30"/>
  <c r="Y10" i="30"/>
  <c r="Q10" i="30"/>
  <c r="V12" i="30"/>
  <c r="W10" i="30"/>
  <c r="S10" i="30"/>
  <c r="Y8" i="30"/>
  <c r="U8" i="30"/>
  <c r="Q8" i="30"/>
  <c r="T8" i="30"/>
  <c r="P12" i="30"/>
  <c r="S8" i="30"/>
  <c r="Y12" i="30"/>
  <c r="U12" i="30"/>
  <c r="Q12" i="30"/>
  <c r="V10" i="30"/>
  <c r="X8" i="30"/>
  <c r="P8" i="30"/>
  <c r="T12" i="30"/>
  <c r="U10" i="30"/>
  <c r="W8" i="30"/>
  <c r="S8" i="35" l="1"/>
  <c r="O9" i="35"/>
  <c r="R7" i="35"/>
  <c r="Q7" i="35"/>
  <c r="T8" i="35"/>
  <c r="R9" i="35"/>
  <c r="K8" i="35"/>
  <c r="Q9" i="35"/>
  <c r="K7" i="35"/>
  <c r="P8" i="35"/>
  <c r="Q8" i="35"/>
  <c r="K9" i="35"/>
  <c r="O7" i="35"/>
  <c r="R8" i="35"/>
  <c r="AK14" i="29"/>
  <c r="S7" i="35"/>
  <c r="L8" i="35"/>
  <c r="N7" i="35"/>
  <c r="L7" i="35"/>
  <c r="R10" i="29"/>
  <c r="P7" i="35"/>
  <c r="T7" i="35"/>
  <c r="W24" i="29"/>
  <c r="N8" i="35"/>
  <c r="N9" i="35"/>
  <c r="S13" i="35"/>
  <c r="R14" i="35"/>
  <c r="R13" i="35"/>
  <c r="S14" i="35"/>
  <c r="Q15" i="35"/>
  <c r="O15" i="35"/>
  <c r="L15" i="35"/>
  <c r="K15" i="35"/>
  <c r="T13" i="35"/>
  <c r="L14" i="35"/>
  <c r="K14" i="35"/>
  <c r="R15" i="35"/>
  <c r="T15" i="35"/>
  <c r="P14" i="35"/>
  <c r="Q14" i="35"/>
  <c r="P13" i="35"/>
  <c r="Q13" i="35"/>
  <c r="K13" i="35"/>
  <c r="P15" i="35"/>
  <c r="O13" i="35"/>
  <c r="T14" i="35"/>
  <c r="O14" i="35"/>
  <c r="W23" i="29"/>
  <c r="M10" i="18" s="1"/>
  <c r="S10" i="18" s="1"/>
  <c r="W22" i="29"/>
  <c r="P9" i="35"/>
  <c r="O8" i="35"/>
  <c r="L9" i="35"/>
  <c r="R12" i="29"/>
  <c r="T9" i="35"/>
  <c r="R14" i="29"/>
  <c r="N14" i="35"/>
  <c r="R10" i="30"/>
  <c r="W22" i="30"/>
  <c r="L13" i="35"/>
  <c r="W23" i="30"/>
  <c r="W20" i="30"/>
  <c r="W21" i="30"/>
  <c r="S15" i="35"/>
  <c r="AK12" i="30"/>
  <c r="R8" i="30"/>
  <c r="N13" i="35"/>
  <c r="N15" i="35"/>
  <c r="R12" i="30"/>
  <c r="M7" i="35" l="1"/>
  <c r="M7" i="19"/>
  <c r="M13" i="35"/>
  <c r="M14" i="35"/>
  <c r="M15" i="35"/>
  <c r="M9" i="35"/>
  <c r="M8" i="35"/>
  <c r="M7" i="18"/>
  <c r="Q7" i="18" s="1"/>
  <c r="E7" i="18"/>
  <c r="S7" i="18" s="1"/>
  <c r="E10" i="18" l="1"/>
  <c r="Q10" i="18" s="1"/>
  <c r="H13" i="19"/>
  <c r="H7" i="19"/>
  <c r="M13" i="19" l="1"/>
</calcChain>
</file>

<file path=xl/sharedStrings.xml><?xml version="1.0" encoding="utf-8"?>
<sst xmlns="http://schemas.openxmlformats.org/spreadsheetml/2006/main" count="276" uniqueCount="98">
  <si>
    <t>GRUPO A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</si>
  <si>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</si>
  <si>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</si>
  <si>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</si>
  <si>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</si>
  <si>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</si>
  <si>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</si>
  <si>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</si>
  <si>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</si>
  <si>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</si>
  <si>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</si>
  <si>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</si>
  <si>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</si>
  <si>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</si>
  <si>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</si>
  <si>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</si>
  <si>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</si>
  <si>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</si>
  <si>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</si>
  <si>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</si>
  <si>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</si>
  <si>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</si>
  <si>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</si>
  <si>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</si>
  <si>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</si>
  <si>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</si>
  <si>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</si>
  <si>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</si>
  <si>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</si>
  <si>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Tj</t>
  </si>
  <si>
    <t>win</t>
  </si>
  <si>
    <t>empate</t>
  </si>
  <si>
    <t>perdido</t>
  </si>
  <si>
    <t>FASE GRUPOS</t>
  </si>
  <si>
    <t>vs</t>
  </si>
  <si>
    <t>NOTA: LA ORGANIZACIÓN DEL TORNEO NO SE HACE RESPONSABLE DE ACCIDENTES O PERDIDA DE ELEMENTOS DURANTE EL TRANSCURSO DEL TORNEO.                                                                                                                                                        Les recordamos traer el seguro de salud de los deportistas.                                                                                                                             Tarjeta de identidad Original,  Registro Civil.</t>
  </si>
  <si>
    <t>GRUPO B</t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</si>
  <si>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1- fecha 2</t>
    </r>
  </si>
  <si>
    <t xml:space="preserve">IV Campeonato Nacional de Futbol </t>
  </si>
  <si>
    <t>º</t>
  </si>
  <si>
    <r>
      <rPr>
        <i/>
        <sz val="18"/>
        <color theme="0"/>
        <rFont val="Calibri"/>
        <family val="2"/>
        <scheme val="minor"/>
      </rP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1- fecha 2</t>
    </r>
  </si>
  <si>
    <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3- fecha 4</t>
    </r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</si>
  <si>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3- fecha 4</t>
    </r>
  </si>
  <si>
    <t>HORA</t>
  </si>
  <si>
    <t>EQUIPO</t>
  </si>
  <si>
    <t>CALENDARIO OFICIAL</t>
  </si>
  <si>
    <t>CANCHA</t>
  </si>
  <si>
    <t>MARCADOR</t>
  </si>
  <si>
    <t>GRUPO</t>
  </si>
  <si>
    <t>PARTIDOS                 fecha 3</t>
  </si>
  <si>
    <t>CANCHA 1 A</t>
  </si>
  <si>
    <t>CANCHA 1 B</t>
  </si>
  <si>
    <t>CANCHA 1 C</t>
  </si>
  <si>
    <t>PRIMERO GRUPO A</t>
  </si>
  <si>
    <t>PRIMERO GRUPO B</t>
  </si>
  <si>
    <t>PARTIDOS                 fecha 1</t>
  </si>
  <si>
    <t xml:space="preserve"> PARTIDOS FECHA 2</t>
  </si>
  <si>
    <t>CATEGORIA</t>
  </si>
  <si>
    <t>04:55. p.m.</t>
  </si>
  <si>
    <t>03:00. p.m.</t>
  </si>
  <si>
    <t>08:40. a.m.</t>
  </si>
  <si>
    <t>07:00. a.m.</t>
  </si>
  <si>
    <t>08:40. p.m.</t>
  </si>
  <si>
    <t>01:20. p.m.</t>
  </si>
  <si>
    <t>SEGUNDO GRUPO B</t>
  </si>
  <si>
    <t>SEGUNDO GRUPO A</t>
  </si>
  <si>
    <t>INTERGRUPO</t>
  </si>
  <si>
    <t># 1 GRUPO A</t>
  </si>
  <si>
    <t># 5 GRUPO B</t>
  </si>
  <si>
    <t># 2 GRUPO A</t>
  </si>
  <si>
    <t># 6 GRUPO B</t>
  </si>
  <si>
    <t># 3 GRUPO A</t>
  </si>
  <si>
    <t># 4 GRUPO B</t>
  </si>
  <si>
    <t>CUARTA FECHA</t>
  </si>
  <si>
    <t>TERCERO GRUPO A</t>
  </si>
  <si>
    <t>TERCERO GRUPO B</t>
  </si>
  <si>
    <t>PARTIDOS       FECHA 4</t>
  </si>
  <si>
    <t>LLAVE</t>
  </si>
  <si>
    <t>FECHA 1</t>
  </si>
  <si>
    <t>FECHA 2</t>
  </si>
  <si>
    <t>FECHA 3</t>
  </si>
  <si>
    <t>PARTIDOS EN ESTE COLOR SON DE INTERGRUPO</t>
  </si>
  <si>
    <t>“COPA SOCCER MELGAR”</t>
  </si>
  <si>
    <t>CASETABLA SINTETICA (NO GUAYOS) 1B</t>
  </si>
  <si>
    <t>FINAL 
COPA BRONCE</t>
  </si>
  <si>
    <t>FINAL 
COPA PLATA</t>
  </si>
  <si>
    <t>FINAL 
COPA ORO</t>
  </si>
  <si>
    <t>XIX Festival Nacional de Fútbol Infantil</t>
  </si>
  <si>
    <t>5 Y 6 ABRIL 2025</t>
  </si>
  <si>
    <t>NACIDOS 2013 2014</t>
  </si>
  <si>
    <t>SPORTLAND LA MESA</t>
  </si>
  <si>
    <t>ACADEMIA COOFISAM</t>
  </si>
  <si>
    <t>ATHLETIC MELGAR</t>
  </si>
  <si>
    <t>CLUB DEPORTIVO  
YIYO MUZO F. C.</t>
  </si>
  <si>
    <t>CLUB LA REAL</t>
  </si>
  <si>
    <t>ESTADIO MUNICIPAL SINTETICO (NO GUAYOS) 1A</t>
  </si>
  <si>
    <t>ESTADIO MUNICIPAL SINTETICO (NO GUAYOS) 1B</t>
  </si>
  <si>
    <t>INTER 
 SADI F.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</si>
</sst>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8000"/>
      <name val="Times New Roman"/>
      <family val="1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i/>
      <sz val="18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i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35"/>
      <color rgb="FF00B050"/>
      <name val="Times New Roman"/>
      <family val="1"/>
    </font>
    <font>
      <sz val="40"/>
      <color theme="1"/>
      <name val="Imprint MT Shadow"/>
      <family val="5"/>
    </font>
    <font>
      <sz val="13"/>
      <color theme="0"/>
      <name val="Calibri"/>
      <family val="2"/>
      <scheme val="minor"/>
    </font>
    <font>
      <b/>
      <sz val="20"/>
      <color rgb="FF0066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48"/>
      <color theme="3"/>
      <name val="Times New Roman"/>
      <family val="1"/>
    </font>
    <font>
      <sz val="48"/>
      <color rgb="FFFF0000"/>
      <name val="Times New Roman"/>
      <family val="1"/>
    </font>
    <font>
      <b/>
      <sz val="20"/>
      <color theme="3"/>
      <name val="Times New Roman"/>
      <family val="1"/>
    </font>
    <font>
      <sz val="35"/>
      <color rgb="FFFF0000"/>
      <name val="Times New Roman"/>
      <family val="1"/>
    </font>
    <font>
      <i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35"/>
      <color rgb="FF00B050"/>
      <name val="Calibri"/>
      <family val="2"/>
      <scheme val="minor"/>
    </font>
    <font>
      <sz val="35"/>
      <color rgb="FF002060"/>
      <name val="Calibri"/>
      <family val="2"/>
      <scheme val="minor"/>
    </font>
    <font>
      <sz val="35"/>
      <color rgb="FFFF0000"/>
      <name val="Calibri"/>
      <family val="2"/>
      <scheme val="minor"/>
    </font>
    <font>
      <sz val="35"/>
      <color rgb="FF7030A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35"/>
      <color rgb="FF002060"/>
      <name val="Times New Roman"/>
      <family val="1"/>
    </font>
    <font>
      <sz val="20"/>
      <color rgb="FF7030A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Times New Roman"/>
      <family val="1"/>
    </font>
    <font>
      <b/>
      <sz val="14"/>
      <color theme="3"/>
      <name val="Times New Roman"/>
      <family val="1"/>
    </font>
    <font>
      <sz val="72"/>
      <color theme="1"/>
      <name val="Imprint MT Shadow"/>
      <family val="5"/>
    </font>
    <font>
      <sz val="70"/>
      <color theme="1"/>
      <name val="Imprint MT Shadow"/>
      <family val="5"/>
    </font>
    <font>
      <b/>
      <sz val="16"/>
      <color theme="1"/>
      <name val="Times New Roman"/>
      <family val="1"/>
    </font>
    <font>
      <b/>
      <sz val="16"/>
      <name val="Calibri"/>
      <family val="2"/>
      <scheme val="minor"/>
    </font>
    <font>
      <b/>
      <sz val="32"/>
      <color rgb="FF008000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6"/>
      <color rgb="FF006600"/>
      <name val="Times New Roman"/>
      <family val="1"/>
    </font>
    <font>
      <b/>
      <sz val="28"/>
      <name val="Bronco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99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85">
    <xf numFmtId="0" fontId="0" fillId="0" borderId="0" xfId="0"/>
    <xf numFmtId="0" fontId="0" fillId="2" borderId="0" xfId="0" applyFill="1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2" fillId="2" borderId="0" xfId="0" applyFont="1" applyFill="1"/>
    <xf numFmtId="0" fontId="14" fillId="7" borderId="9" xfId="0" applyFont="1" applyFill="1" applyBorder="1" applyAlignment="1">
      <alignment horizontal="center" vertical="center"/>
    </xf>
    <xf numFmtId="0" fontId="15" fillId="2" borderId="0" xfId="0" applyFont="1" applyFill="1"/>
    <xf numFmtId="16" fontId="2" fillId="2" borderId="0" xfId="0" applyNumberFormat="1" applyFont="1" applyFill="1"/>
    <xf numFmtId="164" fontId="2" fillId="2" borderId="0" xfId="0" applyNumberFormat="1" applyFont="1" applyFill="1"/>
    <xf numFmtId="0" fontId="1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10" fillId="7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2" fillId="2" borderId="0" xfId="0" applyFont="1" applyFill="1"/>
    <xf numFmtId="49" fontId="17" fillId="6" borderId="0" xfId="0" applyNumberFormat="1" applyFont="1" applyFill="1" applyAlignment="1">
      <alignment horizontal="center"/>
    </xf>
    <xf numFmtId="0" fontId="1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1" fillId="10" borderId="8" xfId="0" applyFont="1" applyFill="1" applyBorder="1"/>
    <xf numFmtId="0" fontId="0" fillId="10" borderId="8" xfId="0" applyFill="1" applyBorder="1"/>
    <xf numFmtId="0" fontId="0" fillId="6" borderId="4" xfId="0" applyFill="1" applyBorder="1"/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1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1" fontId="2" fillId="2" borderId="0" xfId="0" applyNumberFormat="1" applyFont="1" applyFill="1"/>
    <xf numFmtId="0" fontId="28" fillId="2" borderId="0" xfId="0" applyFont="1" applyFill="1"/>
    <xf numFmtId="0" fontId="27" fillId="2" borderId="0" xfId="0" applyFont="1" applyFill="1"/>
    <xf numFmtId="0" fontId="2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Protection="1">
      <protection locked="0"/>
    </xf>
    <xf numFmtId="0" fontId="40" fillId="2" borderId="0" xfId="0" applyFont="1" applyFill="1"/>
    <xf numFmtId="0" fontId="37" fillId="6" borderId="7" xfId="0" applyFont="1" applyFill="1" applyBorder="1" applyAlignment="1">
      <alignment horizontal="center"/>
    </xf>
    <xf numFmtId="0" fontId="42" fillId="6" borderId="0" xfId="0" applyFont="1" applyFill="1"/>
    <xf numFmtId="0" fontId="37" fillId="2" borderId="0" xfId="0" applyFont="1" applyFill="1"/>
    <xf numFmtId="0" fontId="37" fillId="6" borderId="0" xfId="0" applyFont="1" applyFill="1" applyAlignment="1">
      <alignment horizontal="center" vertical="center"/>
    </xf>
    <xf numFmtId="0" fontId="42" fillId="6" borderId="0" xfId="0" applyFont="1" applyFill="1" applyAlignment="1">
      <alignment horizontal="center"/>
    </xf>
    <xf numFmtId="0" fontId="43" fillId="6" borderId="13" xfId="0" applyFont="1" applyFill="1" applyBorder="1" applyAlignment="1">
      <alignment horizontal="center"/>
    </xf>
    <xf numFmtId="0" fontId="42" fillId="0" borderId="0" xfId="0" applyFont="1" applyAlignment="1">
      <alignment horizontal="left"/>
    </xf>
    <xf numFmtId="0" fontId="42" fillId="6" borderId="0" xfId="0" applyFont="1" applyFill="1" applyAlignment="1">
      <alignment vertical="center"/>
    </xf>
    <xf numFmtId="16" fontId="42" fillId="4" borderId="0" xfId="0" applyNumberFormat="1" applyFont="1" applyFill="1" applyAlignment="1">
      <alignment horizontal="center" vertical="center"/>
    </xf>
    <xf numFmtId="164" fontId="42" fillId="4" borderId="0" xfId="0" applyNumberFormat="1" applyFont="1" applyFill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0" fontId="42" fillId="8" borderId="6" xfId="0" applyFont="1" applyFill="1" applyBorder="1" applyAlignment="1" applyProtection="1">
      <alignment horizontal="center" vertical="center"/>
      <protection locked="0"/>
    </xf>
    <xf numFmtId="0" fontId="44" fillId="2" borderId="0" xfId="0" applyFont="1" applyFill="1"/>
    <xf numFmtId="0" fontId="45" fillId="2" borderId="0" xfId="0" applyFont="1" applyFill="1"/>
    <xf numFmtId="0" fontId="42" fillId="10" borderId="0" xfId="0" applyFont="1" applyFill="1"/>
    <xf numFmtId="0" fontId="42" fillId="6" borderId="0" xfId="0" applyFont="1" applyFill="1" applyAlignment="1">
      <alignment horizontal="right" vertical="center"/>
    </xf>
    <xf numFmtId="0" fontId="48" fillId="6" borderId="0" xfId="0" applyFont="1" applyFill="1" applyAlignment="1">
      <alignment horizontal="center"/>
    </xf>
    <xf numFmtId="1" fontId="1" fillId="3" borderId="6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0" fontId="0" fillId="6" borderId="22" xfId="0" applyFill="1" applyBorder="1"/>
    <xf numFmtId="0" fontId="41" fillId="6" borderId="13" xfId="0" applyFont="1" applyFill="1" applyBorder="1"/>
    <xf numFmtId="0" fontId="37" fillId="6" borderId="22" xfId="0" applyFont="1" applyFill="1" applyBorder="1" applyAlignment="1">
      <alignment horizontal="center" vertical="center"/>
    </xf>
    <xf numFmtId="0" fontId="11" fillId="0" borderId="0" xfId="0" applyFont="1"/>
    <xf numFmtId="0" fontId="52" fillId="2" borderId="0" xfId="0" applyFont="1" applyFill="1" applyAlignment="1">
      <alignment horizontal="right"/>
    </xf>
    <xf numFmtId="0" fontId="54" fillId="2" borderId="0" xfId="0" applyFont="1" applyFill="1"/>
    <xf numFmtId="0" fontId="50" fillId="2" borderId="0" xfId="0" applyFont="1" applyFill="1" applyAlignment="1">
      <alignment vertical="center"/>
    </xf>
    <xf numFmtId="0" fontId="19" fillId="2" borderId="0" xfId="0" applyFont="1" applyFill="1" applyAlignment="1">
      <alignment vertical="center" wrapText="1"/>
    </xf>
    <xf numFmtId="0" fontId="1" fillId="2" borderId="0" xfId="0" applyFont="1" applyFill="1"/>
    <xf numFmtId="16" fontId="42" fillId="2" borderId="0" xfId="0" applyNumberFormat="1" applyFont="1" applyFill="1" applyAlignment="1">
      <alignment horizontal="center" vertical="center"/>
    </xf>
    <xf numFmtId="164" fontId="42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 wrapText="1"/>
    </xf>
    <xf numFmtId="0" fontId="42" fillId="2" borderId="0" xfId="0" applyFont="1" applyFill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9" fillId="2" borderId="0" xfId="0" applyFont="1" applyFill="1"/>
    <xf numFmtId="0" fontId="42" fillId="2" borderId="0" xfId="0" applyFont="1" applyFill="1" applyAlignment="1">
      <alignment horizontal="center"/>
    </xf>
    <xf numFmtId="0" fontId="59" fillId="2" borderId="0" xfId="0" applyFont="1" applyFill="1" applyAlignment="1">
      <alignment vertical="center" wrapText="1"/>
    </xf>
    <xf numFmtId="0" fontId="48" fillId="2" borderId="0" xfId="0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0" fontId="60" fillId="2" borderId="0" xfId="0" applyFont="1" applyFill="1"/>
    <xf numFmtId="164" fontId="61" fillId="2" borderId="0" xfId="0" applyNumberFormat="1" applyFont="1" applyFill="1"/>
    <xf numFmtId="0" fontId="61" fillId="2" borderId="0" xfId="0" applyFont="1" applyFill="1" applyAlignment="1">
      <alignment horizontal="center" vertical="center"/>
    </xf>
    <xf numFmtId="0" fontId="61" fillId="2" borderId="0" xfId="0" applyFont="1" applyFill="1"/>
    <xf numFmtId="0" fontId="2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 wrapText="1"/>
    </xf>
    <xf numFmtId="0" fontId="6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2" fillId="2" borderId="0" xfId="0" applyFont="1" applyFill="1" applyAlignment="1">
      <alignment vertical="center" wrapText="1"/>
    </xf>
    <xf numFmtId="16" fontId="1" fillId="4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16" fontId="42" fillId="11" borderId="0" xfId="0" applyNumberFormat="1" applyFont="1" applyFill="1" applyAlignment="1">
      <alignment horizontal="center" vertical="center"/>
    </xf>
    <xf numFmtId="164" fontId="42" fillId="11" borderId="0" xfId="0" applyNumberFormat="1" applyFont="1" applyFill="1" applyAlignment="1">
      <alignment horizontal="center" vertical="center"/>
    </xf>
    <xf numFmtId="0" fontId="42" fillId="11" borderId="0" xfId="0" applyFont="1" applyFill="1" applyAlignment="1">
      <alignment horizontal="center" vertical="center"/>
    </xf>
    <xf numFmtId="0" fontId="48" fillId="4" borderId="0" xfId="0" applyFont="1" applyFill="1" applyAlignment="1">
      <alignment horizontal="center"/>
    </xf>
    <xf numFmtId="0" fontId="42" fillId="4" borderId="6" xfId="0" applyFont="1" applyFill="1" applyBorder="1" applyAlignment="1" applyProtection="1">
      <alignment horizontal="center" vertical="center"/>
      <protection locked="0"/>
    </xf>
    <xf numFmtId="0" fontId="42" fillId="2" borderId="6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/>
    </xf>
    <xf numFmtId="16" fontId="1" fillId="11" borderId="0" xfId="0" applyNumberFormat="1" applyFont="1" applyFill="1" applyAlignment="1">
      <alignment horizontal="center" vertical="center"/>
    </xf>
    <xf numFmtId="164" fontId="1" fillId="11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" fillId="12" borderId="6" xfId="0" applyFont="1" applyFill="1" applyBorder="1" applyAlignment="1" applyProtection="1">
      <alignment horizontal="center" vertical="center"/>
      <protection locked="0"/>
    </xf>
    <xf numFmtId="0" fontId="42" fillId="12" borderId="6" xfId="0" applyFont="1" applyFill="1" applyBorder="1" applyAlignment="1" applyProtection="1">
      <alignment horizontal="center" vertical="center"/>
      <protection locked="0"/>
    </xf>
    <xf numFmtId="0" fontId="42" fillId="1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58" fillId="2" borderId="0" xfId="1" applyFont="1" applyFill="1" applyBorder="1" applyAlignment="1">
      <alignment horizontal="center" vertical="center"/>
    </xf>
    <xf numFmtId="0" fontId="16" fillId="2" borderId="40" xfId="1" applyFont="1" applyFill="1" applyBorder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80" fillId="2" borderId="2" xfId="0" applyFont="1" applyFill="1" applyBorder="1" applyAlignment="1">
      <alignment horizontal="center" vertical="center" wrapText="1"/>
    </xf>
    <xf numFmtId="0" fontId="80" fillId="2" borderId="0" xfId="0" applyFont="1" applyFill="1" applyAlignment="1">
      <alignment horizontal="center" vertical="center"/>
    </xf>
    <xf numFmtId="0" fontId="80" fillId="2" borderId="40" xfId="0" applyFont="1" applyFill="1" applyBorder="1" applyAlignment="1">
      <alignment horizontal="center" vertical="center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 vertical="center"/>
    </xf>
    <xf numFmtId="0" fontId="80" fillId="2" borderId="41" xfId="0" applyFont="1" applyFill="1" applyBorder="1" applyAlignment="1">
      <alignment horizontal="center" vertical="center" wrapText="1"/>
    </xf>
    <xf numFmtId="0" fontId="82" fillId="2" borderId="3" xfId="0" applyFont="1" applyFill="1" applyBorder="1"/>
    <xf numFmtId="0" fontId="83" fillId="2" borderId="3" xfId="0" applyFont="1" applyFill="1" applyBorder="1" applyAlignment="1">
      <alignment horizontal="center"/>
    </xf>
    <xf numFmtId="0" fontId="79" fillId="2" borderId="0" xfId="0" applyFont="1" applyFill="1"/>
    <xf numFmtId="0" fontId="38" fillId="2" borderId="0" xfId="0" applyFont="1" applyFill="1"/>
    <xf numFmtId="0" fontId="86" fillId="2" borderId="0" xfId="0" applyFont="1" applyFill="1" applyAlignment="1">
      <alignment vertical="center"/>
    </xf>
    <xf numFmtId="0" fontId="87" fillId="2" borderId="0" xfId="0" applyFont="1" applyFill="1" applyAlignment="1">
      <alignment vertical="center"/>
    </xf>
    <xf numFmtId="0" fontId="81" fillId="2" borderId="36" xfId="0" applyFont="1" applyFill="1" applyBorder="1" applyAlignment="1">
      <alignment horizontal="center" vertical="center"/>
    </xf>
    <xf numFmtId="0" fontId="81" fillId="2" borderId="0" xfId="0" applyFont="1" applyFill="1"/>
    <xf numFmtId="0" fontId="8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91" fillId="0" borderId="0" xfId="0" applyFont="1"/>
    <xf numFmtId="0" fontId="91" fillId="2" borderId="0" xfId="0" applyFont="1" applyFill="1"/>
    <xf numFmtId="0" fontId="92" fillId="15" borderId="45" xfId="0" applyFont="1" applyFill="1" applyBorder="1" applyAlignment="1">
      <alignment horizontal="center" vertical="center"/>
    </xf>
    <xf numFmtId="0" fontId="92" fillId="15" borderId="46" xfId="0" applyFont="1" applyFill="1" applyBorder="1" applyAlignment="1">
      <alignment horizontal="center" vertical="center"/>
    </xf>
    <xf numFmtId="0" fontId="92" fillId="15" borderId="47" xfId="0" applyFont="1" applyFill="1" applyBorder="1" applyAlignment="1">
      <alignment horizontal="center" vertical="center"/>
    </xf>
    <xf numFmtId="0" fontId="78" fillId="3" borderId="43" xfId="0" applyFont="1" applyFill="1" applyBorder="1" applyAlignment="1">
      <alignment horizontal="center" vertical="center"/>
    </xf>
    <xf numFmtId="0" fontId="78" fillId="10" borderId="43" xfId="0" applyFont="1" applyFill="1" applyBorder="1" applyAlignment="1">
      <alignment horizontal="left" vertical="center" wrapText="1"/>
    </xf>
    <xf numFmtId="0" fontId="78" fillId="10" borderId="43" xfId="0" applyFont="1" applyFill="1" applyBorder="1" applyAlignment="1">
      <alignment horizontal="center" vertical="center" wrapText="1"/>
    </xf>
    <xf numFmtId="16" fontId="78" fillId="10" borderId="3" xfId="0" applyNumberFormat="1" applyFont="1" applyFill="1" applyBorder="1" applyAlignment="1">
      <alignment horizontal="center" vertical="center" wrapText="1"/>
    </xf>
    <xf numFmtId="0" fontId="78" fillId="10" borderId="3" xfId="0" applyFont="1" applyFill="1" applyBorder="1" applyAlignment="1">
      <alignment horizontal="center" vertical="center" wrapText="1"/>
    </xf>
    <xf numFmtId="0" fontId="78" fillId="10" borderId="3" xfId="0" applyFont="1" applyFill="1" applyBorder="1" applyAlignment="1">
      <alignment horizontal="left" vertical="center" wrapText="1"/>
    </xf>
    <xf numFmtId="16" fontId="92" fillId="14" borderId="45" xfId="0" applyNumberFormat="1" applyFont="1" applyFill="1" applyBorder="1" applyAlignment="1">
      <alignment horizontal="center" vertical="center"/>
    </xf>
    <xf numFmtId="16" fontId="92" fillId="14" borderId="46" xfId="0" applyNumberFormat="1" applyFont="1" applyFill="1" applyBorder="1" applyAlignment="1">
      <alignment horizontal="center" vertical="center"/>
    </xf>
    <xf numFmtId="16" fontId="92" fillId="14" borderId="47" xfId="0" applyNumberFormat="1" applyFont="1" applyFill="1" applyBorder="1" applyAlignment="1">
      <alignment horizontal="center" vertical="center"/>
    </xf>
    <xf numFmtId="0" fontId="91" fillId="2" borderId="0" xfId="0" applyFont="1" applyFill="1" applyAlignment="1">
      <alignment wrapText="1"/>
    </xf>
    <xf numFmtId="0" fontId="78" fillId="3" borderId="43" xfId="0" applyFont="1" applyFill="1" applyBorder="1" applyAlignment="1">
      <alignment horizontal="center" vertical="center" wrapText="1"/>
    </xf>
    <xf numFmtId="18" fontId="78" fillId="10" borderId="3" xfId="0" applyNumberFormat="1" applyFont="1" applyFill="1" applyBorder="1" applyAlignment="1">
      <alignment horizontal="center" vertical="center" wrapText="1"/>
    </xf>
    <xf numFmtId="0" fontId="93" fillId="10" borderId="3" xfId="0" applyFont="1" applyFill="1" applyBorder="1" applyAlignment="1">
      <alignment horizontal="center" vertical="center" wrapText="1"/>
    </xf>
    <xf numFmtId="18" fontId="89" fillId="10" borderId="3" xfId="0" applyNumberFormat="1" applyFont="1" applyFill="1" applyBorder="1" applyAlignment="1">
      <alignment horizontal="center" vertical="center" wrapText="1"/>
    </xf>
    <xf numFmtId="0" fontId="45" fillId="10" borderId="3" xfId="0" applyFont="1" applyFill="1" applyBorder="1" applyAlignment="1">
      <alignment horizontal="center" vertical="center" wrapText="1"/>
    </xf>
    <xf numFmtId="0" fontId="9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64" fontId="17" fillId="3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1" fillId="8" borderId="12" xfId="0" applyFont="1" applyFill="1" applyBorder="1" applyAlignment="1" applyProtection="1">
      <alignment horizontal="center" vertical="center"/>
      <protection locked="0"/>
    </xf>
    <xf numFmtId="0" fontId="1" fillId="8" borderId="14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6" fontId="1" fillId="4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164" fontId="17" fillId="4" borderId="0" xfId="0" applyNumberFormat="1" applyFont="1" applyFill="1" applyAlignment="1">
      <alignment horizontal="center" vertical="center"/>
    </xf>
    <xf numFmtId="16" fontId="1" fillId="3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  <xf numFmtId="0" fontId="1" fillId="8" borderId="12" xfId="0" applyFont="1" applyFill="1" applyBorder="1" applyAlignment="1" applyProtection="1">
      <alignment horizontal="center" vertical="center" wrapText="1"/>
      <protection locked="0"/>
    </xf>
    <xf numFmtId="0" fontId="1" fillId="8" borderId="14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1" fillId="2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11" fillId="2" borderId="18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27" xfId="0" applyFont="1" applyFill="1" applyBorder="1" applyAlignment="1">
      <alignment horizontal="center"/>
    </xf>
    <xf numFmtId="0" fontId="7" fillId="5" borderId="12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8" fillId="6" borderId="12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67" fillId="2" borderId="12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62" fillId="0" borderId="0" xfId="0" applyFont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16" fontId="1" fillId="3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center" vertical="center" wrapText="1"/>
    </xf>
    <xf numFmtId="0" fontId="61" fillId="2" borderId="0" xfId="0" applyFont="1" applyFill="1" applyAlignment="1" applyProtection="1">
      <alignment horizontal="center"/>
      <protection locked="0"/>
    </xf>
    <xf numFmtId="0" fontId="2" fillId="6" borderId="22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1" fontId="11" fillId="2" borderId="15" xfId="0" applyNumberFormat="1" applyFont="1" applyFill="1" applyBorder="1" applyAlignment="1">
      <alignment horizontal="center" vertical="center"/>
    </xf>
    <xf numFmtId="0" fontId="67" fillId="2" borderId="12" xfId="0" applyFont="1" applyFill="1" applyBorder="1" applyAlignment="1">
      <alignment horizontal="center" vertical="center"/>
    </xf>
    <xf numFmtId="0" fontId="67" fillId="2" borderId="14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78" fillId="21" borderId="33" xfId="0" applyFont="1" applyFill="1" applyBorder="1" applyAlignment="1">
      <alignment horizontal="center" vertical="center" wrapText="1"/>
    </xf>
    <xf numFmtId="0" fontId="78" fillId="21" borderId="34" xfId="0" applyFont="1" applyFill="1" applyBorder="1" applyAlignment="1">
      <alignment horizontal="center" vertical="center" wrapText="1"/>
    </xf>
    <xf numFmtId="0" fontId="78" fillId="21" borderId="35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5" fillId="22" borderId="0" xfId="0" applyFont="1" applyFill="1" applyAlignment="1">
      <alignment horizontal="center"/>
    </xf>
    <xf numFmtId="0" fontId="78" fillId="2" borderId="0" xfId="0" applyFont="1" applyFill="1" applyAlignment="1">
      <alignment horizontal="center"/>
    </xf>
    <xf numFmtId="0" fontId="1" fillId="3" borderId="42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78" fillId="4" borderId="45" xfId="0" applyFont="1" applyFill="1" applyBorder="1" applyAlignment="1">
      <alignment horizontal="center" vertical="center"/>
    </xf>
    <xf numFmtId="0" fontId="78" fillId="4" borderId="46" xfId="0" applyFont="1" applyFill="1" applyBorder="1" applyAlignment="1">
      <alignment horizontal="center" vertical="center"/>
    </xf>
    <xf numFmtId="0" fontId="78" fillId="4" borderId="47" xfId="0" applyFont="1" applyFill="1" applyBorder="1" applyAlignment="1">
      <alignment horizontal="center" vertical="center"/>
    </xf>
    <xf numFmtId="0" fontId="78" fillId="13" borderId="45" xfId="0" applyFont="1" applyFill="1" applyBorder="1" applyAlignment="1">
      <alignment horizontal="center" vertical="center" wrapText="1"/>
    </xf>
    <xf numFmtId="0" fontId="78" fillId="13" borderId="46" xfId="0" applyFont="1" applyFill="1" applyBorder="1" applyAlignment="1">
      <alignment horizontal="center" vertical="center" wrapText="1"/>
    </xf>
    <xf numFmtId="0" fontId="78" fillId="13" borderId="47" xfId="0" applyFont="1" applyFill="1" applyBorder="1" applyAlignment="1">
      <alignment horizontal="center" vertical="center" wrapText="1"/>
    </xf>
    <xf numFmtId="0" fontId="78" fillId="20" borderId="33" xfId="0" applyFont="1" applyFill="1" applyBorder="1" applyAlignment="1">
      <alignment horizontal="center" vertical="center" wrapText="1"/>
    </xf>
    <xf numFmtId="0" fontId="78" fillId="20" borderId="34" xfId="0" applyFont="1" applyFill="1" applyBorder="1" applyAlignment="1">
      <alignment horizontal="center" vertical="center" wrapText="1"/>
    </xf>
    <xf numFmtId="0" fontId="78" fillId="20" borderId="35" xfId="0" applyFont="1" applyFill="1" applyBorder="1" applyAlignment="1">
      <alignment horizontal="center" vertical="center" wrapText="1"/>
    </xf>
    <xf numFmtId="0" fontId="88" fillId="17" borderId="33" xfId="0" applyFont="1" applyFill="1" applyBorder="1" applyAlignment="1">
      <alignment horizontal="center" vertical="center"/>
    </xf>
    <xf numFmtId="0" fontId="88" fillId="17" borderId="34" xfId="0" applyFont="1" applyFill="1" applyBorder="1" applyAlignment="1">
      <alignment horizontal="center" vertical="center"/>
    </xf>
    <xf numFmtId="0" fontId="88" fillId="17" borderId="35" xfId="0" applyFont="1" applyFill="1" applyBorder="1" applyAlignment="1">
      <alignment horizontal="center" vertical="center"/>
    </xf>
    <xf numFmtId="0" fontId="1" fillId="16" borderId="33" xfId="0" applyFont="1" applyFill="1" applyBorder="1" applyAlignment="1">
      <alignment horizontal="center"/>
    </xf>
    <xf numFmtId="0" fontId="1" fillId="16" borderId="34" xfId="0" applyFont="1" applyFill="1" applyBorder="1" applyAlignment="1">
      <alignment horizontal="center"/>
    </xf>
    <xf numFmtId="0" fontId="1" fillId="16" borderId="35" xfId="0" applyFont="1" applyFill="1" applyBorder="1" applyAlignment="1">
      <alignment horizontal="center"/>
    </xf>
    <xf numFmtId="0" fontId="1" fillId="10" borderId="33" xfId="0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10" borderId="35" xfId="0" applyFont="1" applyFill="1" applyBorder="1" applyAlignment="1">
      <alignment horizontal="center" vertical="center" wrapText="1"/>
    </xf>
    <xf numFmtId="0" fontId="88" fillId="11" borderId="33" xfId="0" applyFont="1" applyFill="1" applyBorder="1" applyAlignment="1">
      <alignment horizontal="center" vertical="center"/>
    </xf>
    <xf numFmtId="0" fontId="88" fillId="11" borderId="34" xfId="0" applyFont="1" applyFill="1" applyBorder="1" applyAlignment="1">
      <alignment horizontal="center" vertical="center"/>
    </xf>
    <xf numFmtId="0" fontId="88" fillId="11" borderId="35" xfId="0" applyFon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 wrapText="1"/>
    </xf>
    <xf numFmtId="0" fontId="1" fillId="10" borderId="37" xfId="0" applyFont="1" applyFill="1" applyBorder="1" applyAlignment="1">
      <alignment horizontal="center" vertical="center" wrapText="1"/>
    </xf>
    <xf numFmtId="0" fontId="1" fillId="10" borderId="39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84" fillId="2" borderId="0" xfId="0" applyFont="1" applyFill="1" applyAlignment="1">
      <alignment horizontal="center" vertical="center"/>
    </xf>
    <xf numFmtId="0" fontId="85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88" fillId="18" borderId="33" xfId="0" applyFont="1" applyFill="1" applyBorder="1" applyAlignment="1">
      <alignment horizontal="center" vertical="center"/>
    </xf>
    <xf numFmtId="0" fontId="88" fillId="18" borderId="34" xfId="0" applyFont="1" applyFill="1" applyBorder="1" applyAlignment="1">
      <alignment horizontal="center" vertical="center"/>
    </xf>
    <xf numFmtId="0" fontId="88" fillId="18" borderId="35" xfId="0" applyFont="1" applyFill="1" applyBorder="1" applyAlignment="1">
      <alignment horizontal="center" vertical="center"/>
    </xf>
    <xf numFmtId="0" fontId="3" fillId="16" borderId="33" xfId="0" applyFont="1" applyFill="1" applyBorder="1" applyAlignment="1">
      <alignment horizontal="center"/>
    </xf>
    <xf numFmtId="0" fontId="3" fillId="16" borderId="34" xfId="0" applyFont="1" applyFill="1" applyBorder="1" applyAlignment="1">
      <alignment horizontal="center"/>
    </xf>
    <xf numFmtId="0" fontId="3" fillId="16" borderId="35" xfId="0" applyFont="1" applyFill="1" applyBorder="1" applyAlignment="1">
      <alignment horizontal="center"/>
    </xf>
    <xf numFmtId="0" fontId="88" fillId="19" borderId="33" xfId="0" applyFont="1" applyFill="1" applyBorder="1" applyAlignment="1">
      <alignment horizontal="center" vertical="center"/>
    </xf>
    <xf numFmtId="0" fontId="88" fillId="19" borderId="34" xfId="0" applyFont="1" applyFill="1" applyBorder="1" applyAlignment="1">
      <alignment horizontal="center" vertical="center"/>
    </xf>
    <xf numFmtId="0" fontId="88" fillId="19" borderId="3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 vertical="center"/>
    </xf>
    <xf numFmtId="0" fontId="59" fillId="2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13" fillId="2" borderId="0" xfId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0" fontId="69" fillId="2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42" fillId="4" borderId="0" xfId="0" applyFont="1" applyFill="1" applyAlignment="1">
      <alignment horizontal="center" vertical="center" wrapText="1"/>
    </xf>
    <xf numFmtId="0" fontId="49" fillId="2" borderId="23" xfId="0" applyFont="1" applyFill="1" applyBorder="1" applyAlignment="1">
      <alignment horizontal="center" vertical="center"/>
    </xf>
    <xf numFmtId="0" fontId="49" fillId="2" borderId="24" xfId="0" applyFont="1" applyFill="1" applyBorder="1" applyAlignment="1">
      <alignment horizontal="center" vertical="center"/>
    </xf>
    <xf numFmtId="0" fontId="49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42" fillId="11" borderId="0" xfId="0" applyFont="1" applyFill="1" applyAlignment="1">
      <alignment horizontal="center" vertical="center" wrapText="1"/>
    </xf>
    <xf numFmtId="0" fontId="42" fillId="4" borderId="0" xfId="0" applyFont="1" applyFill="1" applyAlignment="1">
      <alignment horizontal="center" vertical="center"/>
    </xf>
    <xf numFmtId="0" fontId="68" fillId="2" borderId="23" xfId="0" applyFont="1" applyFill="1" applyBorder="1" applyAlignment="1">
      <alignment horizontal="center" vertical="center"/>
    </xf>
    <xf numFmtId="0" fontId="68" fillId="2" borderId="24" xfId="0" applyFont="1" applyFill="1" applyBorder="1" applyAlignment="1">
      <alignment horizontal="center" vertical="center"/>
    </xf>
    <xf numFmtId="0" fontId="68" fillId="2" borderId="25" xfId="0" applyFont="1" applyFill="1" applyBorder="1" applyAlignment="1">
      <alignment horizontal="center" vertical="center"/>
    </xf>
    <xf numFmtId="0" fontId="70" fillId="2" borderId="0" xfId="0" applyFont="1" applyFill="1" applyAlignment="1">
      <alignment horizontal="center" vertical="center"/>
    </xf>
    <xf numFmtId="0" fontId="70" fillId="2" borderId="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72" fillId="2" borderId="0" xfId="0" applyFont="1" applyFill="1" applyAlignment="1">
      <alignment horizontal="center" vertical="center"/>
    </xf>
    <xf numFmtId="0" fontId="72" fillId="2" borderId="8" xfId="0" applyFont="1" applyFill="1" applyBorder="1" applyAlignment="1">
      <alignment horizontal="center" vertical="center"/>
    </xf>
    <xf numFmtId="0" fontId="50" fillId="2" borderId="23" xfId="0" applyFont="1" applyFill="1" applyBorder="1" applyAlignment="1">
      <alignment horizontal="center" vertical="center"/>
    </xf>
    <xf numFmtId="0" fontId="50" fillId="2" borderId="24" xfId="0" applyFont="1" applyFill="1" applyBorder="1" applyAlignment="1">
      <alignment horizontal="center" vertical="center"/>
    </xf>
    <xf numFmtId="0" fontId="50" fillId="2" borderId="25" xfId="0" applyFont="1" applyFill="1" applyBorder="1" applyAlignment="1">
      <alignment horizontal="center" vertical="center"/>
    </xf>
    <xf numFmtId="0" fontId="71" fillId="2" borderId="0" xfId="0" applyFont="1" applyFill="1" applyAlignment="1">
      <alignment horizontal="center" vertical="center"/>
    </xf>
    <xf numFmtId="0" fontId="71" fillId="2" borderId="8" xfId="0" applyFont="1" applyFill="1" applyBorder="1" applyAlignment="1">
      <alignment horizontal="center" vertical="center"/>
    </xf>
    <xf numFmtId="0" fontId="66" fillId="7" borderId="5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6" fillId="2" borderId="8" xfId="0" applyFont="1" applyFill="1" applyBorder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74" fillId="2" borderId="8" xfId="0" applyFont="1" applyFill="1" applyBorder="1" applyAlignment="1">
      <alignment horizontal="center" vertical="center"/>
    </xf>
    <xf numFmtId="0" fontId="65" fillId="2" borderId="0" xfId="0" applyFont="1" applyFill="1" applyAlignment="1">
      <alignment horizontal="center" vertical="center"/>
    </xf>
    <xf numFmtId="0" fontId="65" fillId="2" borderId="8" xfId="0" applyFont="1" applyFill="1" applyBorder="1" applyAlignment="1">
      <alignment horizontal="center" vertical="center"/>
    </xf>
    <xf numFmtId="0" fontId="67" fillId="0" borderId="38" xfId="0" applyFont="1" applyBorder="1" applyAlignment="1">
      <alignment horizontal="center"/>
    </xf>
    <xf numFmtId="0" fontId="67" fillId="0" borderId="37" xfId="0" applyFont="1" applyBorder="1" applyAlignment="1">
      <alignment horizontal="center"/>
    </xf>
    <xf numFmtId="0" fontId="67" fillId="0" borderId="39" xfId="0" applyFont="1" applyBorder="1" applyAlignment="1">
      <alignment horizontal="center"/>
    </xf>
    <xf numFmtId="0" fontId="75" fillId="0" borderId="33" xfId="0" applyFont="1" applyBorder="1" applyAlignment="1">
      <alignment horizontal="center"/>
    </xf>
    <xf numFmtId="0" fontId="75" fillId="0" borderId="34" xfId="0" applyFont="1" applyBorder="1" applyAlignment="1">
      <alignment horizontal="center"/>
    </xf>
    <xf numFmtId="0" fontId="75" fillId="0" borderId="35" xfId="0" applyFont="1" applyBorder="1" applyAlignment="1">
      <alignment horizontal="center"/>
    </xf>
    <xf numFmtId="0" fontId="42" fillId="12" borderId="12" xfId="0" applyFont="1" applyFill="1" applyBorder="1" applyAlignment="1" applyProtection="1">
      <alignment horizontal="center" vertical="center"/>
      <protection locked="0"/>
    </xf>
    <xf numFmtId="0" fontId="42" fillId="12" borderId="14" xfId="0" applyFont="1" applyFill="1" applyBorder="1" applyAlignment="1" applyProtection="1">
      <alignment horizontal="center" vertical="center"/>
      <protection locked="0"/>
    </xf>
    <xf numFmtId="0" fontId="37" fillId="6" borderId="0" xfId="0" applyFont="1" applyFill="1" applyAlignment="1">
      <alignment horizontal="center"/>
    </xf>
    <xf numFmtId="0" fontId="42" fillId="10" borderId="0" xfId="0" applyFont="1" applyFill="1" applyAlignment="1">
      <alignment horizontal="center" vertical="center" wrapText="1"/>
    </xf>
    <xf numFmtId="0" fontId="43" fillId="6" borderId="13" xfId="0" applyFont="1" applyFill="1" applyBorder="1" applyAlignment="1" applyProtection="1">
      <alignment horizontal="center" vertical="center"/>
      <protection locked="0"/>
    </xf>
    <xf numFmtId="0" fontId="42" fillId="5" borderId="0" xfId="0" applyFont="1" applyFill="1" applyAlignment="1">
      <alignment horizontal="center" vertical="center" wrapText="1"/>
    </xf>
    <xf numFmtId="16" fontId="41" fillId="6" borderId="13" xfId="0" applyNumberFormat="1" applyFont="1" applyFill="1" applyBorder="1" applyAlignment="1" applyProtection="1">
      <alignment horizontal="center" vertical="center"/>
      <protection locked="0"/>
    </xf>
    <xf numFmtId="16" fontId="41" fillId="6" borderId="0" xfId="0" applyNumberFormat="1" applyFont="1" applyFill="1" applyAlignment="1" applyProtection="1">
      <alignment horizontal="center" vertical="center"/>
      <protection locked="0"/>
    </xf>
    <xf numFmtId="0" fontId="37" fillId="10" borderId="0" xfId="0" applyFont="1" applyFill="1" applyAlignment="1">
      <alignment horizontal="center"/>
    </xf>
    <xf numFmtId="0" fontId="37" fillId="6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3" fillId="12" borderId="19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center" wrapText="1"/>
    </xf>
    <xf numFmtId="16" fontId="41" fillId="6" borderId="22" xfId="0" applyNumberFormat="1" applyFont="1" applyFill="1" applyBorder="1" applyAlignment="1" applyProtection="1">
      <alignment horizontal="center" vertical="center"/>
      <protection locked="0"/>
    </xf>
    <xf numFmtId="164" fontId="41" fillId="6" borderId="0" xfId="0" applyNumberFormat="1" applyFont="1" applyFill="1" applyAlignment="1" applyProtection="1">
      <alignment horizontal="center" vertical="center"/>
      <protection locked="0"/>
    </xf>
    <xf numFmtId="0" fontId="42" fillId="6" borderId="0" xfId="0" applyFont="1" applyFill="1" applyAlignment="1">
      <alignment horizontal="center" vertical="center" wrapText="1"/>
    </xf>
    <xf numFmtId="0" fontId="37" fillId="6" borderId="13" xfId="0" applyFont="1" applyFill="1" applyBorder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42" fillId="6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192"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CC99"/>
      <color rgb="FF969696"/>
      <color rgb="FF4D4D4D"/>
      <color rgb="FFFF9900"/>
      <color rgb="FF5F5F5F"/>
      <color rgb="FFCCCC00"/>
      <color rgb="FF006600"/>
      <color rgb="FFFDFEDA"/>
      <color rgb="FFFFFFFF"/>
      <color rgb="FFF9F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g"/><Relationship Id="rId4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215900</xdr:colOff>
      <xdr:row>0</xdr:row>
      <xdr:rowOff>515285</xdr:rowOff>
    </xdr:from>
    <xdr:to>
      <xdr:col>4</xdr:col>
      <xdr:colOff>1237080</xdr:colOff>
      <xdr:row>4</xdr:row>
      <xdr:rowOff>46537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577167" y="515285"/>
          <a:ext cx="1021180" cy="1139919"/>
        </a:xfrm>
        <a:prstGeom prst="rect">
          <a:avLst/>
        </a:prstGeom>
      </xdr:spPr>
    </xdr:pic>
    <xdr:clientData/>
  </xdr:twoCellAnchor>
  <xdr:twoCellAnchor editAs="oneCell">
    <xdr:from>
      <xdr:col>8</xdr:col>
      <xdr:colOff>111303</xdr:colOff>
      <xdr:row>3</xdr:row>
      <xdr:rowOff>120712</xdr:rowOff>
    </xdr:from>
    <xdr:to>
      <xdr:col>8</xdr:col>
      <xdr:colOff>1926404</xdr:colOff>
      <xdr:row>8</xdr:row>
      <xdr:rowOff>44426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39" r="17573"/>
        <a:stretch/>
      </xdr:blipFill>
      <xdr:spPr>
        <a:xfrm>
          <a:off x="7697056" y="1464914"/>
          <a:ext cx="1815101" cy="2278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21180</xdr:colOff>
      <xdr:row>15</xdr:row>
      <xdr:rowOff>93160</xdr:rowOff>
    </xdr:from>
    <xdr:to>
      <xdr:col>23</xdr:col>
      <xdr:colOff>21177</xdr:colOff>
      <xdr:row>19</xdr:row>
      <xdr:rowOff>91043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2713" y="3945493"/>
          <a:ext cx="4682064" cy="93768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8138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137599</xdr:colOff>
      <xdr:row>18</xdr:row>
      <xdr:rowOff>37</xdr:rowOff>
    </xdr:from>
    <xdr:to>
      <xdr:col>22</xdr:col>
      <xdr:colOff>349262</xdr:colOff>
      <xdr:row>22</xdr:row>
      <xdr:rowOff>74120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3682" y="4243954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92805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123818</xdr:colOff>
      <xdr:row>0</xdr:row>
      <xdr:rowOff>354798</xdr:rowOff>
    </xdr:from>
    <xdr:to>
      <xdr:col>23</xdr:col>
      <xdr:colOff>334673</xdr:colOff>
      <xdr:row>3</xdr:row>
      <xdr:rowOff>27479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9326218" y="354798"/>
          <a:ext cx="991905" cy="1101431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0</xdr:row>
      <xdr:rowOff>0</xdr:rowOff>
    </xdr:from>
    <xdr:to>
      <xdr:col>8</xdr:col>
      <xdr:colOff>736092</xdr:colOff>
      <xdr:row>4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69" t="2977" r="16865" b="6073"/>
        <a:stretch/>
      </xdr:blipFill>
      <xdr:spPr>
        <a:xfrm>
          <a:off x="10525125" y="0"/>
          <a:ext cx="1726692" cy="19621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0</xdr:row>
      <xdr:rowOff>123824</xdr:rowOff>
    </xdr:from>
    <xdr:to>
      <xdr:col>1</xdr:col>
      <xdr:colOff>1326274</xdr:colOff>
      <xdr:row>4</xdr:row>
      <xdr:rowOff>247649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B1EE72-1DBC-7823-65CB-8D961C5A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23824"/>
          <a:ext cx="1631074" cy="18192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</xdr:colOff>
      <xdr:row>0</xdr:row>
      <xdr:rowOff>0</xdr:rowOff>
    </xdr:from>
    <xdr:to>
      <xdr:col>20</xdr:col>
      <xdr:colOff>9525</xdr:colOff>
      <xdr:row>5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E37B86-1469-4BC0-9776-D57662956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4" b="66877"/>
        <a:stretch/>
      </xdr:blipFill>
      <xdr:spPr>
        <a:xfrm>
          <a:off x="12858749" y="0"/>
          <a:ext cx="5734051" cy="198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14</xdr:row>
      <xdr:rowOff>85726</xdr:rowOff>
    </xdr:from>
    <xdr:to>
      <xdr:col>14</xdr:col>
      <xdr:colOff>180975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/Dropbox/campeonato%202015/CAMPEONATO%20NACIONAL/TORNEOS%20NACIONALES/Nueva%20carpeta/Nacional%202016/NOVIEMBRE%202017/FIXTURE%20NOV/PRE%20BABY%20A%20Y%20B%20NAC%202010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INFANTIL"/>
      <sheetName val="GRUPO A"/>
      <sheetName val="GRUPO B"/>
      <sheetName val="CUARTOS DE FINAL."/>
      <sheetName val="DEFINICION"/>
      <sheetName val="FINAL"/>
      <sheetName val="IMPRIMIR"/>
      <sheetName val="IMPRIMIR 2"/>
      <sheetName val="IMPRIMIR 3"/>
      <sheetName val="IMPRIMIR 3 (2)"/>
      <sheetName val="CUARTOS DE FINAL"/>
      <sheetName val="IMPRIMIR 4"/>
      <sheetName val="IMPRIMIR 5"/>
      <sheetName val="Hoja1"/>
      <sheetName val="IMPRIMIR HOJA 1"/>
      <sheetName val="Hoja2 (2)"/>
      <sheetName val="Hoja2 (3)"/>
      <sheetName val="Hoja2 (4)"/>
      <sheetName val="IMPRIMIR HOJA 1 (2)"/>
      <sheetName val="Hoja1 (2)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occermelgar@outlook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O14"/>
  <sheetViews>
    <sheetView zoomScale="89" zoomScaleNormal="89" workbookViewId="0">
      <selection activeCell="G9" sqref="G9"/>
    </sheetView>
  </sheetViews>
  <sheetFormatPr baseColWidth="10" defaultColWidth="11.44140625" defaultRowHeight="14.4" x14ac:dyDescent="0.3"/>
  <cols>
    <col min="1" max="1" width="3.33203125" style="3" customWidth="1"/>
    <col min="2" max="2" width="12.88671875" style="3" customWidth="1"/>
    <col min="3" max="3" width="12.33203125" style="3" customWidth="1"/>
    <col min="4" max="4" width="4.33203125" style="3" customWidth="1"/>
    <col min="5" max="5" width="34.44140625" style="3" customWidth="1"/>
    <col min="6" max="6" width="4.33203125" style="3" customWidth="1"/>
    <col min="7" max="7" width="34.44140625" style="3" customWidth="1"/>
    <col min="8" max="8" width="4.33203125" style="3" customWidth="1"/>
    <col min="9" max="9" width="31.77734375" style="3" customWidth="1"/>
    <col min="10" max="10" width="4.6640625" style="3" customWidth="1"/>
    <col min="11" max="11" width="28.5546875" style="3" customWidth="1"/>
    <col min="12" max="12" width="12.44140625" style="3" bestFit="1" customWidth="1"/>
    <col min="13" max="13" width="15.6640625" style="3" customWidth="1"/>
    <col min="14" max="14" width="7.109375" style="3" customWidth="1"/>
    <col min="15" max="15" width="3.33203125" style="3" bestFit="1" customWidth="1"/>
    <col min="16" max="16" width="7.109375" style="3" customWidth="1"/>
    <col min="17" max="17" width="15.6640625" style="3" customWidth="1"/>
    <col min="18" max="18" width="13.6640625" style="3" customWidth="1"/>
    <col min="19" max="19" width="7.88671875" style="3" customWidth="1"/>
    <col min="20" max="20" width="8.6640625" style="3" customWidth="1"/>
    <col min="21" max="22" width="12.88671875" style="3" customWidth="1"/>
    <col min="23" max="23" width="17.88671875" style="3" bestFit="1" customWidth="1"/>
    <col min="24" max="24" width="3.33203125" style="3" bestFit="1" customWidth="1"/>
    <col min="25" max="25" width="17.88671875" style="3" customWidth="1"/>
    <col min="26" max="16384" width="11.44140625" style="3"/>
  </cols>
  <sheetData>
    <row r="1" spans="2:15" ht="45" customHeight="1" x14ac:dyDescent="0.3">
      <c r="B1" s="127"/>
      <c r="C1" s="127"/>
      <c r="D1" s="168" t="s">
        <v>87</v>
      </c>
      <c r="E1" s="168"/>
      <c r="F1" s="168"/>
      <c r="G1" s="168"/>
      <c r="H1" s="168"/>
      <c r="I1" s="168"/>
      <c r="J1" s="168"/>
      <c r="L1" s="39"/>
      <c r="M1" s="39"/>
    </row>
    <row r="2" spans="2:15" ht="30" customHeight="1" x14ac:dyDescent="0.3">
      <c r="B2" s="128"/>
      <c r="C2" s="128"/>
      <c r="D2" s="169" t="s">
        <v>82</v>
      </c>
      <c r="E2" s="169"/>
      <c r="F2" s="169"/>
      <c r="G2" s="169"/>
      <c r="H2" s="169"/>
      <c r="I2" s="169"/>
      <c r="J2" s="169"/>
      <c r="L2" s="39"/>
      <c r="M2" s="39"/>
    </row>
    <row r="3" spans="2:15" ht="30" customHeight="1" x14ac:dyDescent="0.7">
      <c r="B3" s="140"/>
      <c r="C3" s="140"/>
      <c r="D3" s="170" t="s">
        <v>88</v>
      </c>
      <c r="E3" s="170"/>
      <c r="F3" s="170"/>
      <c r="G3" s="170"/>
      <c r="H3" s="170"/>
      <c r="I3" s="170"/>
      <c r="J3" s="170"/>
      <c r="L3" s="39"/>
      <c r="M3" s="39"/>
    </row>
    <row r="4" spans="2:15" ht="21.75" customHeight="1" x14ac:dyDescent="0.45">
      <c r="B4" s="141"/>
      <c r="C4" s="141"/>
      <c r="D4" s="171" t="s">
        <v>89</v>
      </c>
      <c r="E4" s="171"/>
      <c r="F4" s="171"/>
      <c r="G4" s="171"/>
      <c r="H4" s="171"/>
      <c r="I4" s="171"/>
      <c r="J4" s="171"/>
      <c r="K4" s="39"/>
      <c r="L4" s="39"/>
      <c r="M4" s="39"/>
    </row>
    <row r="5" spans="2:15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5" ht="30" customHeight="1" x14ac:dyDescent="0.7">
      <c r="B6" s="2"/>
      <c r="C6" s="1"/>
      <c r="D6" s="4"/>
      <c r="E6" s="93" t="s">
        <v>0</v>
      </c>
      <c r="F6" s="126"/>
      <c r="G6" s="94" t="s">
        <v>36</v>
      </c>
      <c r="K6" s="70"/>
    </row>
    <row r="7" spans="2:15" ht="60.75" customHeight="1" x14ac:dyDescent="0.35">
      <c r="B7" s="2"/>
      <c r="C7" s="1"/>
      <c r="D7" s="130"/>
      <c r="E7" s="129" t="s">
        <v>90</v>
      </c>
      <c r="F7" s="131"/>
      <c r="G7" s="129" t="s">
        <v>91</v>
      </c>
      <c r="K7" s="2"/>
      <c r="L7" s="2"/>
      <c r="M7" s="2"/>
    </row>
    <row r="8" spans="2:15" ht="60" customHeight="1" thickBot="1" x14ac:dyDescent="0.4">
      <c r="B8" s="2"/>
      <c r="C8" s="1"/>
      <c r="D8" s="130"/>
      <c r="E8" s="129" t="s">
        <v>93</v>
      </c>
      <c r="F8" s="131"/>
      <c r="G8" s="137" t="s">
        <v>97</v>
      </c>
      <c r="K8" s="2"/>
      <c r="L8" s="2"/>
      <c r="M8" s="2"/>
    </row>
    <row r="9" spans="2:15" ht="60" customHeight="1" x14ac:dyDescent="0.35">
      <c r="B9" s="2"/>
      <c r="C9" s="1"/>
      <c r="D9" s="130"/>
      <c r="E9" s="129" t="s">
        <v>94</v>
      </c>
      <c r="F9" s="131"/>
      <c r="G9" s="129" t="s">
        <v>92</v>
      </c>
      <c r="I9" s="143">
        <v>2025</v>
      </c>
      <c r="K9" s="2"/>
      <c r="L9" s="2"/>
      <c r="M9" s="2"/>
    </row>
    <row r="10" spans="2:15" ht="16.8" customHeight="1" x14ac:dyDescent="0.35">
      <c r="B10" s="2"/>
      <c r="C10" s="1"/>
      <c r="D10" s="130"/>
      <c r="F10" s="142"/>
      <c r="G10" s="142"/>
      <c r="K10" s="2"/>
      <c r="L10" s="2"/>
      <c r="M10" s="2"/>
    </row>
    <row r="11" spans="2:15" ht="60" customHeight="1" x14ac:dyDescent="0.35">
      <c r="B11" s="2"/>
      <c r="C11" s="1"/>
      <c r="D11" s="130"/>
      <c r="E11" s="142"/>
      <c r="F11" s="142"/>
      <c r="J11" s="2"/>
      <c r="L11" s="2"/>
      <c r="M11" s="1"/>
      <c r="N11" s="1"/>
    </row>
    <row r="12" spans="2:15" ht="6" customHeight="1" x14ac:dyDescent="0.35">
      <c r="C12" s="1"/>
      <c r="D12" s="1"/>
      <c r="G12" s="1"/>
      <c r="J12" s="2"/>
      <c r="K12" s="2"/>
      <c r="L12" s="2"/>
      <c r="M12" s="1"/>
      <c r="N12" s="1"/>
    </row>
    <row r="13" spans="2:15" ht="66.75" customHeight="1" x14ac:dyDescent="0.35">
      <c r="C13" s="1"/>
      <c r="L13" s="2"/>
    </row>
    <row r="14" spans="2:15" x14ac:dyDescent="0.3">
      <c r="M14" s="1"/>
      <c r="N14" s="1"/>
      <c r="O14" s="1"/>
    </row>
  </sheetData>
  <mergeCells count="4">
    <mergeCell ref="D1:J1"/>
    <mergeCell ref="D2:J2"/>
    <mergeCell ref="D3:J3"/>
    <mergeCell ref="D4:J4"/>
  </mergeCells>
  <hyperlinks>
    <hyperlink ref="E6" location="'GRUPO A'!A1" display="GRUPO A" xr:uid="{00000000-0004-0000-0000-000000000000}"/>
    <hyperlink ref="G6" location="'GRUPO A'!A1" display="GRUPO A" xr:uid="{00000000-0004-0000-0000-000001000000}"/>
  </hyperlinks>
  <pageMargins left="0.70866141732283472" right="0.70866141732283472" top="0.74803149606299213" bottom="0.74803149606299213" header="0.31496062992125984" footer="0.31496062992125984"/>
  <pageSetup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46"/>
  <sheetViews>
    <sheetView topLeftCell="A9" zoomScale="90" zoomScaleNormal="90" workbookViewId="0">
      <selection activeCell="I14" sqref="I14:I15"/>
    </sheetView>
  </sheetViews>
  <sheetFormatPr baseColWidth="10" defaultColWidth="11.44140625" defaultRowHeight="14.4" x14ac:dyDescent="0.3"/>
  <cols>
    <col min="1" max="1" width="5.109375" style="9" customWidth="1"/>
    <col min="2" max="2" width="10" style="9" customWidth="1"/>
    <col min="3" max="3" width="11.33203125" style="9" customWidth="1"/>
    <col min="4" max="4" width="8.5546875" style="9" hidden="1" customWidth="1"/>
    <col min="5" max="5" width="25.33203125" style="9" customWidth="1"/>
    <col min="6" max="6" width="2.88671875" style="9" customWidth="1"/>
    <col min="7" max="7" width="5.6640625" style="9" customWidth="1"/>
    <col min="8" max="8" width="7.109375" style="9" customWidth="1"/>
    <col min="9" max="9" width="5.6640625" style="9" customWidth="1"/>
    <col min="10" max="10" width="2.88671875" style="9" customWidth="1"/>
    <col min="11" max="11" width="25.33203125" style="9" customWidth="1"/>
    <col min="12" max="12" width="3.6640625" style="9" customWidth="1"/>
    <col min="13" max="13" width="15.6640625" style="9" customWidth="1"/>
    <col min="14" max="14" width="6.33203125" style="9" customWidth="1"/>
    <col min="15" max="15" width="2.5546875" style="9" customWidth="1"/>
    <col min="16" max="16" width="28.5546875" style="9" customWidth="1"/>
    <col min="17" max="25" width="5.6640625" style="9" customWidth="1"/>
    <col min="26" max="37" width="11.44140625" style="9" hidden="1" customWidth="1"/>
    <col min="38" max="38" width="11.44140625" style="9" customWidth="1"/>
    <col min="39" max="16384" width="11.44140625" style="9"/>
  </cols>
  <sheetData>
    <row r="1" spans="1:37" ht="34.799999999999997" x14ac:dyDescent="0.3">
      <c r="A1" s="172" t="s">
        <v>38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37" ht="24.6" x14ac:dyDescent="0.3">
      <c r="A2" s="173" t="s">
        <v>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</row>
    <row r="3" spans="1:37" s="3" customFormat="1" ht="25.5" customHeight="1" x14ac:dyDescent="0.65">
      <c r="B3" s="224" t="str">
        <f>+'GRUPOS PRE JUVENIL'!D3</f>
        <v>5 Y 6 ABRIL 2025</v>
      </c>
      <c r="C3" s="224"/>
      <c r="D3" s="224"/>
      <c r="E3" s="224"/>
      <c r="F3" s="225" t="str">
        <f>+'GRUPOS PRE JUVENIL'!D4</f>
        <v>NACIDOS 2013 2014</v>
      </c>
      <c r="G3" s="225"/>
      <c r="H3" s="225"/>
      <c r="I3" s="225"/>
      <c r="J3" s="225"/>
      <c r="K3" s="225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37" customFormat="1" ht="30.75" customHeight="1" x14ac:dyDescent="0.3">
      <c r="A4" s="3"/>
      <c r="B4" s="226" t="str">
        <f>+'GRUPOS PRE JUVENIL'!E6</f>
        <v>GRUPO A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3"/>
      <c r="P4" s="28"/>
      <c r="Q4" s="28"/>
      <c r="R4" s="28"/>
      <c r="S4" s="28"/>
      <c r="T4" s="28"/>
      <c r="U4" s="28"/>
      <c r="V4" s="28"/>
      <c r="W4" s="28"/>
      <c r="X4" s="28"/>
      <c r="Y4" s="28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customFormat="1" ht="15" customHeight="1" x14ac:dyDescent="0.3">
      <c r="A5" s="3"/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9"/>
      <c r="O5" s="9"/>
      <c r="P5" s="3"/>
      <c r="Q5" s="3"/>
      <c r="R5" s="3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customFormat="1" ht="21.75" customHeight="1" x14ac:dyDescent="0.45">
      <c r="A6" s="1"/>
      <c r="B6" s="228" t="s">
        <v>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11"/>
      <c r="O6" s="11"/>
      <c r="P6" s="230" t="s">
        <v>11</v>
      </c>
      <c r="Q6" s="231"/>
      <c r="R6" s="231"/>
      <c r="S6" s="231"/>
      <c r="T6" s="231"/>
      <c r="U6" s="231"/>
      <c r="V6" s="231"/>
      <c r="W6" s="231"/>
      <c r="X6" s="231"/>
      <c r="Y6" s="231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COUNT(G14,I14,G8,I8,G11,I11,G20,I20,G17,I17,G26,I26,G23,I23,G35,I35,G32,I32,G29,I29)</f>
        <v>0</v>
      </c>
      <c r="AK6" s="3"/>
    </row>
    <row r="7" spans="1:37" customFormat="1" ht="15" customHeight="1" x14ac:dyDescent="0.3">
      <c r="A7" s="35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5" t="s">
        <v>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customFormat="1" ht="15" customHeight="1" x14ac:dyDescent="0.3">
      <c r="A8" s="64"/>
      <c r="B8" s="187">
        <v>42811</v>
      </c>
      <c r="C8" s="188" t="s">
        <v>58</v>
      </c>
      <c r="D8" s="179"/>
      <c r="E8" s="180" t="str">
        <f>+'GRUPOS PRE JUVENIL'!E7</f>
        <v>SPORTLAND LA MESA</v>
      </c>
      <c r="F8" s="181" t="str">
        <f>IF(AND(G8&lt;&gt;"",I8&lt;&gt;""),IF(G8=I8,"E",IF(G8&gt;I8,"G","P")),"")</f>
        <v/>
      </c>
      <c r="G8" s="182"/>
      <c r="H8" s="184" t="s">
        <v>12</v>
      </c>
      <c r="I8" s="182"/>
      <c r="J8" s="181" t="str">
        <f>IF(AND(I8&lt;&gt;"",G8&lt;&gt;""),IF(I8=G8,"E",IF(I8&gt;G8,"G","P")),"")</f>
        <v/>
      </c>
      <c r="K8" s="180" t="str">
        <f>+'GRUPOS PRE JUVENIL'!G8</f>
        <v>INTER 
 SADI F. C.</v>
      </c>
      <c r="L8" s="196"/>
      <c r="M8" s="174" t="s">
        <v>50</v>
      </c>
      <c r="N8" s="64"/>
      <c r="O8" s="34"/>
      <c r="P8" s="220" t="s">
        <v>0</v>
      </c>
      <c r="Q8" s="222" t="s">
        <v>4</v>
      </c>
      <c r="R8" s="218" t="s">
        <v>13</v>
      </c>
      <c r="S8" s="214" t="s">
        <v>5</v>
      </c>
      <c r="T8" s="214" t="s">
        <v>6</v>
      </c>
      <c r="U8" s="214" t="s">
        <v>7</v>
      </c>
      <c r="V8" s="214" t="s">
        <v>8</v>
      </c>
      <c r="W8" s="214" t="s">
        <v>9</v>
      </c>
      <c r="X8" s="214" t="s">
        <v>10</v>
      </c>
      <c r="Y8" s="214" t="s">
        <v>29</v>
      </c>
      <c r="Z8" s="216"/>
      <c r="AA8" s="14"/>
      <c r="AB8" s="208"/>
      <c r="AC8" s="208" t="s">
        <v>30</v>
      </c>
      <c r="AD8" s="208" t="s">
        <v>31</v>
      </c>
      <c r="AE8" s="208" t="s">
        <v>32</v>
      </c>
      <c r="AF8" s="208"/>
      <c r="AG8" s="208"/>
      <c r="AH8" s="208"/>
      <c r="AI8" s="14"/>
      <c r="AJ8" s="208">
        <f>IF(AJ6=12,IF(INDEX(Z10:AK19,MATCH(2,Z10:Z17,0),11)=INDEX(Z10:AK17,MATCH(1,Z10:Z17,0),11),1,0),0)</f>
        <v>0</v>
      </c>
      <c r="AK8" s="3"/>
    </row>
    <row r="9" spans="1:37" customFormat="1" ht="15" customHeight="1" x14ac:dyDescent="0.3">
      <c r="A9" s="32"/>
      <c r="B9" s="187"/>
      <c r="C9" s="188"/>
      <c r="D9" s="179"/>
      <c r="E9" s="180"/>
      <c r="F9" s="181"/>
      <c r="G9" s="183"/>
      <c r="H9" s="184"/>
      <c r="I9" s="183"/>
      <c r="J9" s="181"/>
      <c r="K9" s="180"/>
      <c r="L9" s="196"/>
      <c r="M9" s="174"/>
      <c r="N9" s="33"/>
      <c r="O9" s="33"/>
      <c r="P9" s="221"/>
      <c r="Q9" s="223"/>
      <c r="R9" s="219"/>
      <c r="S9" s="215"/>
      <c r="T9" s="215"/>
      <c r="U9" s="215"/>
      <c r="V9" s="215"/>
      <c r="W9" s="215"/>
      <c r="X9" s="215"/>
      <c r="Y9" s="215"/>
      <c r="Z9" s="217"/>
      <c r="AA9" s="14"/>
      <c r="AB9" s="209"/>
      <c r="AC9" s="209"/>
      <c r="AD9" s="209"/>
      <c r="AE9" s="209"/>
      <c r="AF9" s="209"/>
      <c r="AG9" s="209"/>
      <c r="AH9" s="209"/>
      <c r="AI9" s="14"/>
      <c r="AJ9" s="208"/>
      <c r="AK9" s="3"/>
    </row>
    <row r="10" spans="1:37" customFormat="1" ht="22.5" customHeight="1" x14ac:dyDescent="0.3">
      <c r="A10" s="3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3"/>
      <c r="P10" s="210" t="str">
        <f>"  1)  " &amp; VLOOKUP(1,$Z$10:$AI$19,2,0)</f>
        <v xml:space="preserve">  1)  CLUB LA REAL</v>
      </c>
      <c r="Q10" s="212">
        <f>VLOOKUP(1,$Z$10:$AI$19,3,0)</f>
        <v>0</v>
      </c>
      <c r="R10" s="206">
        <f>+SUM(S10:U11)</f>
        <v>0</v>
      </c>
      <c r="S10" s="199">
        <f>VLOOKUP(1,$Z$10:$AI$19,4,0)</f>
        <v>0</v>
      </c>
      <c r="T10" s="199">
        <f>VLOOKUP(1,$Z$10:$AI$19,5,0)</f>
        <v>0</v>
      </c>
      <c r="U10" s="199">
        <f>VLOOKUP(1,$Z$10:$AI$19,6,0)</f>
        <v>0</v>
      </c>
      <c r="V10" s="199">
        <f>VLOOKUP(1,$Z$10:$AI$19,7,0)</f>
        <v>0</v>
      </c>
      <c r="W10" s="199">
        <f>VLOOKUP(1,$Z$10:$AI$19,8,0)</f>
        <v>0</v>
      </c>
      <c r="X10" s="199">
        <f>VLOOKUP(1,$Z$10:$AH$19,9,0)</f>
        <v>0</v>
      </c>
      <c r="Y10" s="199">
        <f>VLOOKUP(1,$Z$10:$AI$19,10,0)</f>
        <v>0</v>
      </c>
      <c r="Z10" s="201">
        <f>RANK(AJ10,$AJ$10:$AJ$19,0)</f>
        <v>3</v>
      </c>
      <c r="AA10" s="197" t="str">
        <f>+'GRUPOS PRE JUVENIL'!E7</f>
        <v>SPORTLAND LA MESA</v>
      </c>
      <c r="AB10" s="197">
        <f>(AC10*3)+AD10</f>
        <v>0</v>
      </c>
      <c r="AC10" s="197">
        <f>COUNTIF(Q44:T44,"G")</f>
        <v>0</v>
      </c>
      <c r="AD10" s="197">
        <f>COUNTIF(Q44:T44,"E")</f>
        <v>0</v>
      </c>
      <c r="AE10" s="197">
        <f>COUNTIF(Q44:T44,"P")</f>
        <v>0</v>
      </c>
      <c r="AF10" s="197">
        <f>+G17+G8+G23+I32</f>
        <v>0</v>
      </c>
      <c r="AG10" s="197">
        <f>+I17+I8+I23+G32</f>
        <v>0</v>
      </c>
      <c r="AH10" s="197">
        <f>AF10-AG10</f>
        <v>0</v>
      </c>
      <c r="AI10" s="205">
        <f>+A17+A8+A23+N32</f>
        <v>0</v>
      </c>
      <c r="AJ10" s="197">
        <f>(AB10*1000)+(AH10*100)+(AF10*10)-AI10+0.1</f>
        <v>0.1</v>
      </c>
      <c r="AK10" s="203">
        <f>AJ10</f>
        <v>0.1</v>
      </c>
    </row>
    <row r="11" spans="1:37" customFormat="1" ht="15.75" customHeight="1" x14ac:dyDescent="0.3">
      <c r="A11" s="63"/>
      <c r="B11" s="190">
        <v>42811</v>
      </c>
      <c r="C11" s="178" t="s">
        <v>58</v>
      </c>
      <c r="D11" s="191"/>
      <c r="E11" s="186" t="str">
        <f>+'GRUPOS PRE JUVENIL'!E8</f>
        <v>CLUB DEPORTIVO  
YIYO MUZO F. C.</v>
      </c>
      <c r="F11" s="181" t="str">
        <f>IF(AND(G11&lt;&gt;"",I11&lt;&gt;""),IF(G11=I11,"E",IF(G11&gt;I11,"G","P")),"")</f>
        <v/>
      </c>
      <c r="G11" s="182"/>
      <c r="H11" s="184" t="s">
        <v>12</v>
      </c>
      <c r="I11" s="182"/>
      <c r="J11" s="181" t="str">
        <f>IF(AND(I11&lt;&gt;"",G11&lt;&gt;""),IF(I11=G11,"E",IF(I11&gt;G11,"G","P")),"")</f>
        <v/>
      </c>
      <c r="K11" s="186" t="str">
        <f>+'GRUPOS PRE JUVENIL'!G9</f>
        <v>ATHLETIC MELGAR</v>
      </c>
      <c r="L11" s="185"/>
      <c r="M11" s="175" t="s">
        <v>51</v>
      </c>
      <c r="N11" s="63"/>
      <c r="O11" s="34"/>
      <c r="P11" s="211"/>
      <c r="Q11" s="213"/>
      <c r="R11" s="207"/>
      <c r="S11" s="200"/>
      <c r="T11" s="200"/>
      <c r="U11" s="200"/>
      <c r="V11" s="200"/>
      <c r="W11" s="200"/>
      <c r="X11" s="200"/>
      <c r="Y11" s="200"/>
      <c r="Z11" s="202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204"/>
    </row>
    <row r="12" spans="1:37" customFormat="1" ht="15.75" customHeight="1" x14ac:dyDescent="0.3">
      <c r="A12" s="32"/>
      <c r="B12" s="190"/>
      <c r="C12" s="178"/>
      <c r="D12" s="191"/>
      <c r="E12" s="186"/>
      <c r="F12" s="181"/>
      <c r="G12" s="183"/>
      <c r="H12" s="184"/>
      <c r="I12" s="183"/>
      <c r="J12" s="181"/>
      <c r="K12" s="186"/>
      <c r="L12" s="185"/>
      <c r="M12" s="175"/>
      <c r="N12" s="33"/>
      <c r="O12" s="33"/>
      <c r="P12" s="210" t="str">
        <f>"  2)  " &amp; VLOOKUP(2,$Z$10:$AI$19,2,0)</f>
        <v xml:space="preserve">  2)  CLUB DEPORTIVO  
YIYO MUZO F. C.</v>
      </c>
      <c r="Q12" s="212">
        <f>VLOOKUP(2,$Z$10:$AI$19,3,0)</f>
        <v>0</v>
      </c>
      <c r="R12" s="206">
        <f>+SUM(S12:U13)</f>
        <v>0</v>
      </c>
      <c r="S12" s="199">
        <f>VLOOKUP(2,$Z$10:$AI$19,4,0)</f>
        <v>0</v>
      </c>
      <c r="T12" s="199">
        <f>VLOOKUP(2,$Z$10:$AI$19,5,0)</f>
        <v>0</v>
      </c>
      <c r="U12" s="199">
        <f>VLOOKUP(2,$Z$10:$AI$19,6,0)</f>
        <v>0</v>
      </c>
      <c r="V12" s="199">
        <f>VLOOKUP(2,$Z$10:$AI$19,7,0)</f>
        <v>0</v>
      </c>
      <c r="W12" s="199">
        <f>VLOOKUP(2,$Z$10:$AI$19,8,0)</f>
        <v>0</v>
      </c>
      <c r="X12" s="199">
        <f>VLOOKUP(2,$Z$10:$AH$19,9,0)</f>
        <v>0</v>
      </c>
      <c r="Y12" s="199">
        <f>VLOOKUP(2,$Z$10:$AI$19,10,0)</f>
        <v>0</v>
      </c>
      <c r="Z12" s="201">
        <f>RANK(AJ12,$AJ$10:$AJ$19,0)</f>
        <v>2</v>
      </c>
      <c r="AA12" s="197" t="str">
        <f>+'GRUPOS PRE JUVENIL'!E8</f>
        <v>CLUB DEPORTIVO  
YIYO MUZO F. C.</v>
      </c>
      <c r="AB12" s="197">
        <f>(AC12*3)+AD12</f>
        <v>0</v>
      </c>
      <c r="AC12" s="197">
        <f>COUNTIF(Q45:T45,"G")</f>
        <v>0</v>
      </c>
      <c r="AD12" s="197">
        <f>COUNTIF(Q45:T45,"E")</f>
        <v>0</v>
      </c>
      <c r="AE12" s="197">
        <f>COUNTIF(Q45:T45,"P")</f>
        <v>0</v>
      </c>
      <c r="AF12" s="197">
        <f>+G11+I17+G26+I29</f>
        <v>0</v>
      </c>
      <c r="AG12" s="197">
        <f>+I11+G17+I26+G29</f>
        <v>0</v>
      </c>
      <c r="AH12" s="197">
        <f>AF12-AG12</f>
        <v>0</v>
      </c>
      <c r="AI12" s="205">
        <f>+A11+A26+N17+N29</f>
        <v>0</v>
      </c>
      <c r="AJ12" s="197">
        <f>(AB12*1000)+(AH12*100)+(AF12*10)-AI12+0.2</f>
        <v>0.2</v>
      </c>
      <c r="AK12" s="203">
        <f>AJ12</f>
        <v>0.2</v>
      </c>
    </row>
    <row r="13" spans="1:37" customFormat="1" ht="22.5" customHeight="1" x14ac:dyDescent="0.3">
      <c r="A13" s="3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3"/>
      <c r="P13" s="211"/>
      <c r="Q13" s="213"/>
      <c r="R13" s="207"/>
      <c r="S13" s="200"/>
      <c r="T13" s="200"/>
      <c r="U13" s="200"/>
      <c r="V13" s="200"/>
      <c r="W13" s="200"/>
      <c r="X13" s="200"/>
      <c r="Y13" s="200"/>
      <c r="Z13" s="202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204"/>
    </row>
    <row r="14" spans="1:37" customFormat="1" ht="15" customHeight="1" x14ac:dyDescent="0.3">
      <c r="A14" s="63"/>
      <c r="B14" s="232">
        <v>42811</v>
      </c>
      <c r="C14" s="191" t="s">
        <v>58</v>
      </c>
      <c r="D14" s="191"/>
      <c r="E14" s="186" t="str">
        <f>+'GRUPOS PRE JUVENIL'!E9</f>
        <v>CLUB LA REAL</v>
      </c>
      <c r="F14" s="181" t="str">
        <f>IF(AND(G14&lt;&gt;"",I14&lt;&gt;""),IF(G14=I14,"E",IF(G14&gt;I14,"G","P")),"")</f>
        <v/>
      </c>
      <c r="G14" s="182"/>
      <c r="H14" s="184" t="s">
        <v>12</v>
      </c>
      <c r="I14" s="182"/>
      <c r="J14" s="181" t="str">
        <f>IF(AND(I14&lt;&gt;"",G14&lt;&gt;""),IF(I14=G14,"E",IF(I14&gt;G14,"G","P")),"")</f>
        <v/>
      </c>
      <c r="K14" s="186" t="str">
        <f>+'GRUPOS PRE JUVENIL'!G7</f>
        <v>ACADEMIA COOFISAM</v>
      </c>
      <c r="L14" s="185"/>
      <c r="M14" s="177" t="s">
        <v>52</v>
      </c>
      <c r="N14" s="63"/>
      <c r="O14" s="34"/>
      <c r="P14" s="210" t="str">
        <f>"  3)  " &amp; VLOOKUP(3,$Z$10:$AI$19,2,0)</f>
        <v xml:space="preserve">  3)  SPORTLAND LA MESA</v>
      </c>
      <c r="Q14" s="212">
        <f>VLOOKUP(3,$Z$10:$AI$19,3,0)</f>
        <v>0</v>
      </c>
      <c r="R14" s="206">
        <f>+SUM(S14:U15)</f>
        <v>0</v>
      </c>
      <c r="S14" s="199">
        <f>VLOOKUP(3,$Z$10:$AI$19,4,0)</f>
        <v>0</v>
      </c>
      <c r="T14" s="199">
        <f>VLOOKUP(3,$Z$10:$AI$19,5,0)</f>
        <v>0</v>
      </c>
      <c r="U14" s="199">
        <f>VLOOKUP(3,$Z$10:$AI$19,6,0)</f>
        <v>0</v>
      </c>
      <c r="V14" s="199">
        <f>VLOOKUP(3,$Z$10:$AI$19,7,0)</f>
        <v>0</v>
      </c>
      <c r="W14" s="199">
        <f>VLOOKUP(3,$Z$10:$AI$19,8,0)</f>
        <v>0</v>
      </c>
      <c r="X14" s="199">
        <f>VLOOKUP(3,$Z$10:$AI$19,9,0)</f>
        <v>0</v>
      </c>
      <c r="Y14" s="199">
        <f>VLOOKUP(3,$Z$10:$AI$19,10,0)</f>
        <v>0</v>
      </c>
      <c r="Z14" s="201">
        <f>RANK(AJ14,$AJ$10:$AJ$19,0)</f>
        <v>1</v>
      </c>
      <c r="AA14" s="197" t="str">
        <f>+'GRUPOS PRE JUVENIL'!E9</f>
        <v>CLUB LA REAL</v>
      </c>
      <c r="AB14" s="197">
        <f>(AC14*3)+AD14</f>
        <v>0</v>
      </c>
      <c r="AC14" s="197">
        <f>COUNTIF(Q46:T46,"G")</f>
        <v>0</v>
      </c>
      <c r="AD14" s="197">
        <f>COUNTIF(Q46:T46,"E")</f>
        <v>0</v>
      </c>
      <c r="AE14" s="197">
        <f>COUNTIF(Q46:T46,"P")</f>
        <v>0</v>
      </c>
      <c r="AF14" s="197">
        <f>+G14+G20+I23+G29</f>
        <v>0</v>
      </c>
      <c r="AG14" s="197">
        <f>+I20+I14+G23+I29</f>
        <v>0</v>
      </c>
      <c r="AH14" s="197">
        <f>AF14-AG14</f>
        <v>0</v>
      </c>
      <c r="AI14" s="205">
        <f>+A14+A20+N23+A29</f>
        <v>0</v>
      </c>
      <c r="AJ14" s="197">
        <f>(AB14*1000)+(AH14*100)+(AF14*10)-AI14+0.3</f>
        <v>0.3</v>
      </c>
      <c r="AK14" s="203">
        <f>+X14</f>
        <v>0</v>
      </c>
    </row>
    <row r="15" spans="1:37" customFormat="1" ht="15" customHeight="1" x14ac:dyDescent="0.3">
      <c r="A15" s="32"/>
      <c r="B15" s="232"/>
      <c r="C15" s="191"/>
      <c r="D15" s="191"/>
      <c r="E15" s="186"/>
      <c r="F15" s="181"/>
      <c r="G15" s="183"/>
      <c r="H15" s="184"/>
      <c r="I15" s="183"/>
      <c r="J15" s="181"/>
      <c r="K15" s="186"/>
      <c r="L15" s="185"/>
      <c r="M15" s="177"/>
      <c r="N15" s="33"/>
      <c r="O15" s="33"/>
      <c r="P15" s="211"/>
      <c r="Q15" s="213"/>
      <c r="R15" s="207"/>
      <c r="S15" s="200"/>
      <c r="T15" s="200"/>
      <c r="U15" s="200"/>
      <c r="V15" s="200"/>
      <c r="W15" s="200"/>
      <c r="X15" s="200"/>
      <c r="Y15" s="200"/>
      <c r="Z15" s="202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204"/>
    </row>
    <row r="16" spans="1:37" customFormat="1" ht="21.75" customHeight="1" x14ac:dyDescent="0.3">
      <c r="A16" s="3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3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2:23" customFormat="1" ht="15" customHeight="1" x14ac:dyDescent="0.3">
      <c r="B17" s="190">
        <v>42813</v>
      </c>
      <c r="C17" s="178" t="s">
        <v>61</v>
      </c>
      <c r="D17" s="191"/>
      <c r="E17" s="186" t="str">
        <f>+'GRUPOS PRE JUVENIL'!E7</f>
        <v>SPORTLAND LA MESA</v>
      </c>
      <c r="F17" s="181" t="str">
        <f>IF(AND(G17&lt;&gt;"",I17&lt;&gt;""),IF(G17=I17,"E",IF(G17&gt;I17,"G","P")),"")</f>
        <v/>
      </c>
      <c r="G17" s="182"/>
      <c r="H17" s="184" t="s">
        <v>12</v>
      </c>
      <c r="I17" s="182"/>
      <c r="J17" s="181" t="str">
        <f>IF(AND(I17&lt;&gt;"",G17&lt;&gt;""),IF(I17=G17,"E",IF(I17&gt;G17,"G","P")),"")</f>
        <v/>
      </c>
      <c r="K17" s="186" t="str">
        <f>+'GRUPOS PRE JUVENIL'!E8</f>
        <v>CLUB DEPORTIVO  
YIYO MUZO F. C.</v>
      </c>
      <c r="L17" s="185"/>
      <c r="M17" s="175" t="s">
        <v>50</v>
      </c>
      <c r="N17" s="63"/>
      <c r="O17" s="34"/>
      <c r="P17" s="42"/>
      <c r="Q17" s="42"/>
      <c r="R17" s="42"/>
      <c r="S17" s="42"/>
      <c r="T17" s="42"/>
      <c r="U17" s="42"/>
      <c r="V17" s="42"/>
      <c r="W17" s="42"/>
    </row>
    <row r="18" spans="2:23" customFormat="1" ht="15" customHeight="1" x14ac:dyDescent="0.3">
      <c r="B18" s="190"/>
      <c r="C18" s="178"/>
      <c r="D18" s="191"/>
      <c r="E18" s="186"/>
      <c r="F18" s="181"/>
      <c r="G18" s="183"/>
      <c r="H18" s="184"/>
      <c r="I18" s="183"/>
      <c r="J18" s="181"/>
      <c r="K18" s="186"/>
      <c r="L18" s="185"/>
      <c r="M18" s="175"/>
      <c r="N18" s="33"/>
      <c r="O18" s="33"/>
      <c r="P18" s="42"/>
      <c r="Q18" s="42"/>
      <c r="R18" s="42"/>
      <c r="S18" s="42"/>
      <c r="T18" s="42"/>
      <c r="U18" s="42"/>
      <c r="V18" s="42"/>
      <c r="W18" s="42"/>
    </row>
    <row r="19" spans="2:23" customFormat="1" ht="22.5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3"/>
      <c r="P19" s="42"/>
      <c r="Q19" s="42"/>
      <c r="R19" s="42"/>
      <c r="S19" s="42"/>
      <c r="T19" s="42"/>
      <c r="U19" s="42"/>
      <c r="V19" s="42"/>
      <c r="W19" s="42"/>
    </row>
    <row r="20" spans="2:23" customFormat="1" ht="15" customHeight="1" x14ac:dyDescent="0.3">
      <c r="B20" s="187">
        <v>42813</v>
      </c>
      <c r="C20" s="189" t="s">
        <v>60</v>
      </c>
      <c r="D20" s="179"/>
      <c r="E20" s="180" t="str">
        <f>+'GRUPOS PRE JUVENIL'!E9</f>
        <v>CLUB LA REAL</v>
      </c>
      <c r="F20" s="181" t="str">
        <f>IF(AND(G20&lt;&gt;"",I20&lt;&gt;""),IF(G20=I20,"E",IF(G20&gt;I20,"G","P")),"")</f>
        <v/>
      </c>
      <c r="G20" s="182"/>
      <c r="H20" s="184" t="s">
        <v>12</v>
      </c>
      <c r="I20" s="182"/>
      <c r="J20" s="181" t="str">
        <f>IF(AND(I20&lt;&gt;"",G20&lt;&gt;""),IF(I20=G20,"E",IF(I20&gt;G20,"G","P")),"")</f>
        <v/>
      </c>
      <c r="K20" s="180" t="str">
        <f>+'GRUPOS PRE JUVENIL'!G9</f>
        <v>ATHLETIC MELGAR</v>
      </c>
      <c r="L20" s="196"/>
      <c r="M20" s="176" t="s">
        <v>50</v>
      </c>
      <c r="N20" s="64"/>
      <c r="O20" s="34"/>
      <c r="P20" s="42"/>
      <c r="Q20" s="40"/>
      <c r="R20" s="40"/>
      <c r="S20" s="41"/>
      <c r="T20" s="41"/>
      <c r="U20" s="41"/>
      <c r="V20" s="41"/>
      <c r="W20" s="41"/>
    </row>
    <row r="21" spans="2:23" customFormat="1" ht="15" customHeight="1" x14ac:dyDescent="0.3">
      <c r="B21" s="187"/>
      <c r="C21" s="189"/>
      <c r="D21" s="179"/>
      <c r="E21" s="180"/>
      <c r="F21" s="181"/>
      <c r="G21" s="183"/>
      <c r="H21" s="184"/>
      <c r="I21" s="183"/>
      <c r="J21" s="181"/>
      <c r="K21" s="180"/>
      <c r="L21" s="196"/>
      <c r="M21" s="176"/>
      <c r="N21" s="33"/>
      <c r="O21" s="33"/>
      <c r="P21" s="194"/>
      <c r="Q21" s="194"/>
      <c r="R21" s="194"/>
      <c r="S21" s="194"/>
      <c r="T21" s="194"/>
      <c r="U21" s="9"/>
      <c r="V21" s="9"/>
      <c r="W21" s="9"/>
    </row>
    <row r="22" spans="2:23" customFormat="1" ht="22.5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2"/>
      <c r="P22" s="9"/>
      <c r="Q22" s="9"/>
      <c r="R22" s="9"/>
      <c r="S22" s="9"/>
      <c r="T22" s="9"/>
      <c r="U22" s="9"/>
      <c r="V22" s="89"/>
      <c r="W22" s="89" t="str">
        <f>IF(AJ8=1,IF(P21="","",P21),IF(SUM(Q10:Q19)&gt;0,VLOOKUP(1,Z10:AA19,2,0),""))</f>
        <v/>
      </c>
    </row>
    <row r="23" spans="2:23" customFormat="1" ht="15" customHeight="1" x14ac:dyDescent="0.3">
      <c r="B23" s="187">
        <v>42813</v>
      </c>
      <c r="C23" s="188" t="s">
        <v>63</v>
      </c>
      <c r="D23" s="191"/>
      <c r="E23" s="180" t="str">
        <f>+'GRUPOS PRE JUVENIL'!E7</f>
        <v>SPORTLAND LA MESA</v>
      </c>
      <c r="F23" s="181" t="str">
        <f>IF(AND(G23&lt;&gt;"",I23&lt;&gt;""),IF(G23=I23,"E",IF(G23&gt;I23,"G","P")),"")</f>
        <v/>
      </c>
      <c r="G23" s="182"/>
      <c r="H23" s="184" t="s">
        <v>12</v>
      </c>
      <c r="I23" s="182"/>
      <c r="J23" s="181" t="str">
        <f>IF(AND(I23&lt;&gt;"",G23&lt;&gt;""),IF(I23=G23,"E",IF(I23&gt;G23,"G","P")),"")</f>
        <v/>
      </c>
      <c r="K23" s="180" t="str">
        <f>+'GRUPOS PRE JUVENIL'!E9</f>
        <v>CLUB LA REAL</v>
      </c>
      <c r="L23" s="196"/>
      <c r="M23" s="174" t="s">
        <v>50</v>
      </c>
      <c r="N23" s="64"/>
      <c r="O23" s="34"/>
      <c r="P23" s="9"/>
      <c r="Q23" s="9"/>
      <c r="R23" s="9"/>
      <c r="S23" s="9"/>
      <c r="T23" s="9"/>
      <c r="U23" s="9"/>
      <c r="V23" s="89"/>
      <c r="W23" s="89" t="str">
        <f>IF(AJ8=1,IF(P24="","",P24),IF(SUM(Q10:Q19)&gt;0,VLOOKUP(2,Z10:AA19,2,0),""))</f>
        <v/>
      </c>
    </row>
    <row r="24" spans="2:23" customFormat="1" ht="15" customHeight="1" x14ac:dyDescent="0.3">
      <c r="B24" s="187"/>
      <c r="C24" s="188"/>
      <c r="D24" s="191"/>
      <c r="E24" s="180"/>
      <c r="F24" s="181"/>
      <c r="G24" s="183"/>
      <c r="H24" s="184"/>
      <c r="I24" s="183"/>
      <c r="J24" s="181"/>
      <c r="K24" s="180"/>
      <c r="L24" s="196"/>
      <c r="M24" s="174"/>
      <c r="N24" s="33"/>
      <c r="O24" s="33"/>
      <c r="P24" s="195"/>
      <c r="Q24" s="195"/>
      <c r="R24" s="195"/>
      <c r="S24" s="195"/>
      <c r="T24" s="195"/>
      <c r="U24" s="14"/>
      <c r="V24" s="89"/>
      <c r="W24" s="89" t="str">
        <f>IF(AJ9=1,IF(P25="","",P25),IF(SUM(Q10:Q15)&gt;0,VLOOKUP(3,Z10:AA15,2,0),""))</f>
        <v/>
      </c>
    </row>
    <row r="25" spans="2:23" customFormat="1" ht="22.5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6"/>
      <c r="O25" s="9"/>
      <c r="P25" s="14"/>
      <c r="Q25" s="14"/>
      <c r="R25" s="14"/>
      <c r="S25" s="14"/>
      <c r="T25" s="14"/>
      <c r="U25" s="14"/>
      <c r="V25" s="89"/>
      <c r="W25" s="89"/>
    </row>
    <row r="26" spans="2:23" customFormat="1" x14ac:dyDescent="0.3">
      <c r="B26" s="190">
        <v>42812</v>
      </c>
      <c r="C26" s="178" t="s">
        <v>61</v>
      </c>
      <c r="D26" s="179"/>
      <c r="E26" s="186" t="str">
        <f>+'GRUPOS PRE JUVENIL'!E8</f>
        <v>CLUB DEPORTIVO  
YIYO MUZO F. C.</v>
      </c>
      <c r="F26" s="181" t="str">
        <f>IF(AND(G26&lt;&gt;"",I26&lt;&gt;""),IF(G26=I26,"E",IF(G26&gt;I26,"G","P")),"")</f>
        <v/>
      </c>
      <c r="G26" s="182"/>
      <c r="H26" s="184" t="s">
        <v>12</v>
      </c>
      <c r="I26" s="192"/>
      <c r="J26" s="181" t="str">
        <f>IF(AND(I26&lt;&gt;"",G26&lt;&gt;""),IF(I26=G26,"E",IF(I26&gt;G26,"G","P")),"")</f>
        <v/>
      </c>
      <c r="K26" s="186" t="str">
        <f>+'GRUPOS PRE JUVENIL'!G8</f>
        <v>INTER 
 SADI F. C.</v>
      </c>
      <c r="L26" s="185"/>
      <c r="M26" s="177" t="s">
        <v>51</v>
      </c>
      <c r="N26" s="63"/>
      <c r="O26" s="9"/>
      <c r="P26" s="14"/>
      <c r="Q26" s="14"/>
      <c r="R26" s="14"/>
      <c r="S26" s="14"/>
      <c r="T26" s="14"/>
      <c r="U26" s="14"/>
      <c r="V26" s="89"/>
      <c r="W26" s="89"/>
    </row>
    <row r="27" spans="2:23" s="68" customFormat="1" x14ac:dyDescent="0.3">
      <c r="B27" s="190"/>
      <c r="C27" s="178"/>
      <c r="D27" s="179"/>
      <c r="E27" s="186"/>
      <c r="F27" s="181"/>
      <c r="G27" s="183"/>
      <c r="H27" s="184"/>
      <c r="I27" s="193"/>
      <c r="J27" s="181"/>
      <c r="K27" s="186"/>
      <c r="L27" s="185"/>
      <c r="M27" s="177"/>
      <c r="N27" s="33"/>
      <c r="O27" s="14"/>
      <c r="P27" s="14"/>
      <c r="Q27" s="43"/>
      <c r="R27" s="43"/>
      <c r="S27" s="14"/>
      <c r="T27" s="14"/>
      <c r="U27" s="14"/>
      <c r="V27" s="14"/>
      <c r="W27" s="14"/>
    </row>
    <row r="28" spans="2:23" s="68" customFormat="1" ht="22.5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4"/>
      <c r="P28" s="14"/>
      <c r="Q28" s="14"/>
      <c r="R28" s="14"/>
      <c r="S28" s="14"/>
      <c r="T28" s="14"/>
      <c r="U28" s="14"/>
      <c r="V28" s="14"/>
      <c r="W28" s="14"/>
    </row>
    <row r="29" spans="2:23" s="68" customFormat="1" x14ac:dyDescent="0.3">
      <c r="B29" s="187">
        <v>42812</v>
      </c>
      <c r="C29" s="179" t="s">
        <v>59</v>
      </c>
      <c r="D29" s="179"/>
      <c r="E29" s="180" t="str">
        <f>+'GRUPOS PRE JUVENIL'!E9</f>
        <v>CLUB LA REAL</v>
      </c>
      <c r="F29" s="181" t="str">
        <f>IF(AND(G29&lt;&gt;"",I29&lt;&gt;""),IF(G29=I29,"E",IF(G29&gt;I29,"G","P")),"")</f>
        <v/>
      </c>
      <c r="G29" s="182"/>
      <c r="H29" s="184" t="s">
        <v>12</v>
      </c>
      <c r="I29" s="182"/>
      <c r="J29" s="181" t="str">
        <f>IF(AND(I29&lt;&gt;"",G29&lt;&gt;""),IF(I29=G29,"E",IF(I29&gt;G29,"G","P")),"")</f>
        <v/>
      </c>
      <c r="K29" s="180" t="str">
        <f>+'GRUPOS PRE JUVENIL'!E8</f>
        <v>CLUB DEPORTIVO  
YIYO MUZO F. C.</v>
      </c>
      <c r="L29" s="196"/>
      <c r="M29" s="174" t="s">
        <v>52</v>
      </c>
      <c r="N29" s="117"/>
      <c r="O29" s="14"/>
      <c r="P29" s="14"/>
      <c r="Q29" s="14"/>
      <c r="R29" s="14"/>
      <c r="S29" s="14"/>
      <c r="T29" s="14"/>
      <c r="U29" s="14"/>
      <c r="V29" s="14"/>
      <c r="W29" s="14"/>
    </row>
    <row r="30" spans="2:23" s="68" customFormat="1" x14ac:dyDescent="0.3">
      <c r="B30" s="187"/>
      <c r="C30" s="179"/>
      <c r="D30" s="179"/>
      <c r="E30" s="180"/>
      <c r="F30" s="181"/>
      <c r="G30" s="183"/>
      <c r="H30" s="184"/>
      <c r="I30" s="183"/>
      <c r="J30" s="181"/>
      <c r="K30" s="180"/>
      <c r="L30" s="196"/>
      <c r="M30" s="174"/>
      <c r="N30" s="33"/>
      <c r="O30" s="14"/>
      <c r="P30" s="14"/>
      <c r="Q30" s="14"/>
      <c r="R30" s="14"/>
      <c r="S30" s="14"/>
      <c r="T30" s="14"/>
      <c r="U30" s="14"/>
      <c r="V30" s="14"/>
      <c r="W30" s="14"/>
    </row>
    <row r="31" spans="2:23" s="68" customFormat="1" x14ac:dyDescent="0.3">
      <c r="B31" s="14"/>
      <c r="C31" s="3"/>
      <c r="D31" s="14"/>
      <c r="E31" s="14"/>
      <c r="F31" s="14"/>
      <c r="G31" s="14"/>
      <c r="H31" s="14"/>
      <c r="I31" s="14"/>
      <c r="J31" s="69" t="str">
        <f>IF(AG8=1,"Indique el primero y segundo equipos clasificados de la serie:","")</f>
        <v/>
      </c>
      <c r="K31" s="14"/>
      <c r="L31" s="69" t="str">
        <f>IF(AG8=1,"Primero:","")</f>
        <v/>
      </c>
      <c r="M31" s="3"/>
      <c r="N31" s="44"/>
      <c r="O31" s="44"/>
      <c r="P31" s="44"/>
      <c r="Q31" s="14"/>
      <c r="R31" s="14"/>
      <c r="S31" s="14"/>
      <c r="T31" s="14"/>
      <c r="U31" s="14"/>
      <c r="V31" s="14"/>
      <c r="W31" s="14"/>
    </row>
    <row r="32" spans="2:23" s="68" customFormat="1" x14ac:dyDescent="0.3">
      <c r="B32" s="190">
        <v>42812</v>
      </c>
      <c r="C32" s="178" t="s">
        <v>59</v>
      </c>
      <c r="D32" s="191"/>
      <c r="E32" s="186" t="str">
        <f>+'GRUPOS PRE JUVENIL'!G7</f>
        <v>ACADEMIA COOFISAM</v>
      </c>
      <c r="F32" s="181" t="str">
        <f>IF(AND(G32&lt;&gt;"",I32&lt;&gt;""),IF(G32=I32,"E",IF(G32&gt;I32,"G","P")),"")</f>
        <v/>
      </c>
      <c r="G32" s="182"/>
      <c r="H32" s="184" t="s">
        <v>12</v>
      </c>
      <c r="I32" s="182"/>
      <c r="J32" s="181" t="str">
        <f>IF(AND(I32&lt;&gt;"",G32&lt;&gt;""),IF(I32=G32,"E",IF(I32&gt;G32,"G","P")),"")</f>
        <v/>
      </c>
      <c r="K32" s="186" t="str">
        <f>+'GRUPOS PRE JUVENIL'!E7</f>
        <v>SPORTLAND LA MESA</v>
      </c>
      <c r="L32" s="185"/>
      <c r="M32" s="177" t="s">
        <v>51</v>
      </c>
      <c r="N32" s="116"/>
      <c r="O32" s="14"/>
      <c r="P32" s="14"/>
      <c r="Q32" s="14"/>
      <c r="R32" s="14"/>
      <c r="S32" s="14"/>
      <c r="T32" s="14"/>
      <c r="U32" s="14"/>
      <c r="V32" s="14"/>
      <c r="W32" s="14"/>
    </row>
    <row r="33" spans="2:20" s="68" customFormat="1" x14ac:dyDescent="0.3">
      <c r="B33" s="190"/>
      <c r="C33" s="178"/>
      <c r="D33" s="191"/>
      <c r="E33" s="186"/>
      <c r="F33" s="181"/>
      <c r="G33" s="183"/>
      <c r="H33" s="184"/>
      <c r="I33" s="183"/>
      <c r="J33" s="181"/>
      <c r="K33" s="186"/>
      <c r="L33" s="185"/>
      <c r="M33" s="177"/>
      <c r="N33" s="33"/>
      <c r="O33" s="14"/>
      <c r="P33" s="14"/>
      <c r="Q33" s="14"/>
      <c r="R33" s="14"/>
      <c r="S33" s="14"/>
      <c r="T33" s="14"/>
    </row>
    <row r="34" spans="2:20" s="68" customForma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4"/>
      <c r="P34" s="44"/>
      <c r="Q34" s="14"/>
      <c r="R34" s="14"/>
      <c r="S34" s="14"/>
      <c r="T34" s="14"/>
    </row>
    <row r="35" spans="2:20" s="68" customFormat="1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4"/>
      <c r="Q35" s="14"/>
      <c r="R35" s="14"/>
      <c r="S35" s="14"/>
      <c r="T35" s="14"/>
    </row>
    <row r="36" spans="2:20" s="68" customFormat="1" x14ac:dyDescent="0.3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4"/>
      <c r="Q36" s="14"/>
      <c r="R36" s="14"/>
      <c r="S36" s="14"/>
      <c r="T36" s="14"/>
    </row>
    <row r="37" spans="2:20" s="68" customFormat="1" x14ac:dyDescent="0.3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9" spans="2:20" x14ac:dyDescent="0.3">
      <c r="O39" s="86"/>
      <c r="P39" s="86"/>
      <c r="Q39" s="86"/>
      <c r="R39" s="86"/>
      <c r="S39" s="86"/>
      <c r="T39" s="86"/>
    </row>
    <row r="40" spans="2:20" x14ac:dyDescent="0.3">
      <c r="O40" s="89"/>
      <c r="P40" s="89"/>
      <c r="Q40" s="89"/>
      <c r="R40" s="89"/>
      <c r="S40" s="89"/>
      <c r="T40" s="89"/>
    </row>
    <row r="41" spans="2:20" x14ac:dyDescent="0.3">
      <c r="O41" s="89"/>
      <c r="P41" s="89"/>
      <c r="Q41" s="89"/>
      <c r="R41" s="89"/>
      <c r="S41" s="89"/>
      <c r="T41" s="89"/>
    </row>
    <row r="42" spans="2:20" x14ac:dyDescent="0.3">
      <c r="O42" s="89"/>
      <c r="P42" s="89"/>
      <c r="Q42" s="89"/>
      <c r="R42" s="89"/>
      <c r="S42" s="89"/>
      <c r="T42" s="89"/>
    </row>
    <row r="43" spans="2:20" x14ac:dyDescent="0.3">
      <c r="O43" s="89"/>
      <c r="P43" s="89"/>
      <c r="Q43" s="89"/>
      <c r="R43" s="89"/>
      <c r="S43" s="89"/>
      <c r="T43" s="89"/>
    </row>
    <row r="44" spans="2:20" x14ac:dyDescent="0.3">
      <c r="B44" s="12"/>
      <c r="C44" s="13"/>
      <c r="D44" s="13"/>
      <c r="E44" s="87"/>
      <c r="F44" s="88"/>
      <c r="G44" s="88"/>
      <c r="H44" s="88"/>
      <c r="I44" s="88"/>
      <c r="J44" s="88"/>
      <c r="K44" s="88"/>
      <c r="L44" s="89"/>
      <c r="M44" s="89"/>
      <c r="N44" s="89"/>
      <c r="O44" s="89"/>
      <c r="P44" s="88" t="str">
        <f>+'GRUPOS PRE JUVENIL'!E7</f>
        <v>SPORTLAND LA MESA</v>
      </c>
      <c r="Q44" s="89" t="str">
        <f>+F8</f>
        <v/>
      </c>
      <c r="R44" s="89" t="str">
        <f>+F17</f>
        <v/>
      </c>
      <c r="S44" s="89" t="str">
        <f>+F23</f>
        <v/>
      </c>
      <c r="T44" s="89" t="str">
        <f>+J32</f>
        <v/>
      </c>
    </row>
    <row r="45" spans="2:20" x14ac:dyDescent="0.3"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8" t="str">
        <f>+'GRUPOS PRE JUVENIL'!E8</f>
        <v>CLUB DEPORTIVO  
YIYO MUZO F. C.</v>
      </c>
      <c r="Q45" s="89" t="str">
        <f>+F11</f>
        <v/>
      </c>
      <c r="R45" s="89" t="str">
        <f>+J17</f>
        <v/>
      </c>
      <c r="S45" s="89" t="str">
        <f>+F26</f>
        <v/>
      </c>
      <c r="T45" s="89" t="str">
        <f>+J29</f>
        <v/>
      </c>
    </row>
    <row r="46" spans="2:20" x14ac:dyDescent="0.3"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8" t="str">
        <f>+'GRUPOS PRE JUVENIL'!E9</f>
        <v>CLUB LA REAL</v>
      </c>
      <c r="Q46" s="89" t="str">
        <f>+F14</f>
        <v/>
      </c>
      <c r="R46" s="89" t="str">
        <f>+F20</f>
        <v/>
      </c>
      <c r="S46" s="89" t="str">
        <f>+J23</f>
        <v/>
      </c>
      <c r="T46" s="89" t="str">
        <f>+F29</f>
        <v/>
      </c>
    </row>
  </sheetData>
  <mergeCells count="202">
    <mergeCell ref="P8:P9"/>
    <mergeCell ref="Q8:Q9"/>
    <mergeCell ref="B3:E3"/>
    <mergeCell ref="F3:K3"/>
    <mergeCell ref="B4:M5"/>
    <mergeCell ref="B6:M6"/>
    <mergeCell ref="P6:Y6"/>
    <mergeCell ref="D14:D15"/>
    <mergeCell ref="E14:E15"/>
    <mergeCell ref="F14:F15"/>
    <mergeCell ref="G14:G15"/>
    <mergeCell ref="H14:H15"/>
    <mergeCell ref="B14:B15"/>
    <mergeCell ref="C14:C15"/>
    <mergeCell ref="P12:P13"/>
    <mergeCell ref="Q12:Q13"/>
    <mergeCell ref="D11:D12"/>
    <mergeCell ref="E11:E12"/>
    <mergeCell ref="P14:P15"/>
    <mergeCell ref="Q14:Q15"/>
    <mergeCell ref="R14:R15"/>
    <mergeCell ref="S14:S15"/>
    <mergeCell ref="T14:T15"/>
    <mergeCell ref="B11:B12"/>
    <mergeCell ref="AE8:AE9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X8:X9"/>
    <mergeCell ref="Y8:Y9"/>
    <mergeCell ref="Z8:Z9"/>
    <mergeCell ref="AB8:AB9"/>
    <mergeCell ref="AC8:AC9"/>
    <mergeCell ref="AD8:AD9"/>
    <mergeCell ref="R8:R9"/>
    <mergeCell ref="S8:S9"/>
    <mergeCell ref="T8:T9"/>
    <mergeCell ref="U8:U9"/>
    <mergeCell ref="V8:V9"/>
    <mergeCell ref="W8:W9"/>
    <mergeCell ref="AJ10:AJ11"/>
    <mergeCell ref="AG10:AG11"/>
    <mergeCell ref="AK10:AK11"/>
    <mergeCell ref="D8:D9"/>
    <mergeCell ref="E8:E9"/>
    <mergeCell ref="F8:F9"/>
    <mergeCell ref="G8:G9"/>
    <mergeCell ref="H8:H9"/>
    <mergeCell ref="AA10:AA11"/>
    <mergeCell ref="AB10:AB11"/>
    <mergeCell ref="AC10:AC11"/>
    <mergeCell ref="AD10:AD11"/>
    <mergeCell ref="AE10:AE11"/>
    <mergeCell ref="AF10:AF11"/>
    <mergeCell ref="U10:U11"/>
    <mergeCell ref="V10:V11"/>
    <mergeCell ref="W10:W11"/>
    <mergeCell ref="X10:X11"/>
    <mergeCell ref="Y10:Y11"/>
    <mergeCell ref="Z10:Z11"/>
    <mergeCell ref="I8:I9"/>
    <mergeCell ref="J8:J9"/>
    <mergeCell ref="K8:K9"/>
    <mergeCell ref="L8:L9"/>
    <mergeCell ref="AH10:AH11"/>
    <mergeCell ref="AI10:AI11"/>
    <mergeCell ref="AD12:AD13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AJ12:AJ13"/>
    <mergeCell ref="AK12:AK13"/>
    <mergeCell ref="AE12:AE13"/>
    <mergeCell ref="AF12:AF13"/>
    <mergeCell ref="AG12:AG13"/>
    <mergeCell ref="AH12:AH13"/>
    <mergeCell ref="AI12:AI13"/>
    <mergeCell ref="AG14:AG15"/>
    <mergeCell ref="AH14:AH15"/>
    <mergeCell ref="AI14:AI15"/>
    <mergeCell ref="AJ14:AJ15"/>
    <mergeCell ref="AK14:AK15"/>
    <mergeCell ref="AE14:AE15"/>
    <mergeCell ref="AF14:AF15"/>
    <mergeCell ref="AA14:AA15"/>
    <mergeCell ref="AB14:AB15"/>
    <mergeCell ref="AC14:AC15"/>
    <mergeCell ref="AD14:AD15"/>
    <mergeCell ref="U14:U15"/>
    <mergeCell ref="V14:V15"/>
    <mergeCell ref="W14:W15"/>
    <mergeCell ref="X14:X15"/>
    <mergeCell ref="Y14:Y15"/>
    <mergeCell ref="Z14:Z15"/>
    <mergeCell ref="K23:K24"/>
    <mergeCell ref="L23:L24"/>
    <mergeCell ref="D17:D18"/>
    <mergeCell ref="E17:E18"/>
    <mergeCell ref="F17:F18"/>
    <mergeCell ref="G17:G18"/>
    <mergeCell ref="H17:H18"/>
    <mergeCell ref="I17:I18"/>
    <mergeCell ref="J17:J18"/>
    <mergeCell ref="K17:K18"/>
    <mergeCell ref="I20:I21"/>
    <mergeCell ref="J20:J21"/>
    <mergeCell ref="K20:K21"/>
    <mergeCell ref="L20:L21"/>
    <mergeCell ref="L17:L18"/>
    <mergeCell ref="P21:T21"/>
    <mergeCell ref="G23:G24"/>
    <mergeCell ref="H23:H24"/>
    <mergeCell ref="I23:I24"/>
    <mergeCell ref="K14:K15"/>
    <mergeCell ref="L14:L15"/>
    <mergeCell ref="G32:G33"/>
    <mergeCell ref="H32:H33"/>
    <mergeCell ref="I32:I33"/>
    <mergeCell ref="J26:J27"/>
    <mergeCell ref="K26:K27"/>
    <mergeCell ref="L26:L27"/>
    <mergeCell ref="P24:T24"/>
    <mergeCell ref="J29:J30"/>
    <mergeCell ref="M26:M27"/>
    <mergeCell ref="M23:M24"/>
    <mergeCell ref="M32:M33"/>
    <mergeCell ref="M29:M30"/>
    <mergeCell ref="K29:K30"/>
    <mergeCell ref="L29:L30"/>
    <mergeCell ref="J32:J33"/>
    <mergeCell ref="K32:K33"/>
    <mergeCell ref="L32:L33"/>
    <mergeCell ref="J23:J24"/>
    <mergeCell ref="I26:I27"/>
    <mergeCell ref="B26:B27"/>
    <mergeCell ref="C26:C27"/>
    <mergeCell ref="D26:D27"/>
    <mergeCell ref="E26:E27"/>
    <mergeCell ref="F26:F27"/>
    <mergeCell ref="G26:G27"/>
    <mergeCell ref="H26:H27"/>
    <mergeCell ref="G29:G30"/>
    <mergeCell ref="H29:H30"/>
    <mergeCell ref="I29:I30"/>
    <mergeCell ref="D29:D30"/>
    <mergeCell ref="E29:E30"/>
    <mergeCell ref="F29:F30"/>
    <mergeCell ref="C11:C12"/>
    <mergeCell ref="B20:B21"/>
    <mergeCell ref="C20:C21"/>
    <mergeCell ref="B17:B18"/>
    <mergeCell ref="B23:B24"/>
    <mergeCell ref="C23:C24"/>
    <mergeCell ref="E32:E33"/>
    <mergeCell ref="F32:F33"/>
    <mergeCell ref="D23:D24"/>
    <mergeCell ref="E23:E24"/>
    <mergeCell ref="F23:F24"/>
    <mergeCell ref="B32:B33"/>
    <mergeCell ref="C32:C33"/>
    <mergeCell ref="B29:B30"/>
    <mergeCell ref="C29:C30"/>
    <mergeCell ref="D32:D33"/>
    <mergeCell ref="A1:N1"/>
    <mergeCell ref="A2:N2"/>
    <mergeCell ref="M8:M9"/>
    <mergeCell ref="M11:M12"/>
    <mergeCell ref="M20:M21"/>
    <mergeCell ref="M17:M18"/>
    <mergeCell ref="M14:M15"/>
    <mergeCell ref="C17:C18"/>
    <mergeCell ref="D20:D21"/>
    <mergeCell ref="E20:E21"/>
    <mergeCell ref="F20:F21"/>
    <mergeCell ref="G20:G21"/>
    <mergeCell ref="H20:H21"/>
    <mergeCell ref="L11:L12"/>
    <mergeCell ref="F11:F12"/>
    <mergeCell ref="G11:G12"/>
    <mergeCell ref="H11:H12"/>
    <mergeCell ref="I11:I12"/>
    <mergeCell ref="J11:J12"/>
    <mergeCell ref="K11:K12"/>
    <mergeCell ref="B8:B9"/>
    <mergeCell ref="C8:C9"/>
    <mergeCell ref="I14:I15"/>
    <mergeCell ref="J14:J15"/>
  </mergeCells>
  <conditionalFormatting sqref="G8:G9">
    <cfRule type="expression" dxfId="191" priority="49" stopIfTrue="1">
      <formula>F8="P"</formula>
    </cfRule>
    <cfRule type="expression" dxfId="190" priority="50" stopIfTrue="1">
      <formula>F8="E"</formula>
    </cfRule>
    <cfRule type="expression" dxfId="189" priority="51" stopIfTrue="1">
      <formula>F8="G"</formula>
    </cfRule>
  </conditionalFormatting>
  <conditionalFormatting sqref="G11">
    <cfRule type="expression" dxfId="188" priority="4" stopIfTrue="1">
      <formula>F11="P"</formula>
    </cfRule>
    <cfRule type="expression" dxfId="187" priority="5" stopIfTrue="1">
      <formula>F11="E"</formula>
    </cfRule>
    <cfRule type="expression" dxfId="186" priority="6" stopIfTrue="1">
      <formula>F11="G"</formula>
    </cfRule>
  </conditionalFormatting>
  <conditionalFormatting sqref="G14">
    <cfRule type="expression" dxfId="185" priority="10" stopIfTrue="1">
      <formula>F14="P"</formula>
    </cfRule>
    <cfRule type="expression" dxfId="184" priority="11" stopIfTrue="1">
      <formula>F14="E"</formula>
    </cfRule>
    <cfRule type="expression" dxfId="183" priority="12" stopIfTrue="1">
      <formula>F14="G"</formula>
    </cfRule>
  </conditionalFormatting>
  <conditionalFormatting sqref="G17:G18">
    <cfRule type="expression" dxfId="182" priority="40" stopIfTrue="1">
      <formula>F17="P"</formula>
    </cfRule>
    <cfRule type="expression" dxfId="181" priority="41" stopIfTrue="1">
      <formula>F17="E"</formula>
    </cfRule>
    <cfRule type="expression" dxfId="180" priority="42" stopIfTrue="1">
      <formula>F17="G"</formula>
    </cfRule>
  </conditionalFormatting>
  <conditionalFormatting sqref="G20">
    <cfRule type="expression" dxfId="179" priority="1" stopIfTrue="1">
      <formula>F20="P"</formula>
    </cfRule>
    <cfRule type="expression" dxfId="178" priority="2" stopIfTrue="1">
      <formula>F20="E"</formula>
    </cfRule>
    <cfRule type="expression" dxfId="177" priority="3" stopIfTrue="1">
      <formula>F20="G"</formula>
    </cfRule>
  </conditionalFormatting>
  <conditionalFormatting sqref="G23:G24">
    <cfRule type="expression" dxfId="176" priority="28" stopIfTrue="1">
      <formula>F23="P"</formula>
    </cfRule>
    <cfRule type="expression" dxfId="175" priority="29" stopIfTrue="1">
      <formula>F23="E"</formula>
    </cfRule>
    <cfRule type="expression" dxfId="174" priority="30" stopIfTrue="1">
      <formula>F23="G"</formula>
    </cfRule>
  </conditionalFormatting>
  <conditionalFormatting sqref="G26:G27">
    <cfRule type="expression" dxfId="173" priority="37" stopIfTrue="1">
      <formula>F26="P"</formula>
    </cfRule>
    <cfRule type="expression" dxfId="172" priority="38" stopIfTrue="1">
      <formula>F26="E"</formula>
    </cfRule>
    <cfRule type="expression" dxfId="171" priority="39" stopIfTrue="1">
      <formula>F26="G"</formula>
    </cfRule>
  </conditionalFormatting>
  <conditionalFormatting sqref="G29:G30">
    <cfRule type="expression" dxfId="170" priority="13" stopIfTrue="1">
      <formula>F29="P"</formula>
    </cfRule>
    <cfRule type="expression" dxfId="169" priority="14" stopIfTrue="1">
      <formula>F29="E"</formula>
    </cfRule>
    <cfRule type="expression" dxfId="168" priority="15" stopIfTrue="1">
      <formula>F29="G"</formula>
    </cfRule>
  </conditionalFormatting>
  <conditionalFormatting sqref="G32:G33">
    <cfRule type="expression" dxfId="167" priority="16" stopIfTrue="1">
      <formula>F32="P"</formula>
    </cfRule>
    <cfRule type="expression" dxfId="166" priority="17" stopIfTrue="1">
      <formula>F32="E"</formula>
    </cfRule>
    <cfRule type="expression" dxfId="165" priority="18" stopIfTrue="1">
      <formula>F32="G"</formula>
    </cfRule>
  </conditionalFormatting>
  <conditionalFormatting sqref="I14">
    <cfRule type="expression" dxfId="164" priority="7" stopIfTrue="1">
      <formula>H14="P"</formula>
    </cfRule>
    <cfRule type="expression" dxfId="163" priority="8" stopIfTrue="1">
      <formula>H14="E"</formula>
    </cfRule>
    <cfRule type="expression" dxfId="162" priority="9" stopIfTrue="1">
      <formula>H14="G"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44"/>
  <sheetViews>
    <sheetView topLeftCell="A9" zoomScale="90" zoomScaleNormal="90" workbookViewId="0">
      <selection activeCell="I14" sqref="I14:I15"/>
    </sheetView>
  </sheetViews>
  <sheetFormatPr baseColWidth="10" defaultColWidth="11.44140625" defaultRowHeight="14.4" x14ac:dyDescent="0.3"/>
  <cols>
    <col min="1" max="1" width="5.109375" style="9" customWidth="1"/>
    <col min="2" max="2" width="10" style="9" customWidth="1"/>
    <col min="3" max="3" width="11.33203125" style="9" customWidth="1"/>
    <col min="4" max="4" width="8.5546875" style="9" hidden="1" customWidth="1"/>
    <col min="5" max="5" width="25.33203125" style="9" customWidth="1"/>
    <col min="6" max="6" width="2.88671875" style="9" customWidth="1"/>
    <col min="7" max="7" width="5.6640625" style="9" customWidth="1"/>
    <col min="8" max="8" width="7.109375" style="9" customWidth="1"/>
    <col min="9" max="9" width="5.6640625" style="9" customWidth="1"/>
    <col min="10" max="10" width="2.88671875" style="9" customWidth="1"/>
    <col min="11" max="11" width="25.33203125" style="9" customWidth="1"/>
    <col min="12" max="12" width="3.6640625" style="9" customWidth="1"/>
    <col min="13" max="13" width="15.6640625" style="9" customWidth="1"/>
    <col min="14" max="14" width="6.33203125" style="9" customWidth="1"/>
    <col min="15" max="15" width="2.5546875" style="9" customWidth="1"/>
    <col min="16" max="16" width="28.5546875" style="9" customWidth="1"/>
    <col min="17" max="25" width="5.6640625" style="9" customWidth="1"/>
    <col min="26" max="37" width="11.44140625" style="9" hidden="1" customWidth="1"/>
    <col min="38" max="38" width="11.44140625" style="9" customWidth="1"/>
    <col min="39" max="16384" width="11.44140625" style="9"/>
  </cols>
  <sheetData>
    <row r="1" spans="1:37" s="3" customFormat="1" ht="25.5" customHeight="1" x14ac:dyDescent="0.3">
      <c r="A1" s="172" t="s">
        <v>38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37" customFormat="1" ht="30.75" customHeight="1" x14ac:dyDescent="0.3">
      <c r="A2" s="173" t="s">
        <v>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P2" s="28"/>
      <c r="Q2" s="28"/>
      <c r="R2" s="28"/>
      <c r="S2" s="28"/>
      <c r="T2" s="28"/>
      <c r="U2" s="28"/>
      <c r="V2" s="28"/>
      <c r="W2" s="28"/>
      <c r="X2" s="28"/>
      <c r="Y2" s="28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customFormat="1" ht="28.5" customHeight="1" x14ac:dyDescent="0.65">
      <c r="A3" s="3"/>
      <c r="B3" s="224" t="str">
        <f>+'GRUPOS PRE JUVENIL'!D3</f>
        <v>5 Y 6 ABRIL 2025</v>
      </c>
      <c r="C3" s="224"/>
      <c r="D3" s="224"/>
      <c r="E3" s="224"/>
      <c r="F3" s="225" t="str">
        <f>+'GRUPOS PRE JUVENIL'!D4</f>
        <v>NACIDOS 2013 2014</v>
      </c>
      <c r="G3" s="225"/>
      <c r="H3" s="225"/>
      <c r="I3" s="225"/>
      <c r="J3" s="225"/>
      <c r="K3" s="225"/>
      <c r="L3" s="3"/>
      <c r="M3" s="3"/>
      <c r="N3" s="3"/>
      <c r="O3" s="9"/>
      <c r="P3" s="3"/>
      <c r="Q3" s="3"/>
      <c r="R3" s="3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customFormat="1" ht="21.75" customHeight="1" x14ac:dyDescent="0.45">
      <c r="A4" s="3"/>
      <c r="B4" s="241" t="str">
        <f>+'GRUPOS PRE JUVENIL'!G6</f>
        <v>GRUPO B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3"/>
      <c r="O4" s="11"/>
      <c r="P4" s="230" t="s">
        <v>11</v>
      </c>
      <c r="Q4" s="231"/>
      <c r="R4" s="231"/>
      <c r="S4" s="231"/>
      <c r="T4" s="231"/>
      <c r="U4" s="231"/>
      <c r="V4" s="231"/>
      <c r="W4" s="231"/>
      <c r="X4" s="231"/>
      <c r="Y4" s="231"/>
      <c r="Z4" s="3"/>
      <c r="AA4" s="3"/>
      <c r="AB4" s="3"/>
      <c r="AC4" s="3"/>
      <c r="AD4" s="3"/>
      <c r="AE4" s="3"/>
      <c r="AF4" s="3"/>
      <c r="AG4" s="3"/>
      <c r="AH4" s="3"/>
      <c r="AI4" s="3"/>
      <c r="AJ4" s="5">
        <f>COUNT(G8,I8,G11,I11,G14,I14,G17,I17,G20,I20,G35,I35,G23,I23,G26,I26,G29,I29,G32,I32)</f>
        <v>0</v>
      </c>
      <c r="AK4" s="3"/>
    </row>
    <row r="5" spans="1:37" customFormat="1" ht="15" customHeight="1" x14ac:dyDescent="0.3">
      <c r="A5" s="3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customFormat="1" ht="15" customHeight="1" x14ac:dyDescent="0.45">
      <c r="A6" s="1"/>
      <c r="B6" s="228" t="s">
        <v>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11"/>
      <c r="O6" s="34"/>
      <c r="P6" s="239" t="s">
        <v>36</v>
      </c>
      <c r="Q6" s="222" t="s">
        <v>4</v>
      </c>
      <c r="R6" s="218" t="s">
        <v>13</v>
      </c>
      <c r="S6" s="214" t="s">
        <v>5</v>
      </c>
      <c r="T6" s="214" t="s">
        <v>6</v>
      </c>
      <c r="U6" s="214" t="s">
        <v>7</v>
      </c>
      <c r="V6" s="214" t="s">
        <v>8</v>
      </c>
      <c r="W6" s="214" t="s">
        <v>9</v>
      </c>
      <c r="X6" s="214" t="s">
        <v>10</v>
      </c>
      <c r="Y6" s="214" t="s">
        <v>29</v>
      </c>
      <c r="Z6" s="216"/>
      <c r="AA6" s="14"/>
      <c r="AB6" s="208"/>
      <c r="AC6" s="208" t="s">
        <v>30</v>
      </c>
      <c r="AD6" s="208" t="s">
        <v>31</v>
      </c>
      <c r="AE6" s="208" t="s">
        <v>32</v>
      </c>
      <c r="AF6" s="208"/>
      <c r="AG6" s="208"/>
      <c r="AH6" s="208"/>
      <c r="AI6" s="14"/>
      <c r="AJ6" s="208">
        <f>IF(AJ4=12,IF(INDEX(Z8:AK17,MATCH(2,Z8:Z15,0),11)=INDEX(Z8:AK15,MATCH(1,Z8:Z15,0),11),1,0),0)</f>
        <v>0</v>
      </c>
      <c r="AK6" s="3"/>
    </row>
    <row r="7" spans="1:37" customFormat="1" ht="15" customHeight="1" x14ac:dyDescent="0.3">
      <c r="A7" s="35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5" t="s">
        <v>29</v>
      </c>
      <c r="O7" s="33"/>
      <c r="P7" s="240"/>
      <c r="Q7" s="223"/>
      <c r="R7" s="219"/>
      <c r="S7" s="215"/>
      <c r="T7" s="215"/>
      <c r="U7" s="215"/>
      <c r="V7" s="215"/>
      <c r="W7" s="215"/>
      <c r="X7" s="215"/>
      <c r="Y7" s="215"/>
      <c r="Z7" s="217"/>
      <c r="AA7" s="14"/>
      <c r="AB7" s="209"/>
      <c r="AC7" s="209"/>
      <c r="AD7" s="209"/>
      <c r="AE7" s="209"/>
      <c r="AF7" s="209"/>
      <c r="AG7" s="209"/>
      <c r="AH7" s="209"/>
      <c r="AI7" s="14"/>
      <c r="AJ7" s="209"/>
      <c r="AK7" s="3"/>
    </row>
    <row r="8" spans="1:37" customFormat="1" ht="22.5" customHeight="1" x14ac:dyDescent="0.3">
      <c r="A8" s="63"/>
      <c r="B8" s="190">
        <f>+'GRUPO A'!B8:B9</f>
        <v>42811</v>
      </c>
      <c r="C8" s="190" t="str">
        <f>+'GRUPO A'!C8:C9</f>
        <v>04:55. p.m.</v>
      </c>
      <c r="D8" s="191"/>
      <c r="E8" s="186" t="str">
        <f>+'GRUPO A'!E8:E9</f>
        <v>SPORTLAND LA MESA</v>
      </c>
      <c r="F8" s="236" t="str">
        <f>IF(AND(G8&lt;&gt;"",I8&lt;&gt;""),IF(G8=I8,"E",IF(G8&gt;I8,"G","P")),"")</f>
        <v/>
      </c>
      <c r="G8" s="192"/>
      <c r="H8" s="237" t="s">
        <v>12</v>
      </c>
      <c r="I8" s="192"/>
      <c r="J8" s="235" t="str">
        <f>IF(AND(I8&lt;&gt;"",G8&lt;&gt;""),IF(I8=G8,"E",IF(I8&gt;G8,"G","P")),"")</f>
        <v/>
      </c>
      <c r="K8" s="186" t="str">
        <f>+'GRUPO A'!K8:K9</f>
        <v>INTER 
 SADI F. C.</v>
      </c>
      <c r="L8" s="186"/>
      <c r="M8" s="177" t="str">
        <f>+'GRUPO A'!M8:M9</f>
        <v>CANCHA 1 A</v>
      </c>
      <c r="N8" s="63"/>
      <c r="O8" s="33"/>
      <c r="P8" s="210" t="str">
        <f>"  1)  " &amp; VLOOKUP(1,$Z$8:$AI$17,2,0)</f>
        <v xml:space="preserve">  1)  ATHLETIC MELGAR</v>
      </c>
      <c r="Q8" s="212">
        <f>VLOOKUP(1,$Z$8:$AI$17,3,0)</f>
        <v>0</v>
      </c>
      <c r="R8" s="206">
        <f>+SUM(S8:U9)</f>
        <v>0</v>
      </c>
      <c r="S8" s="199">
        <f>VLOOKUP(1,$Z$8:$AI$17,4,0)</f>
        <v>0</v>
      </c>
      <c r="T8" s="199">
        <f>VLOOKUP(1,$Z$8:$AI$17,5,0)</f>
        <v>0</v>
      </c>
      <c r="U8" s="199">
        <f>VLOOKUP(1,$Z$8:$AI$17,6,0)</f>
        <v>0</v>
      </c>
      <c r="V8" s="199">
        <f>VLOOKUP(1,$Z$8:$AI$17,7,0)</f>
        <v>0</v>
      </c>
      <c r="W8" s="199">
        <f>VLOOKUP(1,$Z$8:$AI$17,8,0)</f>
        <v>0</v>
      </c>
      <c r="X8" s="199">
        <f>VLOOKUP(1,$Z$8:$AH$17,9,0)</f>
        <v>0</v>
      </c>
      <c r="Y8" s="199">
        <f>VLOOKUP(1,$Z$8:$AI$17,10,0)</f>
        <v>0</v>
      </c>
      <c r="Z8" s="201">
        <f>RANK(AJ8,$AJ$8:$AJ$17,0)</f>
        <v>3</v>
      </c>
      <c r="AA8" s="197" t="str">
        <f>+'GRUPOS PRE JUVENIL'!G7</f>
        <v>ACADEMIA COOFISAM</v>
      </c>
      <c r="AB8" s="197">
        <f>(AC8*3)+AD8</f>
        <v>0</v>
      </c>
      <c r="AC8" s="197">
        <f>COUNTIF(Q42:T42,"G")</f>
        <v>0</v>
      </c>
      <c r="AD8" s="197">
        <f>COUNTIF(Q42:T42,"E")</f>
        <v>0</v>
      </c>
      <c r="AE8" s="197">
        <f>COUNTIF(Q42:T42,"P")</f>
        <v>0</v>
      </c>
      <c r="AF8" s="197">
        <f>+I14+G17+G32+G23</f>
        <v>0</v>
      </c>
      <c r="AG8" s="197">
        <f>+G14+I17+I32+I23</f>
        <v>0</v>
      </c>
      <c r="AH8" s="197">
        <f>AF8-AG8</f>
        <v>0</v>
      </c>
      <c r="AI8" s="205">
        <f>+N14+A17+A32+A23</f>
        <v>0</v>
      </c>
      <c r="AJ8" s="197">
        <f>(AB8*1000)+(AH8*100)+(AF8*10)-AI8+0.1</f>
        <v>0.1</v>
      </c>
      <c r="AK8" s="203">
        <f>AJ8</f>
        <v>0.1</v>
      </c>
    </row>
    <row r="9" spans="1:37" customFormat="1" ht="15.75" customHeight="1" x14ac:dyDescent="0.3">
      <c r="A9" s="32"/>
      <c r="B9" s="190"/>
      <c r="C9" s="190"/>
      <c r="D9" s="191"/>
      <c r="E9" s="186"/>
      <c r="F9" s="236"/>
      <c r="G9" s="193"/>
      <c r="H9" s="237"/>
      <c r="I9" s="193"/>
      <c r="J9" s="235"/>
      <c r="K9" s="186"/>
      <c r="L9" s="186"/>
      <c r="M9" s="177"/>
      <c r="N9" s="33"/>
      <c r="O9" s="34"/>
      <c r="P9" s="211"/>
      <c r="Q9" s="213"/>
      <c r="R9" s="207"/>
      <c r="S9" s="200"/>
      <c r="T9" s="200"/>
      <c r="U9" s="200"/>
      <c r="V9" s="200"/>
      <c r="W9" s="200"/>
      <c r="X9" s="200"/>
      <c r="Y9" s="200"/>
      <c r="Z9" s="202"/>
      <c r="AA9" s="198"/>
      <c r="AB9" s="198"/>
      <c r="AC9" s="198"/>
      <c r="AD9" s="198"/>
      <c r="AE9" s="198"/>
      <c r="AF9" s="198"/>
      <c r="AG9" s="198"/>
      <c r="AH9" s="198"/>
      <c r="AI9" s="238"/>
      <c r="AJ9" s="198"/>
      <c r="AK9" s="204"/>
    </row>
    <row r="10" spans="1:37" customFormat="1" ht="15.75" customHeight="1" x14ac:dyDescent="0.3">
      <c r="A10" s="3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3"/>
      <c r="P10" s="210" t="str">
        <f>"  2)  " &amp; VLOOKUP(2,$Z$8:$AI$17,2,0)</f>
        <v xml:space="preserve">  2)  INTER 
 SADI F. C.</v>
      </c>
      <c r="Q10" s="212">
        <f>VLOOKUP(2,$Z$8:$AI$17,3,0)</f>
        <v>0</v>
      </c>
      <c r="R10" s="206">
        <f>+SUM(S10:U11)</f>
        <v>0</v>
      </c>
      <c r="S10" s="199">
        <f>VLOOKUP(2,$Z$8:$AI$17,4,0)</f>
        <v>0</v>
      </c>
      <c r="T10" s="199">
        <f>VLOOKUP(2,$Z$8:$AI$17,5,0)</f>
        <v>0</v>
      </c>
      <c r="U10" s="199">
        <f>VLOOKUP(2,$Z$8:$AI$17,6,0)</f>
        <v>0</v>
      </c>
      <c r="V10" s="199">
        <f>VLOOKUP(2,$Z$8:$AI$17,7,0)</f>
        <v>0</v>
      </c>
      <c r="W10" s="199">
        <f>VLOOKUP(2,$Z$8:$AI$17,8,0)</f>
        <v>0</v>
      </c>
      <c r="X10" s="199">
        <f>VLOOKUP(2,$Z$8:$AH$17,9,0)</f>
        <v>0</v>
      </c>
      <c r="Y10" s="199">
        <f>VLOOKUP(2,$Z$8:$AI$17,10,0)</f>
        <v>0</v>
      </c>
      <c r="Z10" s="201">
        <f>RANK(AJ10,$AJ$8:$AJ$17,0)</f>
        <v>2</v>
      </c>
      <c r="AA10" s="197" t="str">
        <f>+'GRUPOS PRE JUVENIL'!G8</f>
        <v>INTER 
 SADI F. C.</v>
      </c>
      <c r="AB10" s="197">
        <f>(AC10*3)+AD10</f>
        <v>0</v>
      </c>
      <c r="AC10" s="197">
        <f>COUNTIF(Q43:T43,"G")</f>
        <v>0</v>
      </c>
      <c r="AD10" s="197">
        <f>COUNTIF(Q43:T43,"E")</f>
        <v>0</v>
      </c>
      <c r="AE10" s="197">
        <f>COUNTIF(Q43:T43,"P")</f>
        <v>0</v>
      </c>
      <c r="AF10" s="197">
        <f>+I8+I17+I26+G29</f>
        <v>0</v>
      </c>
      <c r="AG10" s="197">
        <f>+G8+G17+G26+I29</f>
        <v>0</v>
      </c>
      <c r="AH10" s="197">
        <f>AF10-AG10</f>
        <v>0</v>
      </c>
      <c r="AI10" s="205">
        <f>+N8+A29+N17+N26</f>
        <v>0</v>
      </c>
      <c r="AJ10" s="197">
        <f>(AB10*1000)+(AH10*100)+(AF10*10)-AI10+0.2</f>
        <v>0.2</v>
      </c>
      <c r="AK10" s="203">
        <f>AJ10</f>
        <v>0.2</v>
      </c>
    </row>
    <row r="11" spans="1:37" customFormat="1" ht="22.5" customHeight="1" x14ac:dyDescent="0.3">
      <c r="A11" s="64"/>
      <c r="B11" s="187">
        <f>+'GRUPO A'!B11:B12</f>
        <v>42811</v>
      </c>
      <c r="C11" s="187" t="str">
        <f>+'GRUPO A'!C11:C12</f>
        <v>04:55. p.m.</v>
      </c>
      <c r="D11" s="179"/>
      <c r="E11" s="180" t="str">
        <f>+'GRUPO A'!E11:E12</f>
        <v>CLUB DEPORTIVO  
YIYO MUZO F. C.</v>
      </c>
      <c r="F11" s="236" t="str">
        <f>IF(AND(G11&lt;&gt;"",I11&lt;&gt;""),IF(G11=I11,"E",IF(G11&gt;I11,"G","P")),"")</f>
        <v/>
      </c>
      <c r="G11" s="192"/>
      <c r="H11" s="237" t="s">
        <v>12</v>
      </c>
      <c r="I11" s="192"/>
      <c r="J11" s="235" t="str">
        <f>IF(AND(I11&lt;&gt;"",G11&lt;&gt;""),IF(I11=G11,"E",IF(I11&gt;G11,"G","P")),"")</f>
        <v/>
      </c>
      <c r="K11" s="180" t="str">
        <f>+'GRUPO A'!K11:K12</f>
        <v>ATHLETIC MELGAR</v>
      </c>
      <c r="L11" s="180"/>
      <c r="M11" s="174" t="str">
        <f>+'GRUPO A'!M11:M12</f>
        <v>CANCHA 1 B</v>
      </c>
      <c r="N11" s="64"/>
      <c r="O11" s="33"/>
      <c r="P11" s="211"/>
      <c r="Q11" s="213"/>
      <c r="R11" s="207"/>
      <c r="S11" s="200"/>
      <c r="T11" s="200"/>
      <c r="U11" s="200"/>
      <c r="V11" s="200"/>
      <c r="W11" s="200"/>
      <c r="X11" s="200"/>
      <c r="Y11" s="200"/>
      <c r="Z11" s="202"/>
      <c r="AA11" s="198"/>
      <c r="AB11" s="198"/>
      <c r="AC11" s="198"/>
      <c r="AD11" s="198"/>
      <c r="AE11" s="198"/>
      <c r="AF11" s="198"/>
      <c r="AG11" s="198"/>
      <c r="AH11" s="198"/>
      <c r="AI11" s="238"/>
      <c r="AJ11" s="198"/>
      <c r="AK11" s="204"/>
    </row>
    <row r="12" spans="1:37" customFormat="1" ht="15" customHeight="1" x14ac:dyDescent="0.3">
      <c r="A12" s="32"/>
      <c r="B12" s="187"/>
      <c r="C12" s="187"/>
      <c r="D12" s="179"/>
      <c r="E12" s="180"/>
      <c r="F12" s="236"/>
      <c r="G12" s="193"/>
      <c r="H12" s="237"/>
      <c r="I12" s="193"/>
      <c r="J12" s="235"/>
      <c r="K12" s="180"/>
      <c r="L12" s="180"/>
      <c r="M12" s="174"/>
      <c r="N12" s="33"/>
      <c r="O12" s="34"/>
      <c r="P12" s="210" t="str">
        <f>"  3)  " &amp; VLOOKUP(3,$Z$8:$AI$17,2,0)</f>
        <v xml:space="preserve">  3)  ACADEMIA COOFISAM</v>
      </c>
      <c r="Q12" s="212">
        <f>VLOOKUP(3,$Z$8:$AI$17,3,0)</f>
        <v>0</v>
      </c>
      <c r="R12" s="206">
        <f>+SUM(S12:U13)</f>
        <v>0</v>
      </c>
      <c r="S12" s="199">
        <f>VLOOKUP(3,$Z$8:$AI$17,4,0)</f>
        <v>0</v>
      </c>
      <c r="T12" s="199">
        <f>VLOOKUP(3,$Z$8:$AI$17,5,0)</f>
        <v>0</v>
      </c>
      <c r="U12" s="199">
        <f>VLOOKUP(3,$Z$8:$AI$17,6,0)</f>
        <v>0</v>
      </c>
      <c r="V12" s="199">
        <f>VLOOKUP(3,$Z$8:$AI$17,7,0)</f>
        <v>0</v>
      </c>
      <c r="W12" s="199">
        <f>VLOOKUP(3,$Z$8:$AI$17,8,0)</f>
        <v>0</v>
      </c>
      <c r="X12" s="199">
        <f>VLOOKUP(3,$Z$8:$AI$17,9,0)</f>
        <v>0</v>
      </c>
      <c r="Y12" s="199">
        <f>VLOOKUP(3,$Z$8:$AI$17,10,0)</f>
        <v>0</v>
      </c>
      <c r="Z12" s="201">
        <f>RANK(AJ12,$AJ$8:$AJ$17,0)</f>
        <v>1</v>
      </c>
      <c r="AA12" s="197" t="str">
        <f>+'GRUPOS PRE JUVENIL'!G9</f>
        <v>ATHLETIC MELGAR</v>
      </c>
      <c r="AB12" s="197">
        <f>(AC12*3)+AD12</f>
        <v>0</v>
      </c>
      <c r="AC12" s="197">
        <f>COUNTIF(Q44:T44,"G")</f>
        <v>0</v>
      </c>
      <c r="AD12" s="197">
        <f>COUNTIF(Q44:T44,"E")</f>
        <v>0</v>
      </c>
      <c r="AE12" s="197">
        <f>COUNTIF(Q44:T44,"P")</f>
        <v>0</v>
      </c>
      <c r="AF12" s="197">
        <f>+I11+I20+I23+I29</f>
        <v>0</v>
      </c>
      <c r="AG12" s="197">
        <f>+G20+G11+G23+G29</f>
        <v>0</v>
      </c>
      <c r="AH12" s="197">
        <f>AF12-AG12</f>
        <v>0</v>
      </c>
      <c r="AI12" s="205">
        <f>+N11+N20+N23+N29</f>
        <v>0</v>
      </c>
      <c r="AJ12" s="197">
        <f>(AB12*1000)+(AH12*100)+(AF12*10)-AI12+0.3</f>
        <v>0.3</v>
      </c>
      <c r="AK12" s="203">
        <f>+X12</f>
        <v>0</v>
      </c>
    </row>
    <row r="13" spans="1:37" customFormat="1" ht="15" customHeight="1" x14ac:dyDescent="0.3">
      <c r="A13" s="3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3"/>
      <c r="P13" s="211"/>
      <c r="Q13" s="213"/>
      <c r="R13" s="207"/>
      <c r="S13" s="200"/>
      <c r="T13" s="200"/>
      <c r="U13" s="200"/>
      <c r="V13" s="200"/>
      <c r="W13" s="200"/>
      <c r="X13" s="200"/>
      <c r="Y13" s="200"/>
      <c r="Z13" s="202"/>
      <c r="AA13" s="198"/>
      <c r="AB13" s="198"/>
      <c r="AC13" s="198"/>
      <c r="AD13" s="198"/>
      <c r="AE13" s="198"/>
      <c r="AF13" s="198"/>
      <c r="AG13" s="198"/>
      <c r="AH13" s="198"/>
      <c r="AI13" s="238"/>
      <c r="AJ13" s="198"/>
      <c r="AK13" s="204"/>
    </row>
    <row r="14" spans="1:37" customFormat="1" ht="21.75" customHeight="1" x14ac:dyDescent="0.3">
      <c r="A14" s="63"/>
      <c r="B14" s="190">
        <f>+'GRUPO A'!B14:B15</f>
        <v>42811</v>
      </c>
      <c r="C14" s="190" t="str">
        <f>+'GRUPO A'!C14:C15</f>
        <v>04:55. p.m.</v>
      </c>
      <c r="D14" s="191"/>
      <c r="E14" s="186" t="str">
        <f>+'GRUPO A'!E14:E15</f>
        <v>CLUB LA REAL</v>
      </c>
      <c r="F14" s="236" t="str">
        <f>IF(AND(G14&lt;&gt;"",I14&lt;&gt;""),IF(G14=I14,"E",IF(G14&gt;I14,"G","P")),"")</f>
        <v/>
      </c>
      <c r="G14" s="192"/>
      <c r="H14" s="237" t="s">
        <v>12</v>
      </c>
      <c r="I14" s="192"/>
      <c r="J14" s="235" t="str">
        <f>IF(AND(I14&lt;&gt;"",G14&lt;&gt;""),IF(I14=G14,"E",IF(I14&gt;G14,"G","P")),"")</f>
        <v/>
      </c>
      <c r="K14" s="186" t="str">
        <f>+'GRUPO A'!K14:K15</f>
        <v>ACADEMIA COOFISAM</v>
      </c>
      <c r="L14" s="186"/>
      <c r="M14" s="177" t="str">
        <f>+'GRUPO A'!M14:M15</f>
        <v>CANCHA 1 C</v>
      </c>
      <c r="N14" s="63"/>
      <c r="O14" s="33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</row>
    <row r="15" spans="1:37" customFormat="1" ht="15" customHeight="1" x14ac:dyDescent="0.3">
      <c r="A15" s="32"/>
      <c r="B15" s="190"/>
      <c r="C15" s="190"/>
      <c r="D15" s="191"/>
      <c r="E15" s="186"/>
      <c r="F15" s="236"/>
      <c r="G15" s="193"/>
      <c r="H15" s="237"/>
      <c r="I15" s="193"/>
      <c r="J15" s="235"/>
      <c r="K15" s="186"/>
      <c r="L15" s="186"/>
      <c r="M15" s="177"/>
      <c r="N15" s="33"/>
      <c r="O15" s="34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</row>
    <row r="16" spans="1:37" customFormat="1" ht="15" customHeight="1" x14ac:dyDescent="0.3">
      <c r="A16" s="3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3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2:23" customFormat="1" ht="22.5" customHeight="1" x14ac:dyDescent="0.3">
      <c r="B17" s="187">
        <v>42813</v>
      </c>
      <c r="C17" s="233" t="s">
        <v>63</v>
      </c>
      <c r="D17" s="179"/>
      <c r="E17" s="180" t="str">
        <f>+'GRUPOS PRE JUVENIL'!G7</f>
        <v>ACADEMIA COOFISAM</v>
      </c>
      <c r="F17" s="236" t="str">
        <f>IF(AND(G17&lt;&gt;"",I17&lt;&gt;""),IF(G17=I17,"E",IF(G17&gt;I17,"G","P")),"")</f>
        <v/>
      </c>
      <c r="G17" s="192"/>
      <c r="H17" s="237" t="s">
        <v>12</v>
      </c>
      <c r="I17" s="192"/>
      <c r="J17" s="235" t="str">
        <f>IF(AND(I17&lt;&gt;"",G17&lt;&gt;""),IF(I17=G17,"E",IF(I17&gt;G17,"G","P")),"")</f>
        <v/>
      </c>
      <c r="K17" s="180" t="str">
        <f>+'GRUPOS PRE JUVENIL'!G8</f>
        <v>INTER 
 SADI F. C.</v>
      </c>
      <c r="L17" s="180"/>
      <c r="M17" s="174" t="s">
        <v>52</v>
      </c>
      <c r="N17" s="64"/>
      <c r="O17" s="33"/>
      <c r="P17" s="42"/>
      <c r="Q17" s="42"/>
      <c r="R17" s="42"/>
      <c r="S17" s="42"/>
      <c r="T17" s="42"/>
      <c r="U17" s="42"/>
      <c r="V17" s="42"/>
      <c r="W17" s="42"/>
    </row>
    <row r="18" spans="2:23" customFormat="1" ht="15" customHeight="1" x14ac:dyDescent="0.3">
      <c r="B18" s="187"/>
      <c r="C18" s="233"/>
      <c r="D18" s="179"/>
      <c r="E18" s="180"/>
      <c r="F18" s="236"/>
      <c r="G18" s="193"/>
      <c r="H18" s="237"/>
      <c r="I18" s="193"/>
      <c r="J18" s="235"/>
      <c r="K18" s="180"/>
      <c r="L18" s="180"/>
      <c r="M18" s="174"/>
      <c r="N18" s="33"/>
      <c r="O18" s="34"/>
      <c r="P18" s="42"/>
      <c r="Q18" s="40"/>
      <c r="R18" s="40"/>
      <c r="S18" s="41"/>
      <c r="T18" s="41"/>
      <c r="U18" s="41"/>
      <c r="V18" s="41"/>
      <c r="W18" s="41"/>
    </row>
    <row r="19" spans="2:23" customFormat="1" ht="15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3"/>
      <c r="P19" s="194"/>
      <c r="Q19" s="194"/>
      <c r="R19" s="194"/>
      <c r="S19" s="194"/>
      <c r="T19" s="194"/>
      <c r="U19" s="9"/>
      <c r="V19" s="9"/>
      <c r="W19" s="9"/>
    </row>
    <row r="20" spans="2:23" customFormat="1" ht="22.5" customHeight="1" x14ac:dyDescent="0.3">
      <c r="B20" s="190">
        <v>42813</v>
      </c>
      <c r="C20" s="190" t="str">
        <f>+'GRUPO A'!C20:C21</f>
        <v>08:40. a.m.</v>
      </c>
      <c r="D20" s="191"/>
      <c r="E20" s="186" t="str">
        <f>+'GRUPO A'!E20:E21</f>
        <v>CLUB LA REAL</v>
      </c>
      <c r="F20" s="181" t="str">
        <f>IF(AND(G20&lt;&gt;"",I20&lt;&gt;""),IF(G20=I20,"E",IF(G20&gt;I20,"G","P")),"")</f>
        <v/>
      </c>
      <c r="G20" s="192"/>
      <c r="H20" s="184" t="s">
        <v>12</v>
      </c>
      <c r="I20" s="192"/>
      <c r="J20" s="181" t="str">
        <f>IF(AND(I20&lt;&gt;"",G20&lt;&gt;""),IF(I20=G20,"E",IF(I20&gt;G20,"G","P")),"")</f>
        <v/>
      </c>
      <c r="K20" s="185" t="str">
        <f>+'GRUPOS PRE JUVENIL'!G9</f>
        <v>ATHLETIC MELGAR</v>
      </c>
      <c r="L20" s="185"/>
      <c r="M20" s="177" t="str">
        <f>+'GRUPO A'!M20:M21</f>
        <v>CANCHA 1 A</v>
      </c>
      <c r="N20" s="63"/>
      <c r="O20" s="32"/>
      <c r="P20" s="89"/>
      <c r="Q20" s="89"/>
      <c r="R20" s="89"/>
      <c r="S20" s="89"/>
      <c r="T20" s="89"/>
      <c r="U20" s="89"/>
      <c r="V20" s="89"/>
      <c r="W20" s="89" t="str">
        <f>IF(AJ6=1,IF(P19="","",P19),IF(SUM(Q8:Q13)&gt;0,VLOOKUP(1,Z8:AA17,2,0),""))</f>
        <v/>
      </c>
    </row>
    <row r="21" spans="2:23" customFormat="1" ht="15" customHeight="1" x14ac:dyDescent="0.3">
      <c r="B21" s="190"/>
      <c r="C21" s="190"/>
      <c r="D21" s="191"/>
      <c r="E21" s="186"/>
      <c r="F21" s="181"/>
      <c r="G21" s="193"/>
      <c r="H21" s="184"/>
      <c r="I21" s="193"/>
      <c r="J21" s="181"/>
      <c r="K21" s="185"/>
      <c r="L21" s="185"/>
      <c r="M21" s="177"/>
      <c r="N21" s="33"/>
      <c r="O21" s="34"/>
      <c r="P21" s="89"/>
      <c r="Q21" s="89"/>
      <c r="R21" s="89"/>
      <c r="S21" s="89"/>
      <c r="T21" s="89"/>
      <c r="U21" s="89"/>
      <c r="V21" s="89"/>
      <c r="W21" s="89" t="str">
        <f>IF(AJ6=1,IF(P22="","",P22),IF(SUM(Q8:Q13)&gt;0,VLOOKUP(2,Z8:AA17,2,0),""))</f>
        <v/>
      </c>
    </row>
    <row r="22" spans="2:23" customFormat="1" ht="15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3"/>
      <c r="P22" s="234"/>
      <c r="Q22" s="234"/>
      <c r="R22" s="234"/>
      <c r="S22" s="234"/>
      <c r="T22" s="234"/>
      <c r="U22" s="89"/>
      <c r="V22" s="89"/>
      <c r="W22" s="89" t="str">
        <f>IF(AJ7=1,IF(P23="","",P23),IF(SUM(Q8:Q13)&gt;0,VLOOKUP(3,Z8:AA17,2,0),""))</f>
        <v/>
      </c>
    </row>
    <row r="23" spans="2:23" customFormat="1" ht="22.5" customHeight="1" x14ac:dyDescent="0.3">
      <c r="B23" s="187">
        <v>42812</v>
      </c>
      <c r="C23" s="188" t="s">
        <v>62</v>
      </c>
      <c r="D23" s="191"/>
      <c r="E23" s="180" t="str">
        <f>+'GRUPOS PRE JUVENIL'!G7</f>
        <v>ACADEMIA COOFISAM</v>
      </c>
      <c r="F23" s="181" t="str">
        <f>IF(AND(G23&lt;&gt;"",I23&lt;&gt;""),IF(G23=I23,"E",IF(G23&gt;I23,"G","P")),"")</f>
        <v/>
      </c>
      <c r="G23" s="182"/>
      <c r="H23" s="184" t="s">
        <v>12</v>
      </c>
      <c r="I23" s="182"/>
      <c r="J23" s="181" t="str">
        <f>IF(AND(I23&lt;&gt;"",G23&lt;&gt;""),IF(I23=G23,"E",IF(I23&gt;G23,"G","P")),"")</f>
        <v/>
      </c>
      <c r="K23" s="180" t="str">
        <f>+'GRUPOS PRE JUVENIL'!G9</f>
        <v>ATHLETIC MELGAR</v>
      </c>
      <c r="L23" s="196"/>
      <c r="M23" s="174" t="s">
        <v>51</v>
      </c>
      <c r="N23" s="64"/>
      <c r="O23" s="9"/>
      <c r="P23" s="89"/>
      <c r="Q23" s="89"/>
      <c r="R23" s="89"/>
      <c r="S23" s="89"/>
      <c r="T23" s="89"/>
      <c r="U23" s="89"/>
      <c r="V23" s="89"/>
      <c r="W23" s="89" t="str">
        <f>IF(AJ6=1,IF(P24="","",P24),IF(SUM(Q8:Q13)&gt;0,VLOOKUP(4,Z8:AK17,2,0),""))</f>
        <v/>
      </c>
    </row>
    <row r="24" spans="2:23" customFormat="1" x14ac:dyDescent="0.3">
      <c r="B24" s="187"/>
      <c r="C24" s="188"/>
      <c r="D24" s="191"/>
      <c r="E24" s="180"/>
      <c r="F24" s="181"/>
      <c r="G24" s="183"/>
      <c r="H24" s="184"/>
      <c r="I24" s="183"/>
      <c r="J24" s="181"/>
      <c r="K24" s="180"/>
      <c r="L24" s="196"/>
      <c r="M24" s="174"/>
      <c r="N24" s="33"/>
      <c r="O24" s="9"/>
      <c r="P24" s="89"/>
      <c r="Q24" s="89"/>
      <c r="R24" s="89"/>
      <c r="S24" s="89"/>
      <c r="T24" s="89"/>
      <c r="U24" s="89"/>
      <c r="V24" s="89"/>
      <c r="W24" s="89"/>
    </row>
    <row r="25" spans="2:23" s="68" customForma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6"/>
      <c r="O25" s="14"/>
      <c r="P25" s="14"/>
      <c r="Q25" s="43"/>
      <c r="R25" s="43"/>
      <c r="S25" s="14"/>
      <c r="T25" s="14"/>
      <c r="U25" s="14"/>
      <c r="V25" s="14"/>
      <c r="W25" s="14"/>
    </row>
    <row r="26" spans="2:23" s="68" customFormat="1" ht="22.5" customHeight="1" x14ac:dyDescent="0.3">
      <c r="B26" s="187">
        <f>+'GRUPO A'!B26:B27</f>
        <v>42812</v>
      </c>
      <c r="C26" s="187" t="str">
        <f>+'GRUPO A'!C26:C27</f>
        <v>07:00. a.m.</v>
      </c>
      <c r="D26" s="179"/>
      <c r="E26" s="180" t="str">
        <f>+'GRUPO A'!E26:E27</f>
        <v>CLUB DEPORTIVO  
YIYO MUZO F. C.</v>
      </c>
      <c r="F26" s="181" t="str">
        <f>IF(AND(G26&lt;&gt;"",I26&lt;&gt;""),IF(G26=I26,"E",IF(G26&gt;I26,"G","P")),"")</f>
        <v/>
      </c>
      <c r="G26" s="182"/>
      <c r="H26" s="184" t="s">
        <v>12</v>
      </c>
      <c r="I26" s="182"/>
      <c r="J26" s="181" t="str">
        <f>IF(AND(I26&lt;&gt;"",G26&lt;&gt;""),IF(I26=G26,"E",IF(I26&gt;G26,"G","P")),"")</f>
        <v/>
      </c>
      <c r="K26" s="180" t="str">
        <f>+'GRUPO A'!K26:K27</f>
        <v>INTER 
 SADI F. C.</v>
      </c>
      <c r="L26" s="196"/>
      <c r="M26" s="176" t="str">
        <f>+'GRUPO A'!M26:M27</f>
        <v>CANCHA 1 B</v>
      </c>
      <c r="N26" s="64"/>
      <c r="O26" s="14"/>
      <c r="P26" s="14"/>
      <c r="Q26" s="14"/>
      <c r="R26" s="14"/>
      <c r="S26" s="14"/>
      <c r="T26" s="14"/>
      <c r="U26" s="14"/>
      <c r="V26" s="14"/>
      <c r="W26" s="14"/>
    </row>
    <row r="27" spans="2:23" s="68" customFormat="1" x14ac:dyDescent="0.3">
      <c r="B27" s="187"/>
      <c r="C27" s="187"/>
      <c r="D27" s="179"/>
      <c r="E27" s="180"/>
      <c r="F27" s="181"/>
      <c r="G27" s="183"/>
      <c r="H27" s="184"/>
      <c r="I27" s="183"/>
      <c r="J27" s="181"/>
      <c r="K27" s="180"/>
      <c r="L27" s="196"/>
      <c r="M27" s="176"/>
      <c r="N27" s="33"/>
      <c r="O27" s="14"/>
      <c r="P27" s="14"/>
      <c r="Q27" s="14"/>
      <c r="R27" s="14"/>
      <c r="S27" s="14"/>
      <c r="T27" s="14"/>
      <c r="U27" s="14"/>
      <c r="V27" s="14"/>
      <c r="W27" s="14"/>
    </row>
    <row r="28" spans="2:23" s="68" customForma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4"/>
      <c r="P28" s="14"/>
      <c r="Q28" s="14"/>
      <c r="R28" s="14"/>
      <c r="S28" s="14"/>
      <c r="T28" s="14"/>
      <c r="U28" s="14"/>
      <c r="V28" s="14"/>
      <c r="W28" s="14"/>
    </row>
    <row r="29" spans="2:23" s="68" customFormat="1" x14ac:dyDescent="0.3">
      <c r="B29" s="190">
        <v>42812</v>
      </c>
      <c r="C29" s="178" t="s">
        <v>59</v>
      </c>
      <c r="D29" s="191"/>
      <c r="E29" s="186" t="str">
        <f>+'GRUPOS PRE JUVENIL'!G8</f>
        <v>INTER 
 SADI F. C.</v>
      </c>
      <c r="F29" s="181" t="str">
        <f>IF(AND(G29&lt;&gt;"",I29&lt;&gt;""),IF(G29=I29,"E",IF(G29&gt;I29,"G","P")),"")</f>
        <v/>
      </c>
      <c r="G29" s="182"/>
      <c r="H29" s="184" t="s">
        <v>12</v>
      </c>
      <c r="I29" s="182"/>
      <c r="J29" s="181" t="str">
        <f>IF(AND(I29&lt;&gt;"",G29&lt;&gt;""),IF(I29=G29,"E",IF(I29&gt;G29,"G","P")),"")</f>
        <v/>
      </c>
      <c r="K29" s="186" t="str">
        <f>+'GRUPOS PRE JUVENIL'!G9</f>
        <v>ATHLETIC MELGAR</v>
      </c>
      <c r="L29" s="185"/>
      <c r="M29" s="175" t="s">
        <v>50</v>
      </c>
      <c r="N29" s="63"/>
      <c r="O29" s="44"/>
      <c r="P29" s="44"/>
      <c r="Q29" s="14"/>
      <c r="R29" s="14"/>
      <c r="S29" s="14"/>
      <c r="T29" s="14"/>
      <c r="U29" s="14"/>
      <c r="V29" s="14"/>
      <c r="W29" s="14"/>
    </row>
    <row r="30" spans="2:23" s="68" customFormat="1" x14ac:dyDescent="0.3">
      <c r="B30" s="190"/>
      <c r="C30" s="178"/>
      <c r="D30" s="191"/>
      <c r="E30" s="186"/>
      <c r="F30" s="181"/>
      <c r="G30" s="183"/>
      <c r="H30" s="184"/>
      <c r="I30" s="183"/>
      <c r="J30" s="181"/>
      <c r="K30" s="186"/>
      <c r="L30" s="185"/>
      <c r="M30" s="175"/>
      <c r="N30" s="33"/>
      <c r="O30" s="14"/>
      <c r="P30" s="14"/>
      <c r="Q30" s="14"/>
      <c r="R30" s="14"/>
      <c r="S30" s="14"/>
      <c r="T30" s="14"/>
      <c r="U30" s="14"/>
      <c r="V30" s="14"/>
      <c r="W30" s="14"/>
    </row>
    <row r="31" spans="2:23" s="68" customFormat="1" x14ac:dyDescent="0.3">
      <c r="B31" s="14"/>
      <c r="C31" s="3"/>
      <c r="D31" s="14"/>
      <c r="E31" s="14"/>
      <c r="F31" s="14"/>
      <c r="G31" s="14"/>
      <c r="H31" s="14"/>
      <c r="I31" s="14"/>
      <c r="J31" s="69" t="str">
        <f>IF(AG6=1,"Indique el primero y segundo equipos clasificados de la serie:","")</f>
        <v/>
      </c>
      <c r="K31" s="14"/>
      <c r="L31" s="69" t="str">
        <f>IF(AG6=1,"Primero:","")</f>
        <v/>
      </c>
      <c r="M31" s="3"/>
      <c r="N31" s="44"/>
      <c r="O31" s="14"/>
      <c r="P31" s="14"/>
      <c r="Q31" s="14"/>
      <c r="R31" s="14"/>
      <c r="S31" s="14"/>
      <c r="T31" s="14"/>
      <c r="U31" s="14"/>
      <c r="V31" s="14"/>
      <c r="W31" s="14"/>
    </row>
    <row r="32" spans="2:23" s="68" customFormat="1" x14ac:dyDescent="0.3">
      <c r="B32" s="187">
        <f>+'GRUPO A'!B32:B33</f>
        <v>42812</v>
      </c>
      <c r="C32" s="187" t="str">
        <f>+'GRUPO A'!C32:C33</f>
        <v>03:00. p.m.</v>
      </c>
      <c r="D32" s="179"/>
      <c r="E32" s="180" t="str">
        <f>+'GRUPO A'!E32:E33</f>
        <v>ACADEMIA COOFISAM</v>
      </c>
      <c r="F32" s="181" t="str">
        <f>IF(AND(G32&lt;&gt;"",I32&lt;&gt;""),IF(G32=I32,"E",IF(G32&gt;I32,"G","P")),"")</f>
        <v/>
      </c>
      <c r="G32" s="182"/>
      <c r="H32" s="184" t="s">
        <v>12</v>
      </c>
      <c r="I32" s="182"/>
      <c r="J32" s="181" t="str">
        <f>IF(AND(I32&lt;&gt;"",G32&lt;&gt;""),IF(I32=G32,"E",IF(I32&gt;G32,"G","P")),"")</f>
        <v/>
      </c>
      <c r="K32" s="180" t="str">
        <f>+'GRUPO A'!K32:K33</f>
        <v>SPORTLAND LA MESA</v>
      </c>
      <c r="L32" s="196"/>
      <c r="M32" s="176" t="str">
        <f>+'GRUPO A'!M32:M33</f>
        <v>CANCHA 1 B</v>
      </c>
      <c r="N32" s="64"/>
      <c r="O32" s="44"/>
      <c r="P32" s="44"/>
      <c r="Q32" s="14"/>
      <c r="R32" s="14"/>
      <c r="S32" s="14"/>
      <c r="T32" s="14"/>
      <c r="U32" s="14"/>
      <c r="V32" s="14"/>
      <c r="W32" s="14"/>
    </row>
    <row r="33" spans="2:20" s="68" customFormat="1" x14ac:dyDescent="0.3">
      <c r="B33" s="187"/>
      <c r="C33" s="187"/>
      <c r="D33" s="179"/>
      <c r="E33" s="180"/>
      <c r="F33" s="181"/>
      <c r="G33" s="183"/>
      <c r="H33" s="184"/>
      <c r="I33" s="183"/>
      <c r="J33" s="181"/>
      <c r="K33" s="180"/>
      <c r="L33" s="196"/>
      <c r="M33" s="176"/>
      <c r="N33" s="33"/>
      <c r="O33" s="14"/>
      <c r="P33" s="14"/>
      <c r="Q33" s="14"/>
      <c r="R33" s="14"/>
      <c r="S33" s="14"/>
      <c r="T33" s="14"/>
    </row>
    <row r="34" spans="2:20" s="68" customForma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14"/>
      <c r="P34" s="14"/>
      <c r="Q34" s="14"/>
      <c r="R34" s="14"/>
      <c r="S34" s="14"/>
      <c r="T34" s="14"/>
    </row>
    <row r="35" spans="2:20" s="68" customFormat="1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4"/>
      <c r="Q35" s="14"/>
      <c r="R35" s="14"/>
      <c r="S35" s="14"/>
      <c r="T35" s="14"/>
    </row>
    <row r="37" spans="2:20" x14ac:dyDescent="0.3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86"/>
      <c r="P37" s="86"/>
      <c r="Q37" s="86"/>
      <c r="R37" s="86"/>
      <c r="S37" s="86"/>
      <c r="T37" s="86"/>
    </row>
    <row r="38" spans="2:20" x14ac:dyDescent="0.3">
      <c r="O38" s="89"/>
      <c r="P38" s="89"/>
      <c r="Q38" s="89"/>
      <c r="R38" s="89"/>
      <c r="S38" s="89"/>
      <c r="T38" s="89"/>
    </row>
    <row r="39" spans="2:20" x14ac:dyDescent="0.3">
      <c r="O39" s="89"/>
      <c r="P39" s="89"/>
      <c r="Q39" s="89"/>
      <c r="R39" s="89"/>
      <c r="S39" s="89"/>
      <c r="T39" s="89"/>
    </row>
    <row r="40" spans="2:20" x14ac:dyDescent="0.3">
      <c r="O40" s="89"/>
      <c r="P40" s="89"/>
      <c r="Q40" s="89"/>
      <c r="R40" s="89"/>
      <c r="S40" s="89"/>
      <c r="T40" s="89"/>
    </row>
    <row r="41" spans="2:20" x14ac:dyDescent="0.3">
      <c r="O41" s="89"/>
      <c r="P41" s="89"/>
      <c r="Q41" s="89"/>
      <c r="R41" s="89"/>
      <c r="S41" s="89"/>
      <c r="T41" s="89"/>
    </row>
    <row r="42" spans="2:20" x14ac:dyDescent="0.3">
      <c r="B42" s="12"/>
      <c r="C42" s="13"/>
      <c r="D42" s="13"/>
      <c r="E42" s="87"/>
      <c r="F42" s="88"/>
      <c r="G42" s="88"/>
      <c r="H42" s="88"/>
      <c r="I42" s="88"/>
      <c r="J42" s="88"/>
      <c r="K42" s="88"/>
      <c r="L42" s="89"/>
      <c r="M42" s="89"/>
      <c r="N42" s="89"/>
      <c r="O42" s="89"/>
      <c r="P42" s="88" t="str">
        <f>+'GRUPOS PRE JUVENIL'!G7</f>
        <v>ACADEMIA COOFISAM</v>
      </c>
      <c r="Q42" s="89" t="str">
        <f>+J14</f>
        <v/>
      </c>
      <c r="R42" s="89" t="str">
        <f>+F17</f>
        <v/>
      </c>
      <c r="S42" s="89" t="str">
        <f>+F23</f>
        <v/>
      </c>
      <c r="T42" s="89" t="str">
        <f>+F32</f>
        <v/>
      </c>
    </row>
    <row r="43" spans="2:20" x14ac:dyDescent="0.3">
      <c r="B43" s="12"/>
      <c r="C43" s="13"/>
      <c r="D43" s="13"/>
      <c r="E43" s="87"/>
      <c r="F43" s="88"/>
      <c r="G43" s="88"/>
      <c r="H43" s="88"/>
      <c r="I43" s="88"/>
      <c r="J43" s="88"/>
      <c r="K43" s="88"/>
      <c r="L43" s="89"/>
      <c r="M43" s="89"/>
      <c r="N43" s="89"/>
      <c r="O43" s="89"/>
      <c r="P43" s="88" t="str">
        <f>+'GRUPOS PRE JUVENIL'!G8</f>
        <v>INTER 
 SADI F. C.</v>
      </c>
      <c r="Q43" s="89" t="str">
        <f>+J8</f>
        <v/>
      </c>
      <c r="R43" s="89" t="str">
        <f>+J17</f>
        <v/>
      </c>
      <c r="S43" s="89" t="str">
        <f>+J26</f>
        <v/>
      </c>
      <c r="T43" s="89" t="str">
        <f>+F29</f>
        <v/>
      </c>
    </row>
    <row r="44" spans="2:20" x14ac:dyDescent="0.3">
      <c r="B44" s="12"/>
      <c r="C44" s="13"/>
      <c r="D44" s="13"/>
      <c r="E44" s="87"/>
      <c r="F44" s="88"/>
      <c r="G44" s="88"/>
      <c r="H44" s="88"/>
      <c r="I44" s="88"/>
      <c r="J44" s="88"/>
      <c r="K44" s="88"/>
      <c r="L44" s="89"/>
      <c r="M44" s="89"/>
      <c r="N44" s="89"/>
      <c r="O44" s="89"/>
      <c r="P44" s="88" t="str">
        <f>+'GRUPOS PRE JUVENIL'!G9</f>
        <v>ATHLETIC MELGAR</v>
      </c>
      <c r="Q44" s="89" t="str">
        <f>+J11</f>
        <v/>
      </c>
      <c r="R44" s="89" t="str">
        <f>+J20</f>
        <v/>
      </c>
      <c r="S44" s="89" t="str">
        <f>+J23</f>
        <v/>
      </c>
      <c r="T44" s="89" t="str">
        <f>+J29</f>
        <v/>
      </c>
    </row>
  </sheetData>
  <mergeCells count="197">
    <mergeCell ref="J8:J9"/>
    <mergeCell ref="P6:P7"/>
    <mergeCell ref="Q6:Q7"/>
    <mergeCell ref="B3:E3"/>
    <mergeCell ref="F3:K3"/>
    <mergeCell ref="B4:M5"/>
    <mergeCell ref="B6:M6"/>
    <mergeCell ref="P4:Y4"/>
    <mergeCell ref="D8:D9"/>
    <mergeCell ref="F8:F9"/>
    <mergeCell ref="H8:H9"/>
    <mergeCell ref="E8:E9"/>
    <mergeCell ref="B8:B9"/>
    <mergeCell ref="C8:C9"/>
    <mergeCell ref="G8:G9"/>
    <mergeCell ref="K8:L9"/>
    <mergeCell ref="M8:M9"/>
    <mergeCell ref="I8:I9"/>
    <mergeCell ref="AE6:AE7"/>
    <mergeCell ref="AF6:AF7"/>
    <mergeCell ref="AG6:AG7"/>
    <mergeCell ref="AH6:AH7"/>
    <mergeCell ref="AJ6:AJ7"/>
    <mergeCell ref="P8:P9"/>
    <mergeCell ref="Q8:Q9"/>
    <mergeCell ref="R8:R9"/>
    <mergeCell ref="S8:S9"/>
    <mergeCell ref="T8:T9"/>
    <mergeCell ref="X6:X7"/>
    <mergeCell ref="Y6:Y7"/>
    <mergeCell ref="Z6:Z7"/>
    <mergeCell ref="AB6:AB7"/>
    <mergeCell ref="AC6:AC7"/>
    <mergeCell ref="AD6:AD7"/>
    <mergeCell ref="R6:R7"/>
    <mergeCell ref="S6:S7"/>
    <mergeCell ref="T6:T7"/>
    <mergeCell ref="U6:U7"/>
    <mergeCell ref="V6:V7"/>
    <mergeCell ref="W6:W7"/>
    <mergeCell ref="AJ8:AJ9"/>
    <mergeCell ref="AG8:AG9"/>
    <mergeCell ref="AK8:AK9"/>
    <mergeCell ref="D11:D12"/>
    <mergeCell ref="F11:F12"/>
    <mergeCell ref="H11:H12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J11:J12"/>
    <mergeCell ref="P10:P11"/>
    <mergeCell ref="Q10:Q11"/>
    <mergeCell ref="AH8:AH9"/>
    <mergeCell ref="AI8:AI9"/>
    <mergeCell ref="Z10:Z11"/>
    <mergeCell ref="AA10:AA11"/>
    <mergeCell ref="S10:S11"/>
    <mergeCell ref="T10:T11"/>
    <mergeCell ref="U10:U11"/>
    <mergeCell ref="V10:V11"/>
    <mergeCell ref="W10:W11"/>
    <mergeCell ref="P12:P13"/>
    <mergeCell ref="Q12:Q13"/>
    <mergeCell ref="R12:R13"/>
    <mergeCell ref="S12:S13"/>
    <mergeCell ref="T12:T13"/>
    <mergeCell ref="AJ10:AJ11"/>
    <mergeCell ref="AK10:AK11"/>
    <mergeCell ref="D14:D15"/>
    <mergeCell ref="F14:F15"/>
    <mergeCell ref="H14:H15"/>
    <mergeCell ref="J14:J15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AG12:AG13"/>
    <mergeCell ref="AH12:AH13"/>
    <mergeCell ref="AI12:AI13"/>
    <mergeCell ref="AJ12:AJ13"/>
    <mergeCell ref="AK12:AK13"/>
    <mergeCell ref="AE12:AE13"/>
    <mergeCell ref="AF12:AF13"/>
    <mergeCell ref="AB10:AB11"/>
    <mergeCell ref="AC10:AC11"/>
    <mergeCell ref="R10:R11"/>
    <mergeCell ref="AA12:AA13"/>
    <mergeCell ref="AB12:AB13"/>
    <mergeCell ref="AC12:AC13"/>
    <mergeCell ref="AD12:AD13"/>
    <mergeCell ref="U12:U13"/>
    <mergeCell ref="V12:V13"/>
    <mergeCell ref="W12:W13"/>
    <mergeCell ref="X12:X13"/>
    <mergeCell ref="Y12:Y13"/>
    <mergeCell ref="Z12:Z13"/>
    <mergeCell ref="P22:T22"/>
    <mergeCell ref="J17:J18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P19:T19"/>
    <mergeCell ref="K17:L18"/>
    <mergeCell ref="K20:L21"/>
    <mergeCell ref="D17:D18"/>
    <mergeCell ref="F17:F18"/>
    <mergeCell ref="H17:H18"/>
    <mergeCell ref="D20:D21"/>
    <mergeCell ref="F20:F21"/>
    <mergeCell ref="H20:H21"/>
    <mergeCell ref="J20:J21"/>
    <mergeCell ref="B11:B12"/>
    <mergeCell ref="C11:C12"/>
    <mergeCell ref="K32:K33"/>
    <mergeCell ref="D32:D33"/>
    <mergeCell ref="E32:E33"/>
    <mergeCell ref="F32:F33"/>
    <mergeCell ref="G32:G33"/>
    <mergeCell ref="H32:H33"/>
    <mergeCell ref="I32:I33"/>
    <mergeCell ref="J32:J33"/>
    <mergeCell ref="D29:D30"/>
    <mergeCell ref="B17:B18"/>
    <mergeCell ref="C17:C18"/>
    <mergeCell ref="B26:B27"/>
    <mergeCell ref="C26:C27"/>
    <mergeCell ref="B23:B24"/>
    <mergeCell ref="C23:C24"/>
    <mergeCell ref="B20:B21"/>
    <mergeCell ref="C20:C21"/>
    <mergeCell ref="G29:G30"/>
    <mergeCell ref="I29:I30"/>
    <mergeCell ref="D26:D27"/>
    <mergeCell ref="E26:E27"/>
    <mergeCell ref="F26:F27"/>
    <mergeCell ref="E14:E15"/>
    <mergeCell ref="E17:E18"/>
    <mergeCell ref="E20:E21"/>
    <mergeCell ref="M17:M18"/>
    <mergeCell ref="C32:C33"/>
    <mergeCell ref="B32:B33"/>
    <mergeCell ref="B29:B30"/>
    <mergeCell ref="C29:C30"/>
    <mergeCell ref="B14:B15"/>
    <mergeCell ref="C14:C15"/>
    <mergeCell ref="G26:G27"/>
    <mergeCell ref="H26:H27"/>
    <mergeCell ref="I26:I27"/>
    <mergeCell ref="E29:E30"/>
    <mergeCell ref="F29:F30"/>
    <mergeCell ref="H29:H30"/>
    <mergeCell ref="J26:J27"/>
    <mergeCell ref="K26:K27"/>
    <mergeCell ref="L26:L27"/>
    <mergeCell ref="A1:N1"/>
    <mergeCell ref="A2:N2"/>
    <mergeCell ref="M32:M33"/>
    <mergeCell ref="M29:M30"/>
    <mergeCell ref="M26:M27"/>
    <mergeCell ref="M23:M24"/>
    <mergeCell ref="G11:G12"/>
    <mergeCell ref="G14:G15"/>
    <mergeCell ref="G17:G18"/>
    <mergeCell ref="G20:G21"/>
    <mergeCell ref="L32:L33"/>
    <mergeCell ref="L29:L30"/>
    <mergeCell ref="K11:L12"/>
    <mergeCell ref="K14:L15"/>
    <mergeCell ref="M11:M12"/>
    <mergeCell ref="M14:M15"/>
    <mergeCell ref="M20:M21"/>
    <mergeCell ref="I11:I12"/>
    <mergeCell ref="I14:I15"/>
    <mergeCell ref="I17:I18"/>
    <mergeCell ref="I20:I21"/>
    <mergeCell ref="J29:J30"/>
    <mergeCell ref="K29:K30"/>
    <mergeCell ref="E11:E12"/>
  </mergeCells>
  <conditionalFormatting sqref="G8">
    <cfRule type="expression" dxfId="161" priority="58" stopIfTrue="1">
      <formula>F8="P"</formula>
    </cfRule>
    <cfRule type="expression" dxfId="160" priority="59" stopIfTrue="1">
      <formula>F8="E"</formula>
    </cfRule>
    <cfRule type="expression" dxfId="159" priority="60" stopIfTrue="1">
      <formula>F8="G"</formula>
    </cfRule>
  </conditionalFormatting>
  <conditionalFormatting sqref="G11">
    <cfRule type="expression" dxfId="158" priority="37" stopIfTrue="1">
      <formula>F11="P"</formula>
    </cfRule>
    <cfRule type="expression" dxfId="157" priority="38" stopIfTrue="1">
      <formula>F11="E"</formula>
    </cfRule>
    <cfRule type="expression" dxfId="156" priority="39" stopIfTrue="1">
      <formula>F11="G"</formula>
    </cfRule>
  </conditionalFormatting>
  <conditionalFormatting sqref="G14">
    <cfRule type="expression" dxfId="155" priority="34" stopIfTrue="1">
      <formula>F14="P"</formula>
    </cfRule>
    <cfRule type="expression" dxfId="154" priority="35" stopIfTrue="1">
      <formula>F14="E"</formula>
    </cfRule>
    <cfRule type="expression" dxfId="153" priority="36" stopIfTrue="1">
      <formula>F14="G"</formula>
    </cfRule>
  </conditionalFormatting>
  <conditionalFormatting sqref="G17">
    <cfRule type="expression" dxfId="152" priority="31" stopIfTrue="1">
      <formula>F17="P"</formula>
    </cfRule>
    <cfRule type="expression" dxfId="151" priority="32" stopIfTrue="1">
      <formula>F17="E"</formula>
    </cfRule>
    <cfRule type="expression" dxfId="150" priority="33" stopIfTrue="1">
      <formula>F17="G"</formula>
    </cfRule>
  </conditionalFormatting>
  <conditionalFormatting sqref="G20">
    <cfRule type="expression" dxfId="149" priority="28" stopIfTrue="1">
      <formula>F20="P"</formula>
    </cfRule>
    <cfRule type="expression" dxfId="148" priority="29" stopIfTrue="1">
      <formula>F20="E"</formula>
    </cfRule>
    <cfRule type="expression" dxfId="147" priority="30" stopIfTrue="1">
      <formula>F20="G"</formula>
    </cfRule>
  </conditionalFormatting>
  <conditionalFormatting sqref="G23:G24">
    <cfRule type="expression" dxfId="146" priority="16" stopIfTrue="1">
      <formula>F23="P"</formula>
    </cfRule>
    <cfRule type="expression" dxfId="145" priority="17" stopIfTrue="1">
      <formula>F23="E"</formula>
    </cfRule>
    <cfRule type="expression" dxfId="144" priority="18" stopIfTrue="1">
      <formula>F23="G"</formula>
    </cfRule>
  </conditionalFormatting>
  <conditionalFormatting sqref="G26:G27">
    <cfRule type="expression" dxfId="143" priority="13" stopIfTrue="1">
      <formula>F26="P"</formula>
    </cfRule>
    <cfRule type="expression" dxfId="142" priority="14" stopIfTrue="1">
      <formula>F26="E"</formula>
    </cfRule>
    <cfRule type="expression" dxfId="141" priority="15" stopIfTrue="1">
      <formula>F26="G"</formula>
    </cfRule>
  </conditionalFormatting>
  <conditionalFormatting sqref="G29:G30">
    <cfRule type="expression" dxfId="140" priority="4" stopIfTrue="1">
      <formula>F29="P"</formula>
    </cfRule>
    <cfRule type="expression" dxfId="139" priority="5" stopIfTrue="1">
      <formula>F29="E"</formula>
    </cfRule>
    <cfRule type="expression" dxfId="138" priority="6" stopIfTrue="1">
      <formula>F29="G"</formula>
    </cfRule>
  </conditionalFormatting>
  <conditionalFormatting sqref="G32:G33">
    <cfRule type="expression" dxfId="137" priority="1" stopIfTrue="1">
      <formula>F32="P"</formula>
    </cfRule>
    <cfRule type="expression" dxfId="136" priority="2" stopIfTrue="1">
      <formula>F32="E"</formula>
    </cfRule>
    <cfRule type="expression" dxfId="135" priority="3" stopIfTrue="1">
      <formula>F32="G"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Y57"/>
  <sheetViews>
    <sheetView tabSelected="1" zoomScale="80" zoomScaleNormal="80" workbookViewId="0">
      <selection activeCell="D8" sqref="D8"/>
    </sheetView>
  </sheetViews>
  <sheetFormatPr baseColWidth="10" defaultColWidth="11.44140625" defaultRowHeight="21" x14ac:dyDescent="0.4"/>
  <cols>
    <col min="1" max="1" width="11.44140625" style="134"/>
    <col min="2" max="2" width="37.21875" style="3" customWidth="1"/>
    <col min="3" max="3" width="15" style="3" bestFit="1" customWidth="1"/>
    <col min="4" max="4" width="36.44140625" style="3" customWidth="1"/>
    <col min="5" max="6" width="7.6640625" style="3" customWidth="1"/>
    <col min="7" max="7" width="36.44140625" style="3" customWidth="1"/>
    <col min="8" max="8" width="20" style="3" customWidth="1"/>
    <col min="9" max="9" width="15.5546875" style="3" bestFit="1" customWidth="1"/>
    <col min="10" max="10" width="0.6640625" style="3" customWidth="1"/>
    <col min="11" max="11" width="30.5546875" style="3" customWidth="1"/>
    <col min="12" max="20" width="5.88671875" style="3" customWidth="1"/>
    <col min="21" max="21" width="3.5546875" style="3" customWidth="1"/>
    <col min="22" max="16384" width="11.44140625" style="3"/>
  </cols>
  <sheetData>
    <row r="1" spans="1:21" ht="45.6" x14ac:dyDescent="0.75">
      <c r="A1" s="248" t="str">
        <f>+'GRUPOS PRE JUVENIL'!D1</f>
        <v>XIX Festival Nacional de Fútbol Infantil</v>
      </c>
      <c r="B1" s="248"/>
      <c r="C1" s="248"/>
      <c r="D1" s="248"/>
      <c r="E1" s="248"/>
      <c r="F1" s="248"/>
      <c r="G1" s="248"/>
      <c r="H1" s="248"/>
      <c r="I1" s="248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ht="30.6" x14ac:dyDescent="0.55000000000000004">
      <c r="A2" s="249" t="str">
        <f>+'GRUPOS PRE JUVENIL'!D2</f>
        <v>“COPA SOCCER MELGAR”</v>
      </c>
      <c r="B2" s="249"/>
      <c r="C2" s="249"/>
      <c r="D2" s="249"/>
      <c r="E2" s="249"/>
      <c r="F2" s="249"/>
      <c r="G2" s="249"/>
      <c r="H2" s="249"/>
      <c r="I2" s="249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 spans="1:21" ht="36" x14ac:dyDescent="0.55000000000000004">
      <c r="A3" s="251" t="str">
        <f>+'GRUPOS PRE JUVENIL'!D4</f>
        <v>NACIDOS 2013 2014</v>
      </c>
      <c r="B3" s="251"/>
      <c r="C3" s="251"/>
      <c r="D3" s="251"/>
      <c r="E3" s="251"/>
      <c r="F3" s="251"/>
      <c r="G3" s="251"/>
      <c r="H3" s="251"/>
      <c r="I3" s="251"/>
      <c r="J3" s="133"/>
      <c r="T3" s="133"/>
      <c r="U3" s="133"/>
    </row>
    <row r="4" spans="1:21" x14ac:dyDescent="0.4">
      <c r="A4" s="250" t="str">
        <f>+'GRUPOS PRE JUVENIL'!D3</f>
        <v>5 Y 6 ABRIL 2025</v>
      </c>
      <c r="B4" s="250"/>
      <c r="C4" s="250"/>
      <c r="D4" s="250"/>
      <c r="E4" s="250"/>
      <c r="F4" s="250"/>
      <c r="G4" s="250"/>
      <c r="H4" s="250"/>
      <c r="I4" s="250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</row>
    <row r="5" spans="1:21" ht="21.6" thickBot="1" x14ac:dyDescent="0.45">
      <c r="A5" s="252" t="s">
        <v>45</v>
      </c>
      <c r="B5" s="252"/>
      <c r="C5" s="252"/>
      <c r="D5" s="252"/>
      <c r="E5" s="252"/>
      <c r="F5" s="252"/>
      <c r="G5" s="252"/>
      <c r="H5" s="252"/>
      <c r="I5" s="252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</row>
    <row r="6" spans="1:21" ht="24.6" customHeight="1" thickBot="1" x14ac:dyDescent="0.45">
      <c r="A6" s="148"/>
      <c r="B6" s="256" t="s">
        <v>55</v>
      </c>
      <c r="C6" s="257"/>
      <c r="D6" s="257"/>
      <c r="E6" s="257"/>
      <c r="F6" s="257"/>
      <c r="G6" s="257"/>
      <c r="H6" s="257"/>
      <c r="I6" s="258"/>
      <c r="J6" s="149"/>
      <c r="K6" s="150" t="str">
        <f>+'GRUPO A'!P8</f>
        <v>GRUPO A</v>
      </c>
      <c r="L6" s="151" t="str">
        <f>+'GRUPO A'!Q8</f>
        <v>Pts.</v>
      </c>
      <c r="M6" s="151" t="str">
        <f>+'GRUPO A'!R8</f>
        <v>PJ</v>
      </c>
      <c r="N6" s="151" t="str">
        <f>+'GRUPO A'!S8</f>
        <v>Gan.</v>
      </c>
      <c r="O6" s="151" t="str">
        <f>+'GRUPO A'!T8</f>
        <v>Emp.</v>
      </c>
      <c r="P6" s="151" t="str">
        <f>+'GRUPO A'!U8</f>
        <v>Per.</v>
      </c>
      <c r="Q6" s="151" t="str">
        <f>+'GRUPO A'!V8</f>
        <v>GF</v>
      </c>
      <c r="R6" s="151" t="str">
        <f>+'GRUPO A'!W8</f>
        <v>GC</v>
      </c>
      <c r="S6" s="151" t="str">
        <f>+'GRUPO A'!X8</f>
        <v>Dif.</v>
      </c>
      <c r="T6" s="152" t="str">
        <f>+'GRUPO A'!Y8</f>
        <v>Tj</v>
      </c>
    </row>
    <row r="7" spans="1:21" ht="41.4" customHeight="1" x14ac:dyDescent="0.4">
      <c r="B7" s="153" t="s">
        <v>46</v>
      </c>
      <c r="C7" s="153" t="s">
        <v>43</v>
      </c>
      <c r="D7" s="153" t="s">
        <v>44</v>
      </c>
      <c r="E7" s="255" t="s">
        <v>47</v>
      </c>
      <c r="F7" s="255"/>
      <c r="G7" s="153" t="s">
        <v>44</v>
      </c>
      <c r="H7" s="153" t="s">
        <v>48</v>
      </c>
      <c r="I7" s="153" t="s">
        <v>57</v>
      </c>
      <c r="J7" s="149"/>
      <c r="K7" s="154" t="str">
        <f>+'GRUPO A'!P10</f>
        <v xml:space="preserve">  1)  CLUB LA REAL</v>
      </c>
      <c r="L7" s="155">
        <f>+'GRUPO A'!Q10</f>
        <v>0</v>
      </c>
      <c r="M7" s="155">
        <f>+'GRUPO A'!R10</f>
        <v>0</v>
      </c>
      <c r="N7" s="155">
        <f>+'GRUPO A'!S10</f>
        <v>0</v>
      </c>
      <c r="O7" s="155">
        <f>+'GRUPO A'!T10</f>
        <v>0</v>
      </c>
      <c r="P7" s="155">
        <f>+'GRUPO A'!U10</f>
        <v>0</v>
      </c>
      <c r="Q7" s="155">
        <f>+'GRUPO A'!V10</f>
        <v>0</v>
      </c>
      <c r="R7" s="155">
        <f>+'GRUPO A'!W10</f>
        <v>0</v>
      </c>
      <c r="S7" s="155">
        <f>+'GRUPO A'!X10</f>
        <v>0</v>
      </c>
      <c r="T7" s="155">
        <f>+'GRUPO A'!Y10</f>
        <v>0</v>
      </c>
    </row>
    <row r="8" spans="1:21" ht="41.4" customHeight="1" x14ac:dyDescent="0.4">
      <c r="A8" s="156">
        <v>45752</v>
      </c>
      <c r="B8" s="165" t="s">
        <v>95</v>
      </c>
      <c r="C8" s="164">
        <v>0.34722222222222221</v>
      </c>
      <c r="D8" s="157" t="str">
        <f>+'GRUPO A'!E20</f>
        <v>CLUB LA REAL</v>
      </c>
      <c r="E8" s="157">
        <f>+'GRUPO A'!G20</f>
        <v>0</v>
      </c>
      <c r="F8" s="157">
        <f>+'GRUPO A'!I20</f>
        <v>0</v>
      </c>
      <c r="G8" s="157" t="str">
        <f>+'GRUPO A'!K20</f>
        <v>ATHLETIC MELGAR</v>
      </c>
      <c r="H8" s="157" t="s">
        <v>66</v>
      </c>
      <c r="I8" s="157" t="str">
        <f>+$A$3</f>
        <v>NACIDOS 2013 2014</v>
      </c>
      <c r="J8" s="149"/>
      <c r="K8" s="158" t="str">
        <f>+'GRUPO A'!P12</f>
        <v xml:space="preserve">  2)  CLUB DEPORTIVO  
YIYO MUZO F. C.</v>
      </c>
      <c r="L8" s="157">
        <f>+'GRUPO A'!Q12</f>
        <v>0</v>
      </c>
      <c r="M8" s="157">
        <f>+'GRUPO A'!R12</f>
        <v>0</v>
      </c>
      <c r="N8" s="157">
        <f>+'GRUPO A'!S12</f>
        <v>0</v>
      </c>
      <c r="O8" s="157">
        <f>+'GRUPO A'!T12</f>
        <v>0</v>
      </c>
      <c r="P8" s="157">
        <f>+'GRUPO A'!U12</f>
        <v>0</v>
      </c>
      <c r="Q8" s="157">
        <f>+'GRUPO A'!V12</f>
        <v>0</v>
      </c>
      <c r="R8" s="157">
        <f>+'GRUPO A'!W12</f>
        <v>0</v>
      </c>
      <c r="S8" s="157">
        <f>+'GRUPO A'!X12</f>
        <v>0</v>
      </c>
      <c r="T8" s="157">
        <f>+'GRUPO A'!Y12</f>
        <v>0</v>
      </c>
    </row>
    <row r="9" spans="1:21" ht="41.4" customHeight="1" x14ac:dyDescent="0.4">
      <c r="A9" s="156">
        <v>45752</v>
      </c>
      <c r="B9" s="167" t="s">
        <v>96</v>
      </c>
      <c r="C9" s="164">
        <v>0.34722222222222221</v>
      </c>
      <c r="D9" s="157" t="str">
        <f>+'GRUPO B'!E17</f>
        <v>ACADEMIA COOFISAM</v>
      </c>
      <c r="E9" s="157">
        <f>+'GRUPO B'!G17</f>
        <v>0</v>
      </c>
      <c r="F9" s="157">
        <f>+'GRUPO B'!I17</f>
        <v>0</v>
      </c>
      <c r="G9" s="157" t="str">
        <f>+'GRUPO B'!K17</f>
        <v>INTER 
 SADI F. C.</v>
      </c>
      <c r="H9" s="156" t="str">
        <f>+'GRUPO B'!B4</f>
        <v>GRUPO B</v>
      </c>
      <c r="I9" s="157" t="str">
        <f>+$A$3</f>
        <v>NACIDOS 2013 2014</v>
      </c>
      <c r="J9" s="149"/>
      <c r="K9" s="158" t="str">
        <f>+'GRUPO A'!P14</f>
        <v xml:space="preserve">  3)  SPORTLAND LA MESA</v>
      </c>
      <c r="L9" s="157">
        <f>+'GRUPO A'!Q14</f>
        <v>0</v>
      </c>
      <c r="M9" s="157">
        <f>+'GRUPO A'!R14</f>
        <v>0</v>
      </c>
      <c r="N9" s="157">
        <f>+'GRUPO A'!S14</f>
        <v>0</v>
      </c>
      <c r="O9" s="157">
        <f>+'GRUPO A'!T14</f>
        <v>0</v>
      </c>
      <c r="P9" s="157">
        <f>+'GRUPO A'!U14</f>
        <v>0</v>
      </c>
      <c r="Q9" s="157">
        <f>+'GRUPO A'!V14</f>
        <v>0</v>
      </c>
      <c r="R9" s="157">
        <f>+'GRUPO A'!W14</f>
        <v>0</v>
      </c>
      <c r="S9" s="157">
        <f>+'GRUPO A'!X14</f>
        <v>0</v>
      </c>
      <c r="T9" s="157">
        <f>+'GRUPO A'!Y14</f>
        <v>0</v>
      </c>
    </row>
    <row r="10" spans="1:21" ht="41.4" customHeight="1" x14ac:dyDescent="0.4">
      <c r="A10" s="156">
        <v>45752</v>
      </c>
      <c r="B10" s="165" t="s">
        <v>95</v>
      </c>
      <c r="C10" s="164">
        <v>0.39583333333333331</v>
      </c>
      <c r="D10" s="157" t="str">
        <f>+'GRUPO A'!E17</f>
        <v>SPORTLAND LA MESA</v>
      </c>
      <c r="E10" s="157">
        <f>+'GRUPO A'!G17</f>
        <v>0</v>
      </c>
      <c r="F10" s="157">
        <f>+'GRUPO A'!I17</f>
        <v>0</v>
      </c>
      <c r="G10" s="157" t="str">
        <f>+'GRUPO A'!K17</f>
        <v>CLUB DEPORTIVO  
YIYO MUZO F. C.</v>
      </c>
      <c r="H10" s="156" t="str">
        <f>+'GRUPO A'!B4</f>
        <v>GRUPO A</v>
      </c>
      <c r="I10" s="157" t="str">
        <f>+$A$3</f>
        <v>NACIDOS 2013 2014</v>
      </c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</row>
    <row r="11" spans="1:21" ht="8.4" customHeight="1" thickBot="1" x14ac:dyDescent="0.45">
      <c r="A11" s="149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</row>
    <row r="12" spans="1:21" ht="30" customHeight="1" thickBot="1" x14ac:dyDescent="0.45">
      <c r="B12" s="259" t="s">
        <v>56</v>
      </c>
      <c r="C12" s="260"/>
      <c r="D12" s="260"/>
      <c r="E12" s="260"/>
      <c r="F12" s="260"/>
      <c r="G12" s="260"/>
      <c r="H12" s="260"/>
      <c r="I12" s="261"/>
      <c r="J12" s="149"/>
      <c r="K12" s="159" t="str">
        <f>+'GRUPO B'!P6</f>
        <v>GRUPO B</v>
      </c>
      <c r="L12" s="160" t="str">
        <f>+'GRUPO B'!Q6</f>
        <v>Pts.</v>
      </c>
      <c r="M12" s="160" t="str">
        <f>+'GRUPO B'!R6</f>
        <v>PJ</v>
      </c>
      <c r="N12" s="160" t="str">
        <f>+'GRUPO B'!S6</f>
        <v>Gan.</v>
      </c>
      <c r="O12" s="160" t="str">
        <f>+'GRUPO B'!T6</f>
        <v>Emp.</v>
      </c>
      <c r="P12" s="160" t="str">
        <f>+'GRUPO B'!U6</f>
        <v>Per.</v>
      </c>
      <c r="Q12" s="160" t="str">
        <f>+'GRUPO B'!V6</f>
        <v>GF</v>
      </c>
      <c r="R12" s="160" t="str">
        <f>+'GRUPO B'!W6</f>
        <v>GC</v>
      </c>
      <c r="S12" s="160" t="str">
        <f>+'GRUPO B'!X6</f>
        <v>Dif.</v>
      </c>
      <c r="T12" s="161" t="str">
        <f>+'GRUPO B'!Y6</f>
        <v>Tj</v>
      </c>
    </row>
    <row r="13" spans="1:21" ht="41.4" customHeight="1" x14ac:dyDescent="0.4">
      <c r="B13" s="153" t="s">
        <v>46</v>
      </c>
      <c r="C13" s="153" t="s">
        <v>43</v>
      </c>
      <c r="D13" s="153" t="s">
        <v>44</v>
      </c>
      <c r="E13" s="255" t="s">
        <v>47</v>
      </c>
      <c r="F13" s="255"/>
      <c r="G13" s="153" t="s">
        <v>44</v>
      </c>
      <c r="H13" s="153" t="s">
        <v>48</v>
      </c>
      <c r="I13" s="153" t="s">
        <v>57</v>
      </c>
      <c r="J13" s="149"/>
      <c r="K13" s="154" t="str">
        <f>+'GRUPO B'!P8</f>
        <v xml:space="preserve">  1)  ATHLETIC MELGAR</v>
      </c>
      <c r="L13" s="155">
        <f>+'GRUPO B'!Q8</f>
        <v>0</v>
      </c>
      <c r="M13" s="155">
        <f>+'GRUPO B'!R8</f>
        <v>0</v>
      </c>
      <c r="N13" s="155">
        <f>+'GRUPO B'!S8</f>
        <v>0</v>
      </c>
      <c r="O13" s="155">
        <f>+'GRUPO B'!T8</f>
        <v>0</v>
      </c>
      <c r="P13" s="155">
        <f>+'GRUPO B'!U8</f>
        <v>0</v>
      </c>
      <c r="Q13" s="155">
        <f>+'GRUPO B'!V8</f>
        <v>0</v>
      </c>
      <c r="R13" s="155">
        <f>+'GRUPO B'!W8</f>
        <v>0</v>
      </c>
      <c r="S13" s="155">
        <f>+'GRUPO B'!X8</f>
        <v>0</v>
      </c>
      <c r="T13" s="155">
        <f>+'GRUPO B'!Y8</f>
        <v>0</v>
      </c>
    </row>
    <row r="14" spans="1:21" ht="41.4" customHeight="1" x14ac:dyDescent="0.4">
      <c r="A14" s="156">
        <v>45752</v>
      </c>
      <c r="B14" s="165" t="s">
        <v>95</v>
      </c>
      <c r="C14" s="164">
        <v>0.55555555555555558</v>
      </c>
      <c r="D14" s="157" t="str">
        <f>+'GRUPO B'!E23</f>
        <v>ACADEMIA COOFISAM</v>
      </c>
      <c r="E14" s="157">
        <f>+'GRUPO B'!G23</f>
        <v>0</v>
      </c>
      <c r="F14" s="157">
        <f>+'GRUPO B'!I23</f>
        <v>0</v>
      </c>
      <c r="G14" s="157" t="str">
        <f>+'GRUPO B'!K23</f>
        <v>ATHLETIC MELGAR</v>
      </c>
      <c r="H14" s="156" t="str">
        <f>+H9</f>
        <v>GRUPO B</v>
      </c>
      <c r="I14" s="157" t="str">
        <f>+$A$3</f>
        <v>NACIDOS 2013 2014</v>
      </c>
      <c r="J14" s="149"/>
      <c r="K14" s="158" t="str">
        <f>+'GRUPO B'!P10</f>
        <v xml:space="preserve">  2)  INTER 
 SADI F. C.</v>
      </c>
      <c r="L14" s="157">
        <f>+'GRUPO B'!Q10</f>
        <v>0</v>
      </c>
      <c r="M14" s="157">
        <f>+'GRUPO B'!R10</f>
        <v>0</v>
      </c>
      <c r="N14" s="157">
        <f>+'GRUPO B'!S10</f>
        <v>0</v>
      </c>
      <c r="O14" s="157">
        <f>+'GRUPO B'!T10</f>
        <v>0</v>
      </c>
      <c r="P14" s="157">
        <f>+'GRUPO B'!U10</f>
        <v>0</v>
      </c>
      <c r="Q14" s="157">
        <f>+'GRUPO B'!V10</f>
        <v>0</v>
      </c>
      <c r="R14" s="157">
        <f>+'GRUPO B'!W10</f>
        <v>0</v>
      </c>
      <c r="S14" s="157">
        <f>+'GRUPO B'!X10</f>
        <v>0</v>
      </c>
      <c r="T14" s="157">
        <f>+'GRUPO B'!Y10</f>
        <v>0</v>
      </c>
    </row>
    <row r="15" spans="1:21" ht="41.4" customHeight="1" x14ac:dyDescent="0.4">
      <c r="A15" s="156">
        <v>45752</v>
      </c>
      <c r="B15" s="167" t="s">
        <v>96</v>
      </c>
      <c r="C15" s="164">
        <v>0.55555555555555558</v>
      </c>
      <c r="D15" s="157" t="str">
        <f>+'GRUPO A'!E23</f>
        <v>SPORTLAND LA MESA</v>
      </c>
      <c r="E15" s="157">
        <f>+'GRUPO A'!G23</f>
        <v>0</v>
      </c>
      <c r="F15" s="157">
        <f>+'GRUPO A'!I23</f>
        <v>0</v>
      </c>
      <c r="G15" s="157" t="str">
        <f>+'GRUPO A'!K23</f>
        <v>CLUB LA REAL</v>
      </c>
      <c r="H15" s="156" t="str">
        <f>+H10</f>
        <v>GRUPO A</v>
      </c>
      <c r="I15" s="157" t="str">
        <f>+$A$3</f>
        <v>NACIDOS 2013 2014</v>
      </c>
      <c r="J15" s="149"/>
      <c r="K15" s="158" t="str">
        <f>+'GRUPO B'!P12</f>
        <v xml:space="preserve">  3)  ACADEMIA COOFISAM</v>
      </c>
      <c r="L15" s="157">
        <f>+'GRUPO B'!Q12</f>
        <v>0</v>
      </c>
      <c r="M15" s="157">
        <f>+'GRUPO B'!R12</f>
        <v>0</v>
      </c>
      <c r="N15" s="157">
        <f>+'GRUPO B'!S12</f>
        <v>0</v>
      </c>
      <c r="O15" s="157">
        <f>+'GRUPO B'!T12</f>
        <v>0</v>
      </c>
      <c r="P15" s="157">
        <f>+'GRUPO B'!U12</f>
        <v>0</v>
      </c>
      <c r="Q15" s="157">
        <f>+'GRUPO B'!V12</f>
        <v>0</v>
      </c>
      <c r="R15" s="157">
        <f>+'GRUPO B'!W12</f>
        <v>0</v>
      </c>
      <c r="S15" s="157">
        <f>+'GRUPO B'!X12</f>
        <v>0</v>
      </c>
      <c r="T15" s="157">
        <f>+'GRUPO B'!Y12</f>
        <v>0</v>
      </c>
    </row>
    <row r="16" spans="1:21" ht="41.4" customHeight="1" x14ac:dyDescent="0.4">
      <c r="A16" s="156">
        <v>45752</v>
      </c>
      <c r="B16" s="165" t="s">
        <v>95</v>
      </c>
      <c r="C16" s="164">
        <v>0.60416666666666663</v>
      </c>
      <c r="D16" s="157" t="str">
        <f>+'GRUPO A'!E26</f>
        <v>CLUB DEPORTIVO  
YIYO MUZO F. C.</v>
      </c>
      <c r="E16" s="157">
        <f>+'GRUPO A'!G26</f>
        <v>0</v>
      </c>
      <c r="F16" s="157">
        <f>+'GRUPO A'!I26</f>
        <v>0</v>
      </c>
      <c r="G16" s="157" t="str">
        <f>+'GRUPO A'!K26</f>
        <v>INTER 
 SADI F. C.</v>
      </c>
      <c r="H16" s="156" t="s">
        <v>66</v>
      </c>
      <c r="I16" s="157" t="str">
        <f>+$A$3</f>
        <v>NACIDOS 2013 2014</v>
      </c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</row>
    <row r="17" spans="1:25" ht="30" customHeight="1" thickBot="1" x14ac:dyDescent="0.45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</row>
    <row r="18" spans="1:25" ht="30" customHeight="1" thickBot="1" x14ac:dyDescent="0.45">
      <c r="A18" s="149"/>
      <c r="B18" s="262" t="s">
        <v>49</v>
      </c>
      <c r="C18" s="263"/>
      <c r="D18" s="263"/>
      <c r="E18" s="263"/>
      <c r="F18" s="263"/>
      <c r="G18" s="263"/>
      <c r="H18" s="263"/>
      <c r="I18" s="264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</row>
    <row r="19" spans="1:25" ht="30" customHeight="1" x14ac:dyDescent="0.4">
      <c r="A19" s="149"/>
      <c r="B19" s="153" t="s">
        <v>46</v>
      </c>
      <c r="C19" s="153" t="s">
        <v>43</v>
      </c>
      <c r="D19" s="153" t="s">
        <v>44</v>
      </c>
      <c r="E19" s="253" t="s">
        <v>47</v>
      </c>
      <c r="F19" s="254"/>
      <c r="G19" s="153" t="s">
        <v>44</v>
      </c>
      <c r="H19" s="153" t="s">
        <v>48</v>
      </c>
      <c r="I19" s="153" t="s">
        <v>57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</row>
    <row r="20" spans="1:25" ht="41.4" customHeight="1" x14ac:dyDescent="0.4">
      <c r="A20" s="156">
        <v>45753</v>
      </c>
      <c r="B20" s="165" t="s">
        <v>95</v>
      </c>
      <c r="C20" s="166">
        <v>0.28472222222222221</v>
      </c>
      <c r="D20" s="157" t="str">
        <f>+'GRUPO A'!E32</f>
        <v>ACADEMIA COOFISAM</v>
      </c>
      <c r="E20" s="157">
        <f>+'GRUPO A'!G32</f>
        <v>0</v>
      </c>
      <c r="F20" s="157">
        <f>+'GRUPO A'!I32</f>
        <v>0</v>
      </c>
      <c r="G20" s="157" t="str">
        <f>+'GRUPO A'!K32</f>
        <v>SPORTLAND LA MESA</v>
      </c>
      <c r="H20" s="156" t="s">
        <v>66</v>
      </c>
      <c r="I20" s="157" t="str">
        <f>+$A$3</f>
        <v>NACIDOS 2013 2014</v>
      </c>
      <c r="J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Y20" s="165" t="s">
        <v>83</v>
      </c>
    </row>
    <row r="21" spans="1:25" ht="41.4" customHeight="1" x14ac:dyDescent="0.4">
      <c r="A21" s="156">
        <v>45753</v>
      </c>
      <c r="B21" s="167" t="s">
        <v>96</v>
      </c>
      <c r="C21" s="166">
        <v>0.28472222222222221</v>
      </c>
      <c r="D21" s="157" t="str">
        <f>+'GRUPO A'!E29</f>
        <v>CLUB LA REAL</v>
      </c>
      <c r="E21" s="157">
        <f>+'GRUPO A'!G29</f>
        <v>0</v>
      </c>
      <c r="F21" s="157">
        <f>+'GRUPO A'!I29</f>
        <v>0</v>
      </c>
      <c r="G21" s="157" t="str">
        <f>+'GRUPO A'!K29</f>
        <v>CLUB DEPORTIVO  
YIYO MUZO F. C.</v>
      </c>
      <c r="H21" s="157" t="str">
        <f>+'GRUPO A'!B4</f>
        <v>GRUPO A</v>
      </c>
      <c r="I21" s="157" t="str">
        <f>+$A$3</f>
        <v>NACIDOS 2013 2014</v>
      </c>
      <c r="J21" s="149"/>
      <c r="Q21" s="149"/>
      <c r="R21" s="149"/>
      <c r="S21" s="149"/>
      <c r="T21" s="149"/>
      <c r="U21" s="149"/>
      <c r="V21" s="149"/>
      <c r="W21" s="149"/>
    </row>
    <row r="22" spans="1:25" ht="41.4" customHeight="1" x14ac:dyDescent="0.4">
      <c r="A22" s="156">
        <v>45753</v>
      </c>
      <c r="B22" s="165" t="s">
        <v>95</v>
      </c>
      <c r="C22" s="166">
        <v>0.34027777777777779</v>
      </c>
      <c r="D22" s="157" t="str">
        <f>+'GRUPO B'!E29</f>
        <v>INTER 
 SADI F. C.</v>
      </c>
      <c r="E22" s="157">
        <f>+'GRUPO B'!G29</f>
        <v>0</v>
      </c>
      <c r="F22" s="157">
        <f>+'GRUPO B'!I29</f>
        <v>0</v>
      </c>
      <c r="G22" s="157" t="str">
        <f>+'GRUPO B'!K29</f>
        <v>ATHLETIC MELGAR</v>
      </c>
      <c r="H22" s="156" t="str">
        <f>+'GRUPO B'!B4</f>
        <v>GRUPO B</v>
      </c>
      <c r="I22" s="157" t="str">
        <f>+$A$3</f>
        <v>NACIDOS 2013 2014</v>
      </c>
      <c r="J22" s="149"/>
      <c r="Q22" s="149"/>
      <c r="R22" s="149"/>
      <c r="S22" s="149"/>
      <c r="T22" s="149"/>
    </row>
    <row r="23" spans="1:25" ht="4.2" customHeight="1" thickBot="1" x14ac:dyDescent="0.45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</row>
    <row r="24" spans="1:25" ht="30" customHeight="1" thickBot="1" x14ac:dyDescent="0.45">
      <c r="A24" s="162"/>
      <c r="B24" s="243" t="s">
        <v>76</v>
      </c>
      <c r="C24" s="244"/>
      <c r="D24" s="244"/>
      <c r="E24" s="244"/>
      <c r="F24" s="244"/>
      <c r="G24" s="244"/>
      <c r="H24" s="244"/>
      <c r="I24" s="245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</row>
    <row r="25" spans="1:25" ht="30" customHeight="1" x14ac:dyDescent="0.4">
      <c r="A25" s="162"/>
      <c r="B25" s="163" t="s">
        <v>46</v>
      </c>
      <c r="C25" s="163" t="s">
        <v>43</v>
      </c>
      <c r="D25" s="163" t="s">
        <v>44</v>
      </c>
      <c r="E25" s="246" t="s">
        <v>47</v>
      </c>
      <c r="F25" s="247"/>
      <c r="G25" s="163" t="s">
        <v>44</v>
      </c>
      <c r="H25" s="163" t="s">
        <v>77</v>
      </c>
      <c r="I25" s="153" t="s">
        <v>57</v>
      </c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</row>
    <row r="26" spans="1:25" ht="41.4" customHeight="1" x14ac:dyDescent="0.4">
      <c r="A26" s="156">
        <v>45753</v>
      </c>
      <c r="B26" s="165" t="s">
        <v>95</v>
      </c>
      <c r="C26" s="164">
        <v>0.52777777777777779</v>
      </c>
      <c r="D26" s="157" t="s">
        <v>74</v>
      </c>
      <c r="E26" s="157">
        <f>+'[1]GRUPO B'!Q20</f>
        <v>0</v>
      </c>
      <c r="F26" s="157">
        <f>+'[1]GRUPO B'!S20</f>
        <v>0</v>
      </c>
      <c r="G26" s="157" t="s">
        <v>75</v>
      </c>
      <c r="H26" s="157" t="s">
        <v>84</v>
      </c>
      <c r="I26" s="157" t="str">
        <f>+$A$3</f>
        <v>NACIDOS 2013 2014</v>
      </c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</row>
    <row r="27" spans="1:25" ht="41.4" customHeight="1" x14ac:dyDescent="0.4">
      <c r="A27" s="156">
        <v>45753</v>
      </c>
      <c r="B27" s="167" t="s">
        <v>96</v>
      </c>
      <c r="C27" s="164">
        <v>0.58333333333333337</v>
      </c>
      <c r="D27" s="157" t="s">
        <v>65</v>
      </c>
      <c r="E27" s="157">
        <f>+'[1]GRUPO A'!Q26</f>
        <v>0</v>
      </c>
      <c r="F27" s="157">
        <f>+'[1]GRUPO A'!S26</f>
        <v>0</v>
      </c>
      <c r="G27" s="157" t="s">
        <v>64</v>
      </c>
      <c r="H27" s="156" t="s">
        <v>85</v>
      </c>
      <c r="I27" s="157" t="str">
        <f>+$A$3</f>
        <v>NACIDOS 2013 2014</v>
      </c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</row>
    <row r="28" spans="1:25" ht="41.4" customHeight="1" x14ac:dyDescent="0.4">
      <c r="A28" s="156">
        <v>45753</v>
      </c>
      <c r="B28" s="165" t="s">
        <v>95</v>
      </c>
      <c r="C28" s="164">
        <v>0.58333333333333337</v>
      </c>
      <c r="D28" s="157" t="s">
        <v>53</v>
      </c>
      <c r="E28" s="157">
        <f>+'[1]GRUPO A'!Q29</f>
        <v>0</v>
      </c>
      <c r="F28" s="157">
        <f>+'[1]GRUPO A'!S29</f>
        <v>0</v>
      </c>
      <c r="G28" s="157" t="s">
        <v>54</v>
      </c>
      <c r="H28" s="156" t="s">
        <v>86</v>
      </c>
      <c r="I28" s="157" t="str">
        <f>+$A$3</f>
        <v>NACIDOS 2013 2014</v>
      </c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</row>
    <row r="29" spans="1:25" ht="10.199999999999999" customHeight="1" x14ac:dyDescent="0.3">
      <c r="A29" s="3"/>
    </row>
    <row r="30" spans="1:25" ht="30" customHeight="1" x14ac:dyDescent="0.3">
      <c r="A30" s="3"/>
    </row>
    <row r="31" spans="1:25" ht="1.5" customHeight="1" x14ac:dyDescent="0.3">
      <c r="A31" s="3"/>
    </row>
    <row r="32" spans="1:25" ht="27.75" customHeight="1" x14ac:dyDescent="0.3">
      <c r="A32" s="3"/>
    </row>
    <row r="33" spans="1:1" ht="27" customHeight="1" x14ac:dyDescent="0.3">
      <c r="A33" s="3"/>
    </row>
    <row r="34" spans="1:1" ht="30" customHeight="1" x14ac:dyDescent="0.3">
      <c r="A34" s="3"/>
    </row>
    <row r="35" spans="1:1" ht="30" customHeight="1" x14ac:dyDescent="0.3">
      <c r="A35" s="3"/>
    </row>
    <row r="36" spans="1:1" ht="30" customHeight="1" x14ac:dyDescent="0.3">
      <c r="A36" s="3"/>
    </row>
    <row r="37" spans="1:1" ht="30" customHeight="1" x14ac:dyDescent="0.3">
      <c r="A37" s="3"/>
    </row>
    <row r="38" spans="1:1" ht="30" customHeight="1" x14ac:dyDescent="0.3">
      <c r="A38" s="3"/>
    </row>
    <row r="39" spans="1:1" ht="29.25" customHeight="1" x14ac:dyDescent="0.4"/>
    <row r="40" spans="1:1" ht="30" customHeight="1" x14ac:dyDescent="0.4"/>
    <row r="41" spans="1:1" ht="30" customHeight="1" x14ac:dyDescent="0.4"/>
    <row r="42" spans="1:1" ht="7.5" customHeight="1" x14ac:dyDescent="0.4"/>
    <row r="43" spans="1:1" ht="27" customHeight="1" x14ac:dyDescent="0.4"/>
    <row r="44" spans="1:1" ht="30" customHeight="1" x14ac:dyDescent="0.4"/>
    <row r="45" spans="1:1" ht="30" customHeight="1" x14ac:dyDescent="0.4"/>
    <row r="46" spans="1:1" ht="30" customHeight="1" x14ac:dyDescent="0.4"/>
    <row r="47" spans="1:1" ht="30" customHeight="1" x14ac:dyDescent="0.4"/>
    <row r="48" spans="1:1" ht="7.5" customHeight="1" x14ac:dyDescent="0.4"/>
    <row r="49" ht="27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</sheetData>
  <mergeCells count="13">
    <mergeCell ref="B24:I24"/>
    <mergeCell ref="E25:F25"/>
    <mergeCell ref="A1:I1"/>
    <mergeCell ref="A2:I2"/>
    <mergeCell ref="A4:I4"/>
    <mergeCell ref="A3:I3"/>
    <mergeCell ref="A5:I5"/>
    <mergeCell ref="E19:F19"/>
    <mergeCell ref="E7:F7"/>
    <mergeCell ref="B6:I6"/>
    <mergeCell ref="B12:I12"/>
    <mergeCell ref="E13:F13"/>
    <mergeCell ref="B18:I18"/>
  </mergeCells>
  <printOptions horizontalCentered="1" verticalCentered="1"/>
  <pageMargins left="3.937007874015748E-2" right="3.937007874015748E-2" top="0" bottom="0" header="0" footer="0"/>
  <pageSetup scale="3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K43"/>
  <sheetViews>
    <sheetView workbookViewId="0">
      <selection activeCell="C1" sqref="C1:K42"/>
    </sheetView>
  </sheetViews>
  <sheetFormatPr baseColWidth="10" defaultRowHeight="14.4" x14ac:dyDescent="0.3"/>
  <cols>
    <col min="1" max="1" width="3.44140625" style="3" customWidth="1"/>
    <col min="2" max="2" width="11.5546875" style="3"/>
    <col min="3" max="3" width="3" style="3" customWidth="1"/>
    <col min="4" max="4" width="11.5546875" style="3"/>
    <col min="5" max="5" width="3" style="3" customWidth="1"/>
    <col min="6" max="6" width="11.5546875" style="3"/>
    <col min="7" max="7" width="2.88671875" style="3" customWidth="1"/>
    <col min="8" max="8" width="11.5546875" style="3"/>
    <col min="9" max="9" width="2.88671875" style="3" customWidth="1"/>
    <col min="10" max="10" width="11.5546875" style="3"/>
    <col min="11" max="11" width="4.5546875" style="3" customWidth="1"/>
    <col min="12" max="16384" width="11.5546875" style="3"/>
  </cols>
  <sheetData>
    <row r="1" spans="3:11" ht="22.8" x14ac:dyDescent="0.3">
      <c r="C1" s="283" t="str">
        <f>+'GRUPOS PRE JUVENIL'!D1</f>
        <v>XIX Festival Nacional de Fútbol Infantil</v>
      </c>
      <c r="D1" s="283"/>
      <c r="E1" s="283"/>
      <c r="F1" s="283"/>
      <c r="G1" s="283"/>
      <c r="H1" s="283"/>
      <c r="I1" s="283"/>
      <c r="J1" s="283"/>
      <c r="K1" s="283"/>
    </row>
    <row r="2" spans="3:11" ht="17.399999999999999" x14ac:dyDescent="0.3">
      <c r="C2" s="284" t="str">
        <f>+'GRUPOS PRE JUVENIL'!D2</f>
        <v>“COPA SOCCER MELGAR”</v>
      </c>
      <c r="D2" s="284"/>
      <c r="E2" s="284"/>
      <c r="F2" s="284"/>
      <c r="G2" s="284"/>
      <c r="H2" s="284"/>
      <c r="I2" s="284"/>
      <c r="J2" s="284"/>
      <c r="K2" s="284"/>
    </row>
    <row r="3" spans="3:11" ht="17.399999999999999" x14ac:dyDescent="0.3">
      <c r="C3" s="285" t="str">
        <f>+'GRUPOS PRE JUVENIL'!D3</f>
        <v>5 Y 6 ABRIL 2025</v>
      </c>
      <c r="D3" s="285"/>
      <c r="E3" s="285"/>
      <c r="F3" s="285"/>
      <c r="G3" s="285"/>
      <c r="H3" s="285"/>
      <c r="I3" s="285"/>
      <c r="J3" s="285"/>
      <c r="K3" s="285"/>
    </row>
    <row r="4" spans="3:11" ht="17.399999999999999" x14ac:dyDescent="0.3">
      <c r="C4" s="286" t="str">
        <f>+'GRUPOS PRE JUVENIL'!D4</f>
        <v>NACIDOS 2013 2014</v>
      </c>
      <c r="D4" s="286"/>
      <c r="E4" s="286"/>
      <c r="F4" s="286"/>
      <c r="G4" s="286"/>
      <c r="H4" s="286"/>
      <c r="I4" s="286"/>
      <c r="J4" s="286"/>
      <c r="K4" s="286"/>
    </row>
    <row r="5" spans="3:11" ht="15.6" x14ac:dyDescent="0.3">
      <c r="C5" s="287" t="s">
        <v>33</v>
      </c>
      <c r="D5" s="287"/>
      <c r="E5" s="287"/>
      <c r="F5" s="287"/>
      <c r="G5" s="287"/>
      <c r="H5" s="287"/>
      <c r="I5" s="287"/>
      <c r="J5" s="287"/>
      <c r="K5" s="287"/>
    </row>
    <row r="6" spans="3:11" ht="7.5" customHeight="1" x14ac:dyDescent="0.3">
      <c r="C6" s="136"/>
      <c r="D6" s="136"/>
      <c r="E6" s="136"/>
      <c r="F6" s="136"/>
      <c r="G6" s="136"/>
      <c r="H6" s="136"/>
      <c r="I6" s="136"/>
      <c r="J6" s="136"/>
    </row>
    <row r="7" spans="3:11" ht="15.6" x14ac:dyDescent="0.3">
      <c r="E7" s="125"/>
      <c r="F7" s="138" t="s">
        <v>0</v>
      </c>
      <c r="G7" s="19"/>
      <c r="H7" s="139" t="s">
        <v>36</v>
      </c>
      <c r="I7" s="81"/>
    </row>
    <row r="8" spans="3:11" ht="18" x14ac:dyDescent="0.3">
      <c r="E8" s="122"/>
      <c r="F8" s="135">
        <v>1</v>
      </c>
      <c r="H8" s="135">
        <v>4</v>
      </c>
      <c r="I8" s="19"/>
    </row>
    <row r="9" spans="3:11" ht="18" x14ac:dyDescent="0.3">
      <c r="E9" s="122"/>
      <c r="F9" s="135">
        <v>2</v>
      </c>
      <c r="H9" s="135">
        <v>5</v>
      </c>
      <c r="I9" s="19"/>
    </row>
    <row r="10" spans="3:11" ht="18" x14ac:dyDescent="0.3">
      <c r="E10" s="122"/>
      <c r="F10" s="135">
        <v>3</v>
      </c>
      <c r="H10" s="135">
        <v>6</v>
      </c>
      <c r="I10" s="19"/>
    </row>
    <row r="11" spans="3:11" ht="5.4" customHeight="1" thickBot="1" x14ac:dyDescent="0.35">
      <c r="I11" s="124"/>
    </row>
    <row r="12" spans="3:11" ht="21" thickBot="1" x14ac:dyDescent="0.35">
      <c r="D12" s="265" t="s">
        <v>78</v>
      </c>
      <c r="E12" s="266"/>
      <c r="F12" s="266"/>
      <c r="G12" s="266"/>
      <c r="H12" s="266"/>
      <c r="I12" s="266"/>
      <c r="J12" s="267"/>
    </row>
    <row r="13" spans="3:11" ht="3" customHeight="1" thickBot="1" x14ac:dyDescent="0.35"/>
    <row r="14" spans="3:11" ht="15" thickBot="1" x14ac:dyDescent="0.35">
      <c r="D14" s="268" t="s">
        <v>71</v>
      </c>
      <c r="E14" s="269"/>
      <c r="F14" s="270"/>
      <c r="G14" s="144" t="s">
        <v>34</v>
      </c>
      <c r="H14" s="268" t="s">
        <v>70</v>
      </c>
      <c r="I14" s="269"/>
      <c r="J14" s="270"/>
    </row>
    <row r="15" spans="3:11" ht="3" customHeight="1" thickBot="1" x14ac:dyDescent="0.35">
      <c r="D15" s="98"/>
      <c r="E15" s="98"/>
      <c r="F15" s="98"/>
      <c r="G15" s="146"/>
      <c r="H15" s="98"/>
      <c r="I15" s="98"/>
      <c r="J15" s="98"/>
    </row>
    <row r="16" spans="3:11" ht="15" thickBot="1" x14ac:dyDescent="0.35">
      <c r="D16" s="280">
        <v>4</v>
      </c>
      <c r="E16" s="281"/>
      <c r="F16" s="282"/>
      <c r="G16" s="144" t="s">
        <v>34</v>
      </c>
      <c r="H16" s="280">
        <v>5</v>
      </c>
      <c r="I16" s="281"/>
      <c r="J16" s="282"/>
    </row>
    <row r="18" spans="4:10" ht="15" thickBot="1" x14ac:dyDescent="0.35">
      <c r="D18" s="280">
        <v>1</v>
      </c>
      <c r="E18" s="281"/>
      <c r="F18" s="282"/>
      <c r="G18" s="144" t="s">
        <v>34</v>
      </c>
      <c r="H18" s="280">
        <v>2</v>
      </c>
      <c r="I18" s="281"/>
      <c r="J18" s="282"/>
    </row>
    <row r="19" spans="4:10" ht="6" customHeight="1" thickBot="1" x14ac:dyDescent="0.35"/>
    <row r="20" spans="4:10" ht="14.4" customHeight="1" thickBot="1" x14ac:dyDescent="0.35">
      <c r="D20" s="288" t="s">
        <v>79</v>
      </c>
      <c r="E20" s="289"/>
      <c r="F20" s="289"/>
      <c r="G20" s="289"/>
      <c r="H20" s="289"/>
      <c r="I20" s="289"/>
      <c r="J20" s="290"/>
    </row>
    <row r="21" spans="4:10" ht="3" customHeight="1" thickBot="1" x14ac:dyDescent="0.35"/>
    <row r="22" spans="4:10" ht="15" thickBot="1" x14ac:dyDescent="0.35">
      <c r="D22" s="268" t="s">
        <v>69</v>
      </c>
      <c r="E22" s="269"/>
      <c r="F22" s="270"/>
      <c r="G22" s="144" t="s">
        <v>34</v>
      </c>
      <c r="H22" s="268" t="s">
        <v>68</v>
      </c>
      <c r="I22" s="269"/>
      <c r="J22" s="270"/>
    </row>
    <row r="23" spans="4:10" ht="3" customHeight="1" thickBot="1" x14ac:dyDescent="0.35">
      <c r="D23" s="98"/>
      <c r="E23" s="98"/>
      <c r="F23" s="98"/>
      <c r="G23" s="146"/>
      <c r="H23" s="98"/>
      <c r="I23" s="98"/>
      <c r="J23" s="98"/>
    </row>
    <row r="24" spans="4:10" ht="18" customHeight="1" thickBot="1" x14ac:dyDescent="0.35">
      <c r="D24" s="280">
        <v>4</v>
      </c>
      <c r="E24" s="281"/>
      <c r="F24" s="282"/>
      <c r="G24" s="144" t="s">
        <v>34</v>
      </c>
      <c r="H24" s="280">
        <v>6</v>
      </c>
      <c r="I24" s="281"/>
      <c r="J24" s="282"/>
    </row>
    <row r="25" spans="4:10" ht="3" customHeight="1" thickBot="1" x14ac:dyDescent="0.35">
      <c r="G25" s="145"/>
    </row>
    <row r="26" spans="4:10" ht="15" thickBot="1" x14ac:dyDescent="0.35">
      <c r="D26" s="280">
        <v>1</v>
      </c>
      <c r="E26" s="281"/>
      <c r="F26" s="282"/>
      <c r="G26" s="144" t="s">
        <v>34</v>
      </c>
      <c r="H26" s="280">
        <v>3</v>
      </c>
      <c r="I26" s="281"/>
      <c r="J26" s="282"/>
    </row>
    <row r="27" spans="4:10" ht="6" customHeight="1" thickBot="1" x14ac:dyDescent="0.35">
      <c r="D27" s="147"/>
      <c r="E27" s="147"/>
      <c r="F27" s="147"/>
      <c r="G27" s="147"/>
      <c r="H27" s="147"/>
      <c r="I27" s="147"/>
      <c r="J27" s="147"/>
    </row>
    <row r="28" spans="4:10" ht="21" thickBot="1" x14ac:dyDescent="0.35">
      <c r="D28" s="294" t="s">
        <v>80</v>
      </c>
      <c r="E28" s="295"/>
      <c r="F28" s="295"/>
      <c r="G28" s="295"/>
      <c r="H28" s="295"/>
      <c r="I28" s="295"/>
      <c r="J28" s="296"/>
    </row>
    <row r="29" spans="4:10" ht="3" customHeight="1" thickBot="1" x14ac:dyDescent="0.35"/>
    <row r="30" spans="4:10" ht="18" customHeight="1" thickBot="1" x14ac:dyDescent="0.35">
      <c r="D30" s="268" t="s">
        <v>72</v>
      </c>
      <c r="E30" s="269"/>
      <c r="F30" s="270"/>
      <c r="G30" s="144" t="s">
        <v>34</v>
      </c>
      <c r="H30" s="268" t="s">
        <v>67</v>
      </c>
      <c r="I30" s="269"/>
      <c r="J30" s="270"/>
    </row>
    <row r="31" spans="4:10" ht="3" customHeight="1" thickBot="1" x14ac:dyDescent="0.35">
      <c r="D31" s="98"/>
      <c r="E31" s="98"/>
      <c r="F31" s="98"/>
      <c r="G31" s="146"/>
      <c r="H31" s="98"/>
      <c r="I31" s="98"/>
      <c r="J31" s="98"/>
    </row>
    <row r="32" spans="4:10" ht="18" customHeight="1" thickBot="1" x14ac:dyDescent="0.35">
      <c r="D32" s="280">
        <v>3</v>
      </c>
      <c r="E32" s="281"/>
      <c r="F32" s="282"/>
      <c r="G32" s="144" t="s">
        <v>34</v>
      </c>
      <c r="H32" s="280">
        <v>2</v>
      </c>
      <c r="I32" s="281"/>
      <c r="J32" s="282"/>
    </row>
    <row r="34" spans="4:10" ht="18" customHeight="1" thickBot="1" x14ac:dyDescent="0.35">
      <c r="D34" s="280">
        <v>5</v>
      </c>
      <c r="E34" s="281"/>
      <c r="F34" s="282"/>
      <c r="G34" s="144" t="s">
        <v>34</v>
      </c>
      <c r="H34" s="280">
        <v>6</v>
      </c>
      <c r="I34" s="281"/>
      <c r="J34" s="282"/>
    </row>
    <row r="35" spans="4:10" ht="3" customHeight="1" thickBot="1" x14ac:dyDescent="0.35">
      <c r="D35" s="98"/>
      <c r="E35" s="98"/>
      <c r="F35" s="98"/>
      <c r="G35" s="146"/>
      <c r="H35" s="98"/>
      <c r="I35" s="98"/>
      <c r="J35" s="98"/>
    </row>
    <row r="36" spans="4:10" ht="18" customHeight="1" thickBot="1" x14ac:dyDescent="0.4">
      <c r="D36" s="291" t="s">
        <v>81</v>
      </c>
      <c r="E36" s="292"/>
      <c r="F36" s="292"/>
      <c r="G36" s="292"/>
      <c r="H36" s="292"/>
      <c r="I36" s="292"/>
      <c r="J36" s="293"/>
    </row>
    <row r="37" spans="4:10" ht="6" customHeight="1" thickBot="1" x14ac:dyDescent="0.4">
      <c r="D37" s="80"/>
      <c r="E37" s="80"/>
      <c r="F37" s="80"/>
      <c r="G37" s="80"/>
      <c r="H37" s="80"/>
      <c r="I37" s="80"/>
      <c r="J37" s="80"/>
    </row>
    <row r="38" spans="4:10" ht="21" thickBot="1" x14ac:dyDescent="0.35">
      <c r="D38" s="274" t="s">
        <v>73</v>
      </c>
      <c r="E38" s="275"/>
      <c r="F38" s="275"/>
      <c r="G38" s="275"/>
      <c r="H38" s="275"/>
      <c r="I38" s="275"/>
      <c r="J38" s="276"/>
    </row>
    <row r="39" spans="4:10" ht="22.2" customHeight="1" thickBot="1" x14ac:dyDescent="0.35">
      <c r="D39" s="277" t="s">
        <v>74</v>
      </c>
      <c r="E39" s="278"/>
      <c r="F39" s="279"/>
      <c r="G39" s="144" t="s">
        <v>34</v>
      </c>
      <c r="H39" s="277" t="s">
        <v>75</v>
      </c>
      <c r="I39" s="278"/>
      <c r="J39" s="279"/>
    </row>
    <row r="40" spans="4:10" ht="28.8" customHeight="1" thickBot="1" x14ac:dyDescent="0.35">
      <c r="D40" s="271" t="s">
        <v>65</v>
      </c>
      <c r="E40" s="272"/>
      <c r="F40" s="273"/>
      <c r="G40" s="146"/>
      <c r="H40" s="271" t="s">
        <v>64</v>
      </c>
      <c r="I40" s="272"/>
      <c r="J40" s="273"/>
    </row>
    <row r="41" spans="4:10" ht="28.8" customHeight="1" thickBot="1" x14ac:dyDescent="0.35">
      <c r="D41" s="271" t="s">
        <v>53</v>
      </c>
      <c r="E41" s="272"/>
      <c r="F41" s="273"/>
      <c r="G41" s="144" t="s">
        <v>34</v>
      </c>
      <c r="H41" s="271" t="s">
        <v>54</v>
      </c>
      <c r="I41" s="272"/>
      <c r="J41" s="273"/>
    </row>
    <row r="42" spans="4:10" ht="6" customHeight="1" x14ac:dyDescent="0.35">
      <c r="D42" s="80"/>
      <c r="E42" s="80"/>
      <c r="F42" s="80"/>
      <c r="G42" s="145"/>
      <c r="H42" s="80"/>
      <c r="I42" s="80"/>
      <c r="J42" s="80"/>
    </row>
    <row r="43" spans="4:10" x14ac:dyDescent="0.3">
      <c r="G43" s="144" t="s">
        <v>34</v>
      </c>
    </row>
  </sheetData>
  <mergeCells count="34">
    <mergeCell ref="D18:F18"/>
    <mergeCell ref="H18:J18"/>
    <mergeCell ref="D20:J20"/>
    <mergeCell ref="D36:J36"/>
    <mergeCell ref="H32:J32"/>
    <mergeCell ref="H26:J26"/>
    <mergeCell ref="D32:F32"/>
    <mergeCell ref="D34:F34"/>
    <mergeCell ref="H34:J34"/>
    <mergeCell ref="D30:F30"/>
    <mergeCell ref="H30:J30"/>
    <mergeCell ref="D28:J28"/>
    <mergeCell ref="D26:F26"/>
    <mergeCell ref="C1:K1"/>
    <mergeCell ref="C2:K2"/>
    <mergeCell ref="C3:K3"/>
    <mergeCell ref="C4:K4"/>
    <mergeCell ref="C5:K5"/>
    <mergeCell ref="D12:J12"/>
    <mergeCell ref="D14:F14"/>
    <mergeCell ref="H14:J14"/>
    <mergeCell ref="H40:J40"/>
    <mergeCell ref="H41:J41"/>
    <mergeCell ref="D41:F41"/>
    <mergeCell ref="D40:F40"/>
    <mergeCell ref="D38:J38"/>
    <mergeCell ref="D39:F39"/>
    <mergeCell ref="H39:J39"/>
    <mergeCell ref="D16:F16"/>
    <mergeCell ref="H16:J16"/>
    <mergeCell ref="D24:F24"/>
    <mergeCell ref="H24:J24"/>
    <mergeCell ref="D22:F22"/>
    <mergeCell ref="H22:J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7"/>
  <sheetViews>
    <sheetView view="pageBreakPreview" topLeftCell="A44" zoomScaleNormal="100" zoomScaleSheetLayoutView="100" workbookViewId="0">
      <selection activeCell="A65" sqref="A65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16" s="3" customFormat="1" ht="60" customHeight="1" x14ac:dyDescent="0.3">
      <c r="A1" s="315" t="e">
        <f>+'GRUPOS PRE JUVENIL'!B1:J1</f>
        <v>#VALUE!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</row>
    <row r="2" spans="1:16" s="3" customFormat="1" ht="45" customHeight="1" thickBot="1" x14ac:dyDescent="0.35">
      <c r="A2" s="316" t="s">
        <v>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</row>
    <row r="3" spans="1:16" s="3" customFormat="1" ht="25.5" customHeight="1" x14ac:dyDescent="0.3">
      <c r="D3" s="324">
        <f>+'GRUPOS PRE JUVENIL'!C6</f>
        <v>0</v>
      </c>
      <c r="E3" s="325"/>
      <c r="F3" s="325"/>
      <c r="G3" s="325"/>
      <c r="H3" s="326"/>
      <c r="I3" s="71"/>
      <c r="J3" s="71"/>
      <c r="L3" s="317"/>
      <c r="M3" s="317"/>
    </row>
    <row r="4" spans="1:16" s="3" customFormat="1" ht="37.5" customHeight="1" x14ac:dyDescent="0.3">
      <c r="D4" s="327">
        <f>+'GRUPOS PRE JUVENIL'!C7</f>
        <v>0</v>
      </c>
      <c r="E4" s="328"/>
      <c r="F4" s="328"/>
      <c r="G4" s="328"/>
      <c r="H4" s="329"/>
      <c r="I4" s="72"/>
      <c r="J4" s="72"/>
      <c r="L4" s="317"/>
      <c r="M4" s="317"/>
    </row>
    <row r="5" spans="1:16" s="3" customFormat="1" ht="37.5" customHeight="1" x14ac:dyDescent="0.3">
      <c r="D5" s="327">
        <f>+'GRUPOS PRE JUVENIL'!C8</f>
        <v>0</v>
      </c>
      <c r="E5" s="328"/>
      <c r="F5" s="328"/>
      <c r="G5" s="328"/>
      <c r="H5" s="329"/>
      <c r="I5" s="72"/>
      <c r="J5" s="72"/>
      <c r="L5" s="317"/>
      <c r="M5" s="317"/>
    </row>
    <row r="6" spans="1:16" s="3" customFormat="1" ht="37.5" customHeight="1" x14ac:dyDescent="0.3">
      <c r="D6" s="327">
        <f>+'GRUPOS PRE JUVENIL'!C9</f>
        <v>0</v>
      </c>
      <c r="E6" s="328"/>
      <c r="F6" s="328"/>
      <c r="G6" s="328"/>
      <c r="H6" s="329"/>
      <c r="I6" s="72"/>
      <c r="J6" s="72"/>
    </row>
    <row r="7" spans="1:16" s="3" customFormat="1" ht="38.25" customHeight="1" x14ac:dyDescent="0.3">
      <c r="D7" s="327">
        <f>+'GRUPOS PRE JUVENIL'!C10</f>
        <v>0</v>
      </c>
      <c r="E7" s="328"/>
      <c r="F7" s="328"/>
      <c r="G7" s="328"/>
      <c r="H7" s="329"/>
      <c r="I7" s="72"/>
      <c r="J7" s="72"/>
    </row>
    <row r="8" spans="1:16" s="3" customFormat="1" ht="37.5" customHeight="1" thickBot="1" x14ac:dyDescent="0.35">
      <c r="D8" s="320">
        <f>+'GRUPOS PRE JUVENIL'!C11</f>
        <v>0</v>
      </c>
      <c r="E8" s="321"/>
      <c r="F8" s="321"/>
      <c r="G8" s="321"/>
      <c r="H8" s="322"/>
      <c r="I8" s="72"/>
      <c r="J8" s="72"/>
    </row>
    <row r="9" spans="1:16" s="3" customFormat="1" ht="17.25" customHeight="1" x14ac:dyDescent="0.3"/>
    <row r="10" spans="1:16" s="3" customFormat="1" ht="24" customHeight="1" x14ac:dyDescent="0.55000000000000004">
      <c r="B10" s="45" t="str">
        <f>+'GRUPOS PRE JUVENIL'!D3</f>
        <v>5 Y 6 ABRIL 2025</v>
      </c>
    </row>
    <row r="11" spans="1:16" s="3" customFormat="1" ht="21" x14ac:dyDescent="0.4">
      <c r="B11" s="59" t="str">
        <f>+'GRUPOS PRE JUVENIL'!D4</f>
        <v>NACIDOS 2013 2014</v>
      </c>
    </row>
    <row r="12" spans="1:16" s="3" customFormat="1" ht="37.5" customHeight="1" x14ac:dyDescent="0.3">
      <c r="A12" s="318" t="e">
        <f>+#REF!</f>
        <v>#REF!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</row>
    <row r="13" spans="1:16" s="3" customFormat="1" ht="15" customHeight="1" x14ac:dyDescent="0.3">
      <c r="A13" s="319"/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</row>
    <row r="14" spans="1:16" ht="23.4" x14ac:dyDescent="0.3">
      <c r="A14" s="298" t="s">
        <v>37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3"/>
      <c r="O14" s="3"/>
      <c r="P14" s="3"/>
    </row>
    <row r="15" spans="1:16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39</v>
      </c>
    </row>
    <row r="16" spans="1:16" ht="30" customHeight="1" x14ac:dyDescent="0.35">
      <c r="A16" s="54" t="e">
        <f>+#REF!</f>
        <v>#REF!</v>
      </c>
      <c r="B16" s="55" t="e">
        <f>+#REF!</f>
        <v>#REF!</v>
      </c>
      <c r="C16" s="323" t="e">
        <f>+#REF!</f>
        <v>#REF!</v>
      </c>
      <c r="D16" s="323"/>
      <c r="E16" s="62" t="e">
        <f>IF(AND(F16&lt;&gt;"",H16&lt;&gt;""),IF(F16=H16,"E",IF(F16&gt;H16,"G","P")),"")</f>
        <v>#REF!</v>
      </c>
      <c r="F16" s="120">
        <v>1</v>
      </c>
      <c r="G16" s="78" t="s">
        <v>12</v>
      </c>
      <c r="H16" s="120" t="e">
        <f>+#REF!</f>
        <v>#REF!</v>
      </c>
      <c r="I16" s="62" t="e">
        <f>IF(AND(H16&lt;&gt;"",F16&lt;&gt;""),IF(H16=F16,"E",IF(H16&gt;F16,"G","P")),"")</f>
        <v>#REF!</v>
      </c>
      <c r="J16" s="323" t="e">
        <f>+#REF!</f>
        <v>#REF!</v>
      </c>
      <c r="K16" s="323"/>
      <c r="L16" s="323"/>
      <c r="M16" s="56" t="e">
        <f>+#REF!</f>
        <v>#REF!</v>
      </c>
    </row>
    <row r="19" spans="1:13" s="3" customFormat="1" ht="30" customHeight="1" x14ac:dyDescent="0.35">
      <c r="A19" s="105" t="e">
        <f>+#REF!</f>
        <v>#REF!</v>
      </c>
      <c r="B19" s="106" t="e">
        <f>+#REF!</f>
        <v>#REF!</v>
      </c>
      <c r="C19" s="330" t="e">
        <f>+#REF!</f>
        <v>#REF!</v>
      </c>
      <c r="D19" s="330"/>
      <c r="E19" s="62" t="e">
        <f>IF(AND(F19&lt;&gt;"",H19&lt;&gt;""),IF(F19=H19,"E",IF(F19&gt;H19,"G","P")),"")</f>
        <v>#REF!</v>
      </c>
      <c r="F19" s="120" t="e">
        <f>+#REF!</f>
        <v>#REF!</v>
      </c>
      <c r="G19" s="78" t="s">
        <v>12</v>
      </c>
      <c r="H19" s="120" t="e">
        <f>+#REF!</f>
        <v>#REF!</v>
      </c>
      <c r="I19" s="62" t="e">
        <f>IF(AND(H19&lt;&gt;"",F19&lt;&gt;""),IF(H19=F19,"E",IF(H19&gt;F19,"G","P")),"")</f>
        <v>#REF!</v>
      </c>
      <c r="J19" s="330" t="e">
        <f>+#REF!</f>
        <v>#REF!</v>
      </c>
      <c r="K19" s="330"/>
      <c r="L19" s="330"/>
      <c r="M19" s="107" t="e">
        <f>+#REF!</f>
        <v>#REF!</v>
      </c>
    </row>
    <row r="20" spans="1:13" s="3" customFormat="1" ht="10.5" customHeight="1" x14ac:dyDescent="0.35">
      <c r="A20" s="74"/>
      <c r="B20" s="75"/>
      <c r="C20" s="76"/>
      <c r="D20" s="76"/>
      <c r="E20" s="84"/>
      <c r="F20" s="77"/>
      <c r="G20" s="78"/>
      <c r="H20" s="77"/>
      <c r="I20" s="84"/>
      <c r="J20" s="76"/>
      <c r="K20" s="76"/>
      <c r="L20" s="76"/>
      <c r="M20" s="79"/>
    </row>
    <row r="21" spans="1:13" s="3" customFormat="1" ht="30" customHeight="1" x14ac:dyDescent="0.35">
      <c r="A21" s="54" t="e">
        <f>+#REF!</f>
        <v>#REF!</v>
      </c>
      <c r="B21" s="55" t="e">
        <f>+#REF!</f>
        <v>#REF!</v>
      </c>
      <c r="C21" s="323" t="e">
        <f>+#REF!</f>
        <v>#REF!</v>
      </c>
      <c r="D21" s="323"/>
      <c r="E21" s="108" t="str">
        <f>IF(AND(F21&lt;&gt;"",H21&lt;&gt;""),IF(F21=H21,"E",IF(F21&gt;H21,"G","P")),"")</f>
        <v>E</v>
      </c>
      <c r="F21" s="120">
        <v>0</v>
      </c>
      <c r="G21" s="78" t="s">
        <v>12</v>
      </c>
      <c r="H21" s="120">
        <v>0</v>
      </c>
      <c r="I21" s="108" t="str">
        <f>IF(AND(H21&lt;&gt;"",F21&lt;&gt;""),IF(H21=F21,"E",IF(H21&gt;F21,"G","P")),"")</f>
        <v>E</v>
      </c>
      <c r="J21" s="323" t="e">
        <f>+#REF!</f>
        <v>#REF!</v>
      </c>
      <c r="K21" s="323"/>
      <c r="L21" s="323"/>
      <c r="M21" s="56" t="e">
        <f>+#REF!</f>
        <v>#REF!</v>
      </c>
    </row>
    <row r="22" spans="1:13" s="3" customFormat="1" ht="10.5" customHeight="1" x14ac:dyDescent="0.35">
      <c r="A22" s="73"/>
      <c r="B22" s="82"/>
      <c r="C22" s="82"/>
      <c r="D22" s="82"/>
    </row>
    <row r="23" spans="1:13" s="3" customFormat="1" ht="30" customHeight="1" x14ac:dyDescent="0.35">
      <c r="A23" s="105" t="e">
        <f>+#REF!</f>
        <v>#REF!</v>
      </c>
      <c r="B23" s="106" t="e">
        <f>+#REF!</f>
        <v>#REF!</v>
      </c>
      <c r="C23" s="330" t="e">
        <f>+#REF!</f>
        <v>#REF!</v>
      </c>
      <c r="D23" s="330"/>
      <c r="E23" s="84" t="e">
        <f>IF(AND(F23&lt;&gt;"",H23&lt;&gt;""),IF(F23=H23,"E",IF(F23&gt;H23,"G","P")),"")</f>
        <v>#REF!</v>
      </c>
      <c r="F23" s="120" t="e">
        <f>+#REF!</f>
        <v>#REF!</v>
      </c>
      <c r="G23" s="78" t="s">
        <v>12</v>
      </c>
      <c r="H23" s="110" t="e">
        <f>+#REF!</f>
        <v>#REF!</v>
      </c>
      <c r="I23" s="84" t="e">
        <f>IF(AND(H23&lt;&gt;"",F23&lt;&gt;""),IF(H23=F23,"E",IF(H23&gt;F23,"G","P")),"")</f>
        <v>#REF!</v>
      </c>
      <c r="J23" s="330" t="e">
        <f>+#REF!</f>
        <v>#REF!</v>
      </c>
      <c r="K23" s="330"/>
      <c r="L23" s="330"/>
      <c r="M23" s="107" t="e">
        <f>+#REF!</f>
        <v>#REF!</v>
      </c>
    </row>
    <row r="24" spans="1:13" s="3" customFormat="1" ht="10.5" customHeight="1" x14ac:dyDescent="0.35">
      <c r="A24" s="74"/>
      <c r="B24" s="75"/>
      <c r="C24" s="76"/>
      <c r="D24" s="76"/>
      <c r="E24" s="84"/>
      <c r="F24" s="77"/>
      <c r="G24" s="78"/>
      <c r="H24" s="121"/>
      <c r="I24" s="84"/>
      <c r="J24" s="76"/>
      <c r="K24" s="76"/>
      <c r="L24" s="76"/>
      <c r="M24" s="79"/>
    </row>
    <row r="25" spans="1:13" s="3" customFormat="1" ht="30" customHeight="1" x14ac:dyDescent="0.35">
      <c r="A25" s="54" t="e">
        <f>+#REF!</f>
        <v>#REF!</v>
      </c>
      <c r="B25" s="55" t="e">
        <f>+#REF!</f>
        <v>#REF!</v>
      </c>
      <c r="C25" s="323" t="e">
        <f>+#REF!</f>
        <v>#REF!</v>
      </c>
      <c r="D25" s="323"/>
      <c r="E25" s="108" t="e">
        <f>IF(AND(F25&lt;&gt;"",H25&lt;&gt;""),IF(F25=H25,"E",IF(F25&gt;H25,"G","P")),"")</f>
        <v>#REF!</v>
      </c>
      <c r="F25" s="120" t="e">
        <f>+#REF!</f>
        <v>#REF!</v>
      </c>
      <c r="G25" s="78" t="s">
        <v>12</v>
      </c>
      <c r="H25" s="120" t="e">
        <f>+#REF!</f>
        <v>#REF!</v>
      </c>
      <c r="I25" s="108" t="e">
        <f>IF(AND(H25&lt;&gt;"",F25&lt;&gt;""),IF(H25=F25,"E",IF(H25&gt;F25,"G","P")),"")</f>
        <v>#REF!</v>
      </c>
      <c r="J25" s="331" t="e">
        <f>+#REF!</f>
        <v>#REF!</v>
      </c>
      <c r="K25" s="331"/>
      <c r="L25" s="331"/>
      <c r="M25" s="56" t="e">
        <f>+#REF!</f>
        <v>#REF!</v>
      </c>
    </row>
    <row r="26" spans="1:13" s="3" customFormat="1" ht="21" customHeight="1" x14ac:dyDescent="0.35">
      <c r="A26" s="74"/>
      <c r="B26" s="75"/>
      <c r="C26" s="76"/>
      <c r="D26" s="76"/>
      <c r="E26" s="84"/>
      <c r="F26" s="77"/>
      <c r="G26" s="78"/>
      <c r="H26" s="77"/>
      <c r="I26" s="84"/>
      <c r="J26" s="79"/>
      <c r="K26" s="79"/>
      <c r="L26" s="79"/>
      <c r="M26" s="79"/>
    </row>
    <row r="27" spans="1:13" s="3" customFormat="1" ht="21" customHeight="1" thickBot="1" x14ac:dyDescent="0.4">
      <c r="A27" s="74"/>
      <c r="B27" s="75"/>
      <c r="C27" s="76"/>
      <c r="D27" s="76"/>
      <c r="E27" s="84"/>
      <c r="F27" s="77"/>
      <c r="G27" s="78"/>
      <c r="H27" s="77"/>
      <c r="I27" s="84"/>
      <c r="J27" s="76"/>
      <c r="K27" s="95"/>
      <c r="L27" s="95"/>
      <c r="M27" s="79"/>
    </row>
    <row r="28" spans="1:13" s="3" customFormat="1" ht="25.5" customHeight="1" thickBot="1" x14ac:dyDescent="0.4">
      <c r="A28" s="74"/>
      <c r="B28" s="75"/>
      <c r="C28" s="76"/>
      <c r="D28" s="332" t="str">
        <f>+'GRUPOS PRE JUVENIL'!E6</f>
        <v>GRUPO A</v>
      </c>
      <c r="E28" s="333"/>
      <c r="F28" s="333"/>
      <c r="G28" s="333"/>
      <c r="H28" s="334"/>
      <c r="I28" s="84"/>
      <c r="J28" s="76"/>
      <c r="K28" s="95"/>
      <c r="L28" s="95"/>
      <c r="M28" s="79"/>
    </row>
    <row r="29" spans="1:13" s="3" customFormat="1" ht="25.5" customHeight="1" thickBot="1" x14ac:dyDescent="0.35">
      <c r="A29" s="74"/>
      <c r="B29" s="75"/>
      <c r="C29" s="76"/>
      <c r="D29" s="337" t="str">
        <f>+'GRUPOS PRE JUVENIL'!E7</f>
        <v>SPORTLAND LA MESA</v>
      </c>
      <c r="E29" s="338"/>
      <c r="F29" s="338"/>
      <c r="G29" s="338"/>
      <c r="H29" s="339"/>
    </row>
    <row r="30" spans="1:13" s="3" customFormat="1" ht="37.5" customHeight="1" thickBot="1" x14ac:dyDescent="0.35">
      <c r="A30" s="74"/>
      <c r="B30" s="75"/>
      <c r="C30" s="76"/>
      <c r="D30" s="337" t="str">
        <f>+'GRUPOS PRE JUVENIL'!E8</f>
        <v>CLUB DEPORTIVO  
YIYO MUZO F. C.</v>
      </c>
      <c r="E30" s="338"/>
      <c r="F30" s="338"/>
      <c r="G30" s="338"/>
      <c r="H30" s="339"/>
    </row>
    <row r="31" spans="1:13" s="3" customFormat="1" ht="37.5" customHeight="1" thickBot="1" x14ac:dyDescent="0.35">
      <c r="A31" s="74"/>
      <c r="B31" s="75"/>
      <c r="C31" s="76"/>
      <c r="D31" s="337" t="str">
        <f>+'GRUPOS PRE JUVENIL'!E9</f>
        <v>CLUB LA REAL</v>
      </c>
      <c r="E31" s="338"/>
      <c r="F31" s="338"/>
      <c r="G31" s="338"/>
      <c r="H31" s="339"/>
    </row>
    <row r="32" spans="1:13" s="3" customFormat="1" ht="37.5" customHeight="1" thickBot="1" x14ac:dyDescent="0.35">
      <c r="A32" s="74"/>
      <c r="B32" s="75"/>
      <c r="C32" s="76"/>
      <c r="D32" s="337" t="e">
        <f>+'GRUPOS PRE JUVENIL'!#REF!</f>
        <v>#REF!</v>
      </c>
      <c r="E32" s="338"/>
      <c r="F32" s="338"/>
      <c r="G32" s="338"/>
      <c r="H32" s="339"/>
    </row>
    <row r="33" spans="1:13" s="3" customFormat="1" ht="37.5" customHeight="1" x14ac:dyDescent="0.3">
      <c r="A33" s="74"/>
      <c r="B33" s="75"/>
      <c r="C33" s="76"/>
      <c r="D33" s="337" t="e">
        <f>+'GRUPOS PRE JUVENIL'!#REF!</f>
        <v>#REF!</v>
      </c>
      <c r="E33" s="338"/>
      <c r="F33" s="338"/>
      <c r="G33" s="338"/>
      <c r="H33" s="339"/>
    </row>
    <row r="34" spans="1:13" s="3" customFormat="1" ht="15" customHeight="1" x14ac:dyDescent="0.3">
      <c r="A34" s="74"/>
      <c r="B34" s="75"/>
      <c r="C34" s="76"/>
      <c r="D34" s="118"/>
      <c r="E34" s="118"/>
      <c r="F34" s="118"/>
      <c r="G34" s="118"/>
      <c r="H34" s="118"/>
    </row>
    <row r="35" spans="1:13" s="3" customFormat="1" ht="37.5" customHeight="1" x14ac:dyDescent="0.3">
      <c r="A35" s="335" t="str">
        <f>+'GRUPOS PRE JUVENIL'!E6</f>
        <v>GRUPO A</v>
      </c>
      <c r="B35" s="335"/>
      <c r="C35" s="335"/>
      <c r="D35" s="335"/>
      <c r="E35" s="335"/>
      <c r="F35" s="335"/>
      <c r="G35" s="335"/>
      <c r="H35" s="335"/>
      <c r="I35" s="335"/>
      <c r="J35" s="335"/>
      <c r="K35" s="335"/>
      <c r="L35" s="335"/>
      <c r="M35" s="335"/>
    </row>
    <row r="36" spans="1:13" s="3" customFormat="1" ht="15" customHeight="1" x14ac:dyDescent="0.3">
      <c r="A36" s="336"/>
      <c r="B36" s="336"/>
      <c r="C36" s="336"/>
      <c r="D36" s="336"/>
      <c r="E36" s="336"/>
      <c r="F36" s="336"/>
      <c r="G36" s="336"/>
      <c r="H36" s="336"/>
      <c r="I36" s="336"/>
      <c r="J36" s="336"/>
      <c r="K36" s="336"/>
      <c r="L36" s="336"/>
      <c r="M36" s="336"/>
    </row>
    <row r="37" spans="1:13" s="3" customFormat="1" ht="15" customHeight="1" x14ac:dyDescent="0.3">
      <c r="A37" s="298" t="s">
        <v>37</v>
      </c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</row>
    <row r="38" spans="1:13" s="3" customFormat="1" ht="15" customHeight="1" x14ac:dyDescent="0.3"/>
    <row r="39" spans="1:13" s="3" customFormat="1" ht="30" customHeight="1" x14ac:dyDescent="0.35">
      <c r="A39" s="105">
        <f>+'GRUPO A'!B14</f>
        <v>42811</v>
      </c>
      <c r="B39" s="106" t="e">
        <f>+#REF!</f>
        <v>#REF!</v>
      </c>
      <c r="C39" s="330" t="str">
        <f>+'GRUPO A'!E14</f>
        <v>CLUB LA REAL</v>
      </c>
      <c r="D39" s="330"/>
      <c r="E39" s="84" t="str">
        <f>IF(AND(F39&lt;&gt;"",H39&lt;&gt;""),IF(F39=H39,"E",IF(F39&gt;H39,"G","P")),"")</f>
        <v>E</v>
      </c>
      <c r="F39" s="120">
        <f>+'GRUPO A'!G14</f>
        <v>0</v>
      </c>
      <c r="G39" s="78" t="s">
        <v>12</v>
      </c>
      <c r="H39" s="120">
        <f>+'GRUPO A'!I14</f>
        <v>0</v>
      </c>
      <c r="I39" s="84" t="str">
        <f>IF(AND(H39&lt;&gt;"",F39&lt;&gt;""),IF(H39=F39,"E",IF(H39&gt;F39,"G","P")),"")</f>
        <v>E</v>
      </c>
      <c r="J39" s="330" t="str">
        <f>+'GRUPO A'!K14</f>
        <v>ACADEMIA COOFISAM</v>
      </c>
      <c r="K39" s="330"/>
      <c r="L39" s="330"/>
      <c r="M39" s="107" t="str">
        <f>+'GRUPO A'!M14</f>
        <v>CANCHA 1 C</v>
      </c>
    </row>
    <row r="40" spans="1:13" s="3" customFormat="1" ht="10.5" customHeight="1" x14ac:dyDescent="0.3"/>
    <row r="41" spans="1:13" s="3" customFormat="1" ht="30" customHeight="1" x14ac:dyDescent="0.35">
      <c r="A41" s="54">
        <f>+'GRUPO A'!B8</f>
        <v>42811</v>
      </c>
      <c r="B41" s="55" t="str">
        <f>+'GRUPO A'!C8</f>
        <v>04:55. p.m.</v>
      </c>
      <c r="C41" s="323" t="str">
        <f>+'GRUPO A'!E8</f>
        <v>SPORTLAND LA MESA</v>
      </c>
      <c r="D41" s="323"/>
      <c r="E41" s="108" t="str">
        <f>IF(AND(F41&lt;&gt;"",H41&lt;&gt;""),IF(F41=H41,"E",IF(F41&gt;H41,"G","P")),"")</f>
        <v>E</v>
      </c>
      <c r="F41" s="120">
        <f>+'GRUPO A'!G8</f>
        <v>0</v>
      </c>
      <c r="G41" s="78" t="s">
        <v>12</v>
      </c>
      <c r="H41" s="120">
        <f>+'GRUPO A'!I8</f>
        <v>0</v>
      </c>
      <c r="I41" s="108" t="str">
        <f>IF(AND(H41&lt;&gt;"",F41&lt;&gt;""),IF(H41=F41,"E",IF(H41&gt;F41,"G","P")),"")</f>
        <v>E</v>
      </c>
      <c r="J41" s="323" t="str">
        <f>+'GRUPO A'!K8</f>
        <v>INTER 
 SADI F. C.</v>
      </c>
      <c r="K41" s="323"/>
      <c r="L41" s="323"/>
      <c r="M41" s="56" t="str">
        <f>+'GRUPO A'!M8</f>
        <v>CANCHA 1 A</v>
      </c>
    </row>
    <row r="42" spans="1:13" s="3" customFormat="1" ht="10.5" customHeight="1" x14ac:dyDescent="0.35">
      <c r="A42" s="74"/>
      <c r="B42" s="75"/>
      <c r="C42" s="76"/>
      <c r="D42" s="76"/>
      <c r="E42" s="84"/>
      <c r="F42" s="77"/>
      <c r="G42" s="78"/>
      <c r="H42" s="77"/>
      <c r="I42" s="84"/>
      <c r="J42" s="76"/>
      <c r="K42" s="76"/>
      <c r="L42" s="76"/>
      <c r="M42" s="79"/>
    </row>
    <row r="43" spans="1:13" s="3" customFormat="1" ht="30" customHeight="1" x14ac:dyDescent="0.35">
      <c r="A43" s="105">
        <f>+'GRUPO A'!B11</f>
        <v>42811</v>
      </c>
      <c r="B43" s="106" t="str">
        <f>+'GRUPO A'!C11</f>
        <v>04:55. p.m.</v>
      </c>
      <c r="C43" s="330" t="str">
        <f>+'GRUPO A'!E11</f>
        <v>CLUB DEPORTIVO  
YIYO MUZO F. C.</v>
      </c>
      <c r="D43" s="330"/>
      <c r="E43" s="62" t="str">
        <f>IF(AND(F43&lt;&gt;"",H43&lt;&gt;""),IF(F43=H43,"E",IF(F43&gt;H43,"G","P")),"")</f>
        <v>E</v>
      </c>
      <c r="F43" s="120">
        <f>+'GRUPO A'!G11</f>
        <v>0</v>
      </c>
      <c r="G43" s="78" t="s">
        <v>12</v>
      </c>
      <c r="H43" s="120">
        <f>+'GRUPO A'!I11</f>
        <v>0</v>
      </c>
      <c r="I43" s="62" t="str">
        <f>IF(AND(H43&lt;&gt;"",F43&lt;&gt;""),IF(H43=F43,"E",IF(H43&gt;F43,"G","P")),"")</f>
        <v>E</v>
      </c>
      <c r="J43" s="330" t="str">
        <f>+'GRUPO A'!K11</f>
        <v>ATHLETIC MELGAR</v>
      </c>
      <c r="K43" s="330"/>
      <c r="L43" s="330"/>
      <c r="M43" s="107" t="str">
        <f>+'GRUPO A'!M11</f>
        <v>CANCHA 1 B</v>
      </c>
    </row>
    <row r="44" spans="1:13" s="3" customFormat="1" ht="10.5" customHeight="1" x14ac:dyDescent="0.35">
      <c r="A44" s="73"/>
      <c r="B44" s="82"/>
      <c r="C44" s="82"/>
      <c r="D44" s="82"/>
    </row>
    <row r="45" spans="1:13" s="3" customFormat="1" ht="30" customHeight="1" x14ac:dyDescent="0.35">
      <c r="A45" s="54">
        <f>+'GRUPO A'!B17</f>
        <v>42813</v>
      </c>
      <c r="B45" s="55" t="str">
        <f>+'GRUPO A'!C20</f>
        <v>08:40. a.m.</v>
      </c>
      <c r="C45" s="323" t="str">
        <f>+'GRUPO A'!E20</f>
        <v>CLUB LA REAL</v>
      </c>
      <c r="D45" s="323"/>
      <c r="E45" s="62" t="str">
        <f>IF(AND(F45&lt;&gt;"",H45&lt;&gt;""),IF(F45=H45,"E",IF(F45&gt;H45,"G","P")),"")</f>
        <v>E</v>
      </c>
      <c r="F45" s="120">
        <f>+'GRUPO A'!G20</f>
        <v>0</v>
      </c>
      <c r="G45" s="78" t="s">
        <v>12</v>
      </c>
      <c r="H45" s="120">
        <f>+'GRUPO A'!I20</f>
        <v>0</v>
      </c>
      <c r="I45" s="62" t="str">
        <f>IF(AND(H45&lt;&gt;"",F45&lt;&gt;""),IF(H45=F45,"E",IF(H45&gt;F45,"G","P")),"")</f>
        <v>E</v>
      </c>
      <c r="J45" s="323" t="str">
        <f>+'GRUPO A'!K20</f>
        <v>ATHLETIC MELGAR</v>
      </c>
      <c r="K45" s="323"/>
      <c r="L45" s="323"/>
      <c r="M45" s="56" t="str">
        <f>+'GRUPO A'!M20</f>
        <v>CANCHA 1 A</v>
      </c>
    </row>
    <row r="46" spans="1:13" s="3" customFormat="1" ht="10.5" customHeight="1" x14ac:dyDescent="0.35">
      <c r="A46" s="74"/>
      <c r="B46" s="75"/>
      <c r="C46" s="76"/>
      <c r="D46" s="76"/>
      <c r="E46" s="84"/>
      <c r="F46" s="77"/>
      <c r="G46" s="78"/>
      <c r="H46" s="77"/>
      <c r="I46" s="84"/>
      <c r="J46" s="76"/>
      <c r="K46" s="76"/>
      <c r="L46" s="76"/>
      <c r="M46" s="79"/>
    </row>
    <row r="47" spans="1:13" s="3" customFormat="1" ht="30" customHeight="1" x14ac:dyDescent="0.35">
      <c r="A47" s="105">
        <f>+'GRUPO A'!B26</f>
        <v>42812</v>
      </c>
      <c r="B47" s="106" t="str">
        <f>+'GRUPO A'!C26</f>
        <v>07:00. a.m.</v>
      </c>
      <c r="C47" s="330" t="str">
        <f>+'GRUPO A'!E17</f>
        <v>SPORTLAND LA MESA</v>
      </c>
      <c r="D47" s="330"/>
      <c r="E47" s="85" t="str">
        <f>IF(AND(F47&lt;&gt;"",H47&lt;&gt;""),IF(F47=H47,"E",IF(F47&gt;H47,"G","P")),"")</f>
        <v>E</v>
      </c>
      <c r="F47" s="120">
        <f>+'GRUPO A'!G17</f>
        <v>0</v>
      </c>
      <c r="G47" s="78" t="s">
        <v>12</v>
      </c>
      <c r="H47" s="120">
        <f>+'GRUPO A'!I17</f>
        <v>0</v>
      </c>
      <c r="I47" s="85" t="str">
        <f>IF(AND(H47&lt;&gt;"",F47&lt;&gt;""),IF(H47=F47,"E",IF(H47&gt;F47,"G","P")),"")</f>
        <v>E</v>
      </c>
      <c r="J47" s="330" t="str">
        <f>+'GRUPO A'!K17</f>
        <v>CLUB DEPORTIVO  
YIYO MUZO F. C.</v>
      </c>
      <c r="K47" s="330"/>
      <c r="L47" s="330"/>
      <c r="M47" s="107" t="str">
        <f>+'GRUPO A'!M17</f>
        <v>CANCHA 1 A</v>
      </c>
    </row>
    <row r="49" spans="1:13" s="3" customFormat="1" x14ac:dyDescent="0.3">
      <c r="A49" s="312" t="s">
        <v>35</v>
      </c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</row>
    <row r="50" spans="1:13" s="3" customFormat="1" x14ac:dyDescent="0.3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</row>
    <row r="51" spans="1:13" s="3" customFormat="1" x14ac:dyDescent="0.3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</row>
    <row r="52" spans="1:13" s="3" customFormat="1" x14ac:dyDescent="0.3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</row>
    <row r="53" spans="1:13" s="3" customFormat="1" x14ac:dyDescent="0.3"/>
    <row r="54" spans="1:13" s="3" customFormat="1" x14ac:dyDescent="0.3">
      <c r="A54" s="313" t="s">
        <v>25</v>
      </c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</row>
    <row r="55" spans="1:13" s="3" customFormat="1" x14ac:dyDescent="0.3">
      <c r="A55" s="313" t="s">
        <v>26</v>
      </c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</row>
    <row r="56" spans="1:13" s="3" customFormat="1" x14ac:dyDescent="0.3">
      <c r="A56" s="314" t="s">
        <v>27</v>
      </c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</row>
    <row r="57" spans="1:13" s="3" customFormat="1" x14ac:dyDescent="0.3">
      <c r="A57" s="313" t="s">
        <v>28</v>
      </c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</row>
  </sheetData>
  <mergeCells count="44">
    <mergeCell ref="D28:H28"/>
    <mergeCell ref="A35:M36"/>
    <mergeCell ref="J23:L23"/>
    <mergeCell ref="C25:D25"/>
    <mergeCell ref="D33:H33"/>
    <mergeCell ref="D29:H29"/>
    <mergeCell ref="D30:H30"/>
    <mergeCell ref="D31:H31"/>
    <mergeCell ref="D32:H32"/>
    <mergeCell ref="J47:L47"/>
    <mergeCell ref="C23:D23"/>
    <mergeCell ref="C16:D16"/>
    <mergeCell ref="A37:M37"/>
    <mergeCell ref="C39:D39"/>
    <mergeCell ref="J39:L39"/>
    <mergeCell ref="C41:D41"/>
    <mergeCell ref="J41:L41"/>
    <mergeCell ref="C43:D43"/>
    <mergeCell ref="J43:L43"/>
    <mergeCell ref="C45:D45"/>
    <mergeCell ref="J45:L45"/>
    <mergeCell ref="C47:D47"/>
    <mergeCell ref="C19:D19"/>
    <mergeCell ref="J19:L19"/>
    <mergeCell ref="J25:L25"/>
    <mergeCell ref="C21:D21"/>
    <mergeCell ref="J21:L21"/>
    <mergeCell ref="D3:H3"/>
    <mergeCell ref="D4:H4"/>
    <mergeCell ref="D5:H5"/>
    <mergeCell ref="D6:H6"/>
    <mergeCell ref="D7:H7"/>
    <mergeCell ref="J16:L16"/>
    <mergeCell ref="A1:M1"/>
    <mergeCell ref="A2:M2"/>
    <mergeCell ref="L3:M5"/>
    <mergeCell ref="A12:M13"/>
    <mergeCell ref="A14:M14"/>
    <mergeCell ref="D8:H8"/>
    <mergeCell ref="A49:M52"/>
    <mergeCell ref="A54:M54"/>
    <mergeCell ref="A55:M55"/>
    <mergeCell ref="A56:M56"/>
    <mergeCell ref="A57:M57"/>
  </mergeCells>
  <conditionalFormatting sqref="F16">
    <cfRule type="expression" dxfId="134" priority="99" stopIfTrue="1">
      <formula>E16="G"</formula>
    </cfRule>
    <cfRule type="expression" dxfId="133" priority="98" stopIfTrue="1">
      <formula>E16="E"</formula>
    </cfRule>
    <cfRule type="expression" dxfId="132" priority="97" stopIfTrue="1">
      <formula>E16="P"</formula>
    </cfRule>
  </conditionalFormatting>
  <conditionalFormatting sqref="F19">
    <cfRule type="expression" dxfId="131" priority="51" stopIfTrue="1">
      <formula>E19="G"</formula>
    </cfRule>
    <cfRule type="expression" dxfId="130" priority="50" stopIfTrue="1">
      <formula>E19="E"</formula>
    </cfRule>
    <cfRule type="expression" dxfId="129" priority="49" stopIfTrue="1">
      <formula>E19="P"</formula>
    </cfRule>
  </conditionalFormatting>
  <conditionalFormatting sqref="F21">
    <cfRule type="expression" dxfId="125" priority="48" stopIfTrue="1">
      <formula>E21="G"</formula>
    </cfRule>
    <cfRule type="expression" dxfId="124" priority="47" stopIfTrue="1">
      <formula>E21="E"</formula>
    </cfRule>
    <cfRule type="expression" dxfId="123" priority="46" stopIfTrue="1">
      <formula>E21="P"</formula>
    </cfRule>
  </conditionalFormatting>
  <conditionalFormatting sqref="F23">
    <cfRule type="expression" dxfId="122" priority="43" stopIfTrue="1">
      <formula>E23="P"</formula>
    </cfRule>
    <cfRule type="expression" dxfId="121" priority="44" stopIfTrue="1">
      <formula>E23="E"</formula>
    </cfRule>
    <cfRule type="expression" dxfId="120" priority="45" stopIfTrue="1">
      <formula>E23="G"</formula>
    </cfRule>
  </conditionalFormatting>
  <conditionalFormatting sqref="F24">
    <cfRule type="expression" dxfId="119" priority="148" stopIfTrue="1">
      <formula>E20="P"</formula>
    </cfRule>
    <cfRule type="expression" dxfId="118" priority="149" stopIfTrue="1">
      <formula>E20="E"</formula>
    </cfRule>
    <cfRule type="expression" dxfId="117" priority="150" stopIfTrue="1">
      <formula>E20="G"</formula>
    </cfRule>
  </conditionalFormatting>
  <conditionalFormatting sqref="F39">
    <cfRule type="expression" dxfId="110" priority="30" stopIfTrue="1">
      <formula>E39="G"</formula>
    </cfRule>
    <cfRule type="expression" dxfId="109" priority="29" stopIfTrue="1">
      <formula>E39="E"</formula>
    </cfRule>
    <cfRule type="expression" dxfId="108" priority="28" stopIfTrue="1">
      <formula>E39="P"</formula>
    </cfRule>
  </conditionalFormatting>
  <conditionalFormatting sqref="F41">
    <cfRule type="expression" dxfId="107" priority="7" stopIfTrue="1">
      <formula>E41="P"</formula>
    </cfRule>
    <cfRule type="expression" dxfId="106" priority="8" stopIfTrue="1">
      <formula>E41="E"</formula>
    </cfRule>
    <cfRule type="expression" dxfId="105" priority="9" stopIfTrue="1">
      <formula>E41="G"</formula>
    </cfRule>
  </conditionalFormatting>
  <conditionalFormatting sqref="F43">
    <cfRule type="expression" dxfId="101" priority="6" stopIfTrue="1">
      <formula>E43="G"</formula>
    </cfRule>
    <cfRule type="expression" dxfId="100" priority="4" stopIfTrue="1">
      <formula>E43="P"</formula>
    </cfRule>
    <cfRule type="expression" dxfId="99" priority="5" stopIfTrue="1">
      <formula>E43="E"</formula>
    </cfRule>
  </conditionalFormatting>
  <conditionalFormatting sqref="F45">
    <cfRule type="expression" dxfId="98" priority="2" stopIfTrue="1">
      <formula>E45="E"</formula>
    </cfRule>
    <cfRule type="expression" dxfId="97" priority="3" stopIfTrue="1">
      <formula>E45="G"</formula>
    </cfRule>
    <cfRule type="expression" dxfId="96" priority="1" stopIfTrue="1">
      <formula>E45="P"</formula>
    </cfRule>
  </conditionalFormatting>
  <conditionalFormatting sqref="F46">
    <cfRule type="expression" dxfId="95" priority="33" stopIfTrue="1">
      <formula>E42="G"</formula>
    </cfRule>
    <cfRule type="expression" dxfId="94" priority="32" stopIfTrue="1">
      <formula>E42="E"</formula>
    </cfRule>
    <cfRule type="expression" dxfId="93" priority="31" stopIfTrue="1">
      <formula>E42="P"</formula>
    </cfRule>
  </conditionalFormatting>
  <hyperlinks>
    <hyperlink ref="A56" r:id="rId1" display="mailto:soccermelgar@outlook.com" xr:uid="{00000000-0004-0000-08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7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7" stopIfTrue="1" id="{6533C454-203B-47F5-836F-5932AFE217A6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9" stopIfTrue="1" id="{8C673943-521E-4679-AE55-8D07E2EE1BBF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8" stopIfTrue="1" id="{43B88782-06CB-4AAB-ADE6-3AD7C135A09C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61" stopIfTrue="1" id="{22A1035D-4FC6-43A0-8519-6E24BAB0C6D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2" stopIfTrue="1" id="{1006E0D9-2932-4B56-B283-55F78671FAA9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3" stopIfTrue="1" id="{7C179383-A6C4-4687-9B55-00832184F10A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364" stopIfTrue="1" id="{22A1035D-4FC6-43A0-8519-6E24BAB0C6DC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5" stopIfTrue="1" id="{1006E0D9-2932-4B56-B283-55F78671FAA9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6" stopIfTrue="1" id="{7C179383-A6C4-4687-9B55-00832184F10A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expression" priority="24" stopIfTrue="1" id="{B99B2FAB-72C7-4760-B86F-4ADCB6B545B1}">
            <xm:f>'IMPRIMIR (C-D) 1-2.'!E61="G"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F662B788-A108-48A4-AC07-A445A4EE9065}">
            <xm:f>'IMPRIMIR (C-D) 1-2.'!E61="E"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202261CB-9EAA-431A-89FA-A02F10FF4F29}">
            <xm:f>'IMPRIMIR (C-D) 1-2.'!E61="P"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F42</xm:sqref>
        </x14:conditionalFormatting>
        <x14:conditionalFormatting xmlns:xm="http://schemas.microsoft.com/office/excel/2006/main">
          <x14:cfRule type="expression" priority="13" stopIfTrue="1" id="{CC8A6789-D211-4CF4-8F1B-B673F40BF2E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5" stopIfTrue="1" id="{DEB8DD46-4B4A-48D6-8A40-14FF545C82D2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4" stopIfTrue="1" id="{FDEDC709-9C4A-4308-B4A2-4395CD84E070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F47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8"/>
  <sheetViews>
    <sheetView view="pageBreakPreview" zoomScaleNormal="100" zoomScaleSheetLayoutView="100" workbookViewId="0">
      <selection activeCell="A2" sqref="A2:M2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13" s="3" customFormat="1" ht="60" customHeight="1" x14ac:dyDescent="0.3">
      <c r="A1" s="315" t="e">
        <f>+'IMPRIMIR (A-B) 1-2'!A1:M1</f>
        <v>#VALUE!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</row>
    <row r="2" spans="1:13" s="3" customFormat="1" ht="45" customHeight="1" thickBot="1" x14ac:dyDescent="0.35">
      <c r="A2" s="316" t="s">
        <v>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</row>
    <row r="3" spans="1:13" s="3" customFormat="1" ht="25.5" customHeight="1" thickBot="1" x14ac:dyDescent="0.35">
      <c r="D3" s="346" t="str">
        <f>+'GRUPOS PRE JUVENIL'!G6</f>
        <v>GRUPO B</v>
      </c>
      <c r="E3" s="347"/>
      <c r="F3" s="347"/>
      <c r="G3" s="347"/>
      <c r="H3" s="348"/>
      <c r="I3" s="71"/>
      <c r="J3" s="71"/>
      <c r="L3" s="317"/>
      <c r="M3" s="317"/>
    </row>
    <row r="4" spans="1:13" s="3" customFormat="1" ht="37.5" customHeight="1" thickBot="1" x14ac:dyDescent="0.35">
      <c r="D4" s="337" t="str">
        <f>+'GRUPOS PRE JUVENIL'!G7</f>
        <v>ACADEMIA COOFISAM</v>
      </c>
      <c r="E4" s="338"/>
      <c r="F4" s="338"/>
      <c r="G4" s="338"/>
      <c r="H4" s="339"/>
      <c r="I4" s="72"/>
      <c r="J4" s="72"/>
      <c r="L4" s="317"/>
      <c r="M4" s="317"/>
    </row>
    <row r="5" spans="1:13" s="3" customFormat="1" ht="37.5" customHeight="1" thickBot="1" x14ac:dyDescent="0.35">
      <c r="D5" s="337" t="str">
        <f>+'GRUPOS PRE JUVENIL'!G8</f>
        <v>INTER 
 SADI F. C.</v>
      </c>
      <c r="E5" s="338"/>
      <c r="F5" s="338"/>
      <c r="G5" s="338"/>
      <c r="H5" s="339"/>
      <c r="I5" s="72"/>
      <c r="J5" s="72"/>
      <c r="L5" s="317"/>
      <c r="M5" s="317"/>
    </row>
    <row r="6" spans="1:13" s="3" customFormat="1" ht="37.5" customHeight="1" thickBot="1" x14ac:dyDescent="0.35">
      <c r="D6" s="337" t="str">
        <f>+'GRUPOS PRE JUVENIL'!G9</f>
        <v>ATHLETIC MELGAR</v>
      </c>
      <c r="E6" s="338"/>
      <c r="F6" s="338"/>
      <c r="G6" s="338"/>
      <c r="H6" s="339"/>
      <c r="I6" s="72"/>
      <c r="J6" s="72"/>
    </row>
    <row r="7" spans="1:13" s="3" customFormat="1" ht="38.25" customHeight="1" thickBot="1" x14ac:dyDescent="0.35">
      <c r="D7" s="337">
        <f>+'GRUPOS PRE JUVENIL'!G10</f>
        <v>0</v>
      </c>
      <c r="E7" s="338"/>
      <c r="F7" s="338"/>
      <c r="G7" s="338"/>
      <c r="H7" s="339"/>
      <c r="I7" s="72"/>
      <c r="J7" s="72"/>
    </row>
    <row r="8" spans="1:13" s="3" customFormat="1" ht="37.5" customHeight="1" x14ac:dyDescent="0.3">
      <c r="D8" s="337">
        <f>+'GRUPOS PRE JUVENIL'!G11</f>
        <v>0</v>
      </c>
      <c r="E8" s="338"/>
      <c r="F8" s="338"/>
      <c r="G8" s="338"/>
      <c r="H8" s="339"/>
      <c r="I8" s="72"/>
      <c r="J8" s="72"/>
    </row>
    <row r="9" spans="1:13" s="3" customFormat="1" ht="17.25" customHeight="1" x14ac:dyDescent="0.3"/>
    <row r="10" spans="1:13" s="3" customFormat="1" ht="24" customHeight="1" x14ac:dyDescent="0.55000000000000004">
      <c r="B10" s="45" t="str">
        <f>+'GRUPOS PRE JUVENIL'!D3</f>
        <v>5 Y 6 ABRIL 2025</v>
      </c>
    </row>
    <row r="11" spans="1:13" s="3" customFormat="1" ht="21" x14ac:dyDescent="0.4">
      <c r="B11" s="59" t="str">
        <f>+'GRUPOS PRE JUVENIL'!D4</f>
        <v>NACIDOS 2013 2014</v>
      </c>
    </row>
    <row r="12" spans="1:13" s="3" customFormat="1" ht="37.5" customHeight="1" x14ac:dyDescent="0.3">
      <c r="A12" s="349" t="str">
        <f>+'GRUPOS PRE JUVENIL'!G6</f>
        <v>GRUPO B</v>
      </c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</row>
    <row r="13" spans="1:13" s="3" customFormat="1" ht="15" customHeight="1" x14ac:dyDescent="0.3">
      <c r="A13" s="350"/>
      <c r="B13" s="350"/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0"/>
    </row>
    <row r="14" spans="1:13" ht="23.4" x14ac:dyDescent="0.3">
      <c r="A14" s="298" t="s">
        <v>40</v>
      </c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30" customHeight="1" x14ac:dyDescent="0.3">
      <c r="A16" s="96">
        <f>+'GRUPO B'!B8</f>
        <v>42811</v>
      </c>
      <c r="B16" s="97" t="str">
        <f>+'GRUPO B'!C8</f>
        <v>04:55. p.m.</v>
      </c>
      <c r="C16" s="180" t="str">
        <f>+'GRUPO B'!E8</f>
        <v>SPORTLAND LA MESA</v>
      </c>
      <c r="D16" s="180"/>
      <c r="E16" s="111" t="str">
        <f>IF(AND(F16&lt;&gt;"",H16&lt;&gt;""),IF(F16=H16,"E",IF(F16&gt;H16,"G","P")),"")</f>
        <v>E</v>
      </c>
      <c r="F16" s="119">
        <f>+'GRUPO B'!G8</f>
        <v>0</v>
      </c>
      <c r="G16" s="1" t="s">
        <v>12</v>
      </c>
      <c r="H16" s="119">
        <f>+'GRUPO B'!I8</f>
        <v>0</v>
      </c>
      <c r="I16" s="111" t="str">
        <f>IF(AND(H16&lt;&gt;"",F16&lt;&gt;""),IF(H16=F16,"E",IF(H16&gt;F16,"G","P")),"")</f>
        <v>E</v>
      </c>
      <c r="J16" s="123" t="str">
        <f>+'GRUPO B'!K8</f>
        <v>INTER 
 SADI F. C.</v>
      </c>
      <c r="K16" s="123"/>
      <c r="L16" s="123"/>
      <c r="M16" s="91" t="str">
        <f>+'GRUPO B'!M8</f>
        <v>CANCHA 1 A</v>
      </c>
    </row>
    <row r="17" spans="1:13" hidden="1" x14ac:dyDescent="0.3">
      <c r="G17" s="3"/>
    </row>
    <row r="18" spans="1:13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30" customHeight="1" x14ac:dyDescent="0.3">
      <c r="A19" s="112">
        <f>+'GRUPO B'!B11</f>
        <v>42811</v>
      </c>
      <c r="B19" s="113" t="str">
        <f>+'GRUPO B'!C11</f>
        <v>04:55. p.m.</v>
      </c>
      <c r="C19" s="343" t="str">
        <f>+'GRUPO B'!E11</f>
        <v>CLUB DEPORTIVO  
YIYO MUZO F. C.</v>
      </c>
      <c r="D19" s="343"/>
      <c r="E19" s="114" t="str">
        <f>IF(AND(F19&lt;&gt;"",H19&lt;&gt;""),IF(F19=H19,"E",IF(F19&gt;H19,"G","P")),"")</f>
        <v>E</v>
      </c>
      <c r="F19" s="119">
        <f>+'GRUPO B'!G11</f>
        <v>0</v>
      </c>
      <c r="G19" s="1" t="s">
        <v>12</v>
      </c>
      <c r="H19" s="119">
        <f>+'GRUPO B'!I11</f>
        <v>0</v>
      </c>
      <c r="I19" s="114" t="str">
        <f>IF(AND(H19&lt;&gt;"",F19&lt;&gt;""),IF(H19=F19,"E",IF(H19&gt;F19,"G","P")),"")</f>
        <v>E</v>
      </c>
      <c r="J19" s="343" t="str">
        <f>+'GRUPO B'!K11</f>
        <v>ATHLETIC MELGAR</v>
      </c>
      <c r="K19" s="343"/>
      <c r="L19" s="343"/>
      <c r="M19" s="115" t="str">
        <f>+'GRUPO B'!M11</f>
        <v>CANCHA 1 B</v>
      </c>
    </row>
    <row r="20" spans="1:13" s="3" customFormat="1" ht="10.5" customHeight="1" x14ac:dyDescent="0.3">
      <c r="A20" s="73"/>
      <c r="B20" s="98"/>
      <c r="C20" s="98"/>
      <c r="D20" s="98"/>
    </row>
    <row r="21" spans="1:13" s="3" customFormat="1" ht="30" customHeight="1" x14ac:dyDescent="0.3">
      <c r="A21" s="96">
        <f>+'GRUPO B'!B14</f>
        <v>42811</v>
      </c>
      <c r="B21" s="97" t="str">
        <f>+'GRUPO B'!C14</f>
        <v>04:55. p.m.</v>
      </c>
      <c r="C21" s="180" t="str">
        <f>+'GRUPO B'!E14</f>
        <v>CLUB LA REAL</v>
      </c>
      <c r="D21" s="180"/>
      <c r="E21" s="111" t="str">
        <f>IF(AND(F21&lt;&gt;"",H21&lt;&gt;""),IF(F21=H21,"E",IF(F21&gt;H21,"G","P")),"")</f>
        <v>E</v>
      </c>
      <c r="F21" s="119">
        <f>+'GRUPO B'!G14</f>
        <v>0</v>
      </c>
      <c r="G21" s="1" t="s">
        <v>12</v>
      </c>
      <c r="H21" s="119">
        <f>+'GRUPO B'!I14</f>
        <v>0</v>
      </c>
      <c r="I21" s="111" t="str">
        <f>IF(AND(H21&lt;&gt;"",F21&lt;&gt;""),IF(H21=F21,"E",IF(H21&gt;F21,"G","P")),"")</f>
        <v>E</v>
      </c>
      <c r="J21" s="180" t="str">
        <f>+'GRUPO B'!K14</f>
        <v>ACADEMIA COOFISAM</v>
      </c>
      <c r="K21" s="180"/>
      <c r="L21" s="180"/>
      <c r="M21" s="91" t="str">
        <f>+'GRUPO B'!M14</f>
        <v>CANCHA 1 C</v>
      </c>
    </row>
    <row r="22" spans="1:13" s="3" customFormat="1" ht="10.5" customHeight="1" x14ac:dyDescent="0.3">
      <c r="A22" s="73"/>
      <c r="B22" s="98"/>
      <c r="C22" s="98"/>
      <c r="D22" s="98"/>
    </row>
    <row r="23" spans="1:13" s="3" customFormat="1" ht="30" customHeight="1" x14ac:dyDescent="0.3">
      <c r="A23" s="112">
        <f>+'GRUPO B'!B17</f>
        <v>42813</v>
      </c>
      <c r="B23" s="113" t="str">
        <f>+'GRUPO B'!C17</f>
        <v>01:20. p.m.</v>
      </c>
      <c r="C23" s="343" t="str">
        <f>+'GRUPO B'!E17</f>
        <v>ACADEMIA COOFISAM</v>
      </c>
      <c r="D23" s="343"/>
      <c r="E23" s="114" t="str">
        <f>IF(AND(F23&lt;&gt;"",H23&lt;&gt;""),IF(F23=H23,"E",IF(F23&gt;H23,"G","P")),"")</f>
        <v>E</v>
      </c>
      <c r="F23" s="119">
        <f>+'GRUPO B'!G17</f>
        <v>0</v>
      </c>
      <c r="G23" s="1" t="s">
        <v>12</v>
      </c>
      <c r="H23" s="119">
        <f>+'GRUPO B'!I17</f>
        <v>0</v>
      </c>
      <c r="I23" s="114" t="str">
        <f>IF(AND(H23&lt;&gt;"",F23&lt;&gt;""),IF(H23=F23,"E",IF(H23&gt;F23,"G","P")),"")</f>
        <v>E</v>
      </c>
      <c r="J23" s="343" t="str">
        <f>+'GRUPO B'!K17</f>
        <v>INTER 
 SADI F. C.</v>
      </c>
      <c r="K23" s="343"/>
      <c r="L23" s="343"/>
      <c r="M23" s="115" t="str">
        <f>+'GRUPO B'!M17</f>
        <v>CANCHA 1 C</v>
      </c>
    </row>
    <row r="24" spans="1:13" s="3" customFormat="1" ht="10.5" customHeight="1" x14ac:dyDescent="0.3">
      <c r="A24" s="73"/>
      <c r="B24" s="98"/>
      <c r="C24" s="98"/>
      <c r="D24" s="98"/>
    </row>
    <row r="25" spans="1:13" s="3" customFormat="1" ht="30" customHeight="1" x14ac:dyDescent="0.3">
      <c r="A25" s="96">
        <f>+'GRUPO B'!B20</f>
        <v>42813</v>
      </c>
      <c r="B25" s="97" t="str">
        <f>+'GRUPO B'!C20</f>
        <v>08:40. a.m.</v>
      </c>
      <c r="C25" s="180" t="str">
        <f>+'GRUPO B'!E20</f>
        <v>CLUB LA REAL</v>
      </c>
      <c r="D25" s="180"/>
      <c r="E25" s="111" t="str">
        <f>IF(AND(F25&lt;&gt;"",H25&lt;&gt;""),IF(F25=H25,"E",IF(F25&gt;H25,"G","P")),"")</f>
        <v>E</v>
      </c>
      <c r="F25" s="119">
        <f>+'GRUPO B'!G20</f>
        <v>0</v>
      </c>
      <c r="G25" s="1" t="s">
        <v>12</v>
      </c>
      <c r="H25" s="119">
        <f>+'GRUPO B'!I20</f>
        <v>0</v>
      </c>
      <c r="I25" s="111" t="str">
        <f>IF(AND(H25&lt;&gt;"",F25&lt;&gt;""),IF(H25=F25,"E",IF(H25&gt;F25,"G","P")),"")</f>
        <v>E</v>
      </c>
      <c r="J25" s="180" t="str">
        <f>+'GRUPO B'!K20</f>
        <v>ATHLETIC MELGAR</v>
      </c>
      <c r="K25" s="180"/>
      <c r="L25" s="180"/>
      <c r="M25" s="91" t="str">
        <f>+'GRUPO B'!M20</f>
        <v>CANCHA 1 A</v>
      </c>
    </row>
    <row r="26" spans="1:13" s="3" customFormat="1" ht="21" customHeight="1" x14ac:dyDescent="0.3">
      <c r="A26" s="99"/>
      <c r="B26" s="100"/>
      <c r="C26" s="101"/>
      <c r="D26" s="101"/>
      <c r="E26" s="102"/>
      <c r="F26" s="103"/>
      <c r="G26" s="1"/>
      <c r="H26" s="103"/>
      <c r="I26" s="102"/>
      <c r="J26" s="101"/>
      <c r="K26" s="101"/>
      <c r="L26" s="101"/>
      <c r="M26" s="104"/>
    </row>
    <row r="27" spans="1:13" s="3" customFormat="1" ht="19.5" customHeight="1" thickBot="1" x14ac:dyDescent="0.35">
      <c r="A27" s="99"/>
      <c r="B27" s="100"/>
      <c r="C27" s="101"/>
      <c r="D27" s="101"/>
      <c r="E27" s="102"/>
      <c r="F27" s="103"/>
      <c r="G27" s="1"/>
      <c r="H27" s="103"/>
      <c r="I27" s="102"/>
      <c r="J27" s="101"/>
      <c r="K27" s="101"/>
      <c r="L27" s="101"/>
      <c r="M27" s="104"/>
    </row>
    <row r="28" spans="1:13" s="3" customFormat="1" ht="25.5" customHeight="1" thickBot="1" x14ac:dyDescent="0.35">
      <c r="A28" s="99"/>
      <c r="B28" s="100"/>
      <c r="C28" s="101"/>
      <c r="D28" s="340">
        <f>+'GRUPOS PRE JUVENIL'!I6</f>
        <v>0</v>
      </c>
      <c r="E28" s="341"/>
      <c r="F28" s="341"/>
      <c r="G28" s="341"/>
      <c r="H28" s="342"/>
    </row>
    <row r="29" spans="1:13" s="3" customFormat="1" ht="37.5" customHeight="1" thickBot="1" x14ac:dyDescent="0.35">
      <c r="A29" s="99"/>
      <c r="B29" s="100"/>
      <c r="C29" s="101"/>
      <c r="D29" s="337">
        <f>+'GRUPOS PRE JUVENIL'!I7</f>
        <v>0</v>
      </c>
      <c r="E29" s="338"/>
      <c r="F29" s="338"/>
      <c r="G29" s="338"/>
      <c r="H29" s="339"/>
    </row>
    <row r="30" spans="1:13" s="3" customFormat="1" ht="37.5" customHeight="1" thickBot="1" x14ac:dyDescent="0.35">
      <c r="A30" s="99"/>
      <c r="B30" s="100"/>
      <c r="C30" s="101"/>
      <c r="D30" s="337">
        <f>+'GRUPOS PRE JUVENIL'!I8</f>
        <v>0</v>
      </c>
      <c r="E30" s="338"/>
      <c r="F30" s="338"/>
      <c r="G30" s="338"/>
      <c r="H30" s="339"/>
    </row>
    <row r="31" spans="1:13" s="3" customFormat="1" ht="37.5" customHeight="1" thickBot="1" x14ac:dyDescent="0.35">
      <c r="A31" s="99"/>
      <c r="B31" s="100"/>
      <c r="C31" s="101"/>
      <c r="D31" s="337" t="e">
        <f>+'GRUPOS PRE JUVENIL'!#REF!</f>
        <v>#REF!</v>
      </c>
      <c r="E31" s="338"/>
      <c r="F31" s="338"/>
      <c r="G31" s="338"/>
      <c r="H31" s="339"/>
    </row>
    <row r="32" spans="1:13" s="3" customFormat="1" ht="37.5" customHeight="1" thickBot="1" x14ac:dyDescent="0.35">
      <c r="A32" s="99"/>
      <c r="B32" s="100"/>
      <c r="C32" s="101"/>
      <c r="D32" s="337">
        <f>+'GRUPOS PRE JUVENIL'!I10</f>
        <v>0</v>
      </c>
      <c r="E32" s="338"/>
      <c r="F32" s="338"/>
      <c r="G32" s="338"/>
      <c r="H32" s="339"/>
    </row>
    <row r="33" spans="1:13" s="3" customFormat="1" ht="37.5" customHeight="1" x14ac:dyDescent="0.3">
      <c r="A33" s="99"/>
      <c r="B33" s="100"/>
      <c r="C33" s="101"/>
      <c r="D33" s="337">
        <f>+'GRUPOS PRE JUVENIL'!I11</f>
        <v>0</v>
      </c>
      <c r="E33" s="338"/>
      <c r="F33" s="338"/>
      <c r="G33" s="338"/>
      <c r="H33" s="339"/>
    </row>
    <row r="34" spans="1:13" s="3" customFormat="1" ht="15" customHeight="1" x14ac:dyDescent="0.3">
      <c r="A34" s="99"/>
      <c r="B34" s="100"/>
      <c r="C34" s="101"/>
      <c r="D34" s="118"/>
      <c r="E34" s="118"/>
      <c r="F34" s="118"/>
      <c r="G34" s="118"/>
      <c r="H34" s="118"/>
    </row>
    <row r="35" spans="1:13" s="3" customFormat="1" ht="37.5" customHeight="1" x14ac:dyDescent="0.3">
      <c r="A35" s="344">
        <f>+'GRUPOS PRE JUVENIL'!I6</f>
        <v>0</v>
      </c>
      <c r="B35" s="344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</row>
    <row r="36" spans="1:13" s="3" customFormat="1" ht="15" customHeight="1" x14ac:dyDescent="0.3">
      <c r="A36" s="345"/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</row>
    <row r="37" spans="1:13" ht="23.4" x14ac:dyDescent="0.3">
      <c r="A37" s="298" t="s">
        <v>40</v>
      </c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</row>
    <row r="38" spans="1:13" ht="10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30" customHeight="1" x14ac:dyDescent="0.3">
      <c r="A39" s="112" t="e">
        <f>+#REF!</f>
        <v>#REF!</v>
      </c>
      <c r="B39" s="113" t="e">
        <f>+#REF!</f>
        <v>#REF!</v>
      </c>
      <c r="C39" s="343" t="e">
        <f>+#REF!</f>
        <v>#REF!</v>
      </c>
      <c r="D39" s="343"/>
      <c r="E39" s="90" t="e">
        <f>IF(AND(F39&lt;&gt;"",H39&lt;&gt;""),IF(F39=H39,"E",IF(F39&gt;H39,"G","P")),"")</f>
        <v>#REF!</v>
      </c>
      <c r="F39" s="119" t="e">
        <f>+#REF!</f>
        <v>#REF!</v>
      </c>
      <c r="G39" s="1" t="s">
        <v>12</v>
      </c>
      <c r="H39" s="119" t="e">
        <f>+#REF!</f>
        <v>#REF!</v>
      </c>
      <c r="I39" s="90" t="e">
        <f>IF(AND(H39&lt;&gt;"",F39&lt;&gt;""),IF(H39=F39,"E",IF(H39&gt;F39,"G","P")),"")</f>
        <v>#REF!</v>
      </c>
      <c r="J39" s="343" t="e">
        <f>+#REF!</f>
        <v>#REF!</v>
      </c>
      <c r="K39" s="343"/>
      <c r="L39" s="343"/>
      <c r="M39" s="115" t="e">
        <f>+#REF!</f>
        <v>#REF!</v>
      </c>
    </row>
    <row r="40" spans="1:13" hidden="1" x14ac:dyDescent="0.3">
      <c r="G40" s="3"/>
    </row>
    <row r="41" spans="1:13" ht="10.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30" customHeight="1" x14ac:dyDescent="0.3">
      <c r="A42" s="96" t="e">
        <f>+#REF!</f>
        <v>#REF!</v>
      </c>
      <c r="B42" s="97" t="e">
        <f>+#REF!</f>
        <v>#REF!</v>
      </c>
      <c r="C42" s="180" t="e">
        <f>+#REF!</f>
        <v>#REF!</v>
      </c>
      <c r="D42" s="180"/>
      <c r="E42" s="90" t="e">
        <f>IF(AND(F42&lt;&gt;"",H42&lt;&gt;""),IF(F42=H42,"E",IF(F42&gt;H42,"G","P")),"")</f>
        <v>#REF!</v>
      </c>
      <c r="F42" s="119" t="e">
        <f>+#REF!</f>
        <v>#REF!</v>
      </c>
      <c r="G42" s="1" t="s">
        <v>12</v>
      </c>
      <c r="H42" s="119" t="e">
        <f>+#REF!</f>
        <v>#REF!</v>
      </c>
      <c r="I42" s="90" t="e">
        <f>IF(AND(H42&lt;&gt;"",F42&lt;&gt;""),IF(H42=F42,"E",IF(H42&gt;F42,"G","P")),"")</f>
        <v>#REF!</v>
      </c>
      <c r="J42" s="180" t="e">
        <f>+#REF!</f>
        <v>#REF!</v>
      </c>
      <c r="K42" s="180"/>
      <c r="L42" s="180"/>
      <c r="M42" s="91" t="e">
        <f>+#REF!</f>
        <v>#REF!</v>
      </c>
    </row>
    <row r="43" spans="1:13" s="3" customFormat="1" ht="10.5" customHeight="1" x14ac:dyDescent="0.3">
      <c r="A43" s="73"/>
      <c r="B43" s="98"/>
      <c r="C43" s="98"/>
      <c r="D43" s="98"/>
    </row>
    <row r="44" spans="1:13" s="3" customFormat="1" ht="30" customHeight="1" x14ac:dyDescent="0.3">
      <c r="A44" s="112" t="e">
        <f>+#REF!</f>
        <v>#REF!</v>
      </c>
      <c r="B44" s="113" t="e">
        <f>+#REF!</f>
        <v>#REF!</v>
      </c>
      <c r="C44" s="343" t="e">
        <f>+#REF!</f>
        <v>#REF!</v>
      </c>
      <c r="D44" s="343"/>
      <c r="E44" s="90" t="e">
        <f>IF(AND(F44&lt;&gt;"",H44&lt;&gt;""),IF(F44=H44,"E",IF(F44&gt;H44,"G","P")),"")</f>
        <v>#REF!</v>
      </c>
      <c r="F44" s="119" t="e">
        <f>+#REF!</f>
        <v>#REF!</v>
      </c>
      <c r="G44" s="1" t="s">
        <v>12</v>
      </c>
      <c r="H44" s="119" t="e">
        <f>+#REF!</f>
        <v>#REF!</v>
      </c>
      <c r="I44" s="90" t="e">
        <f>IF(AND(H44&lt;&gt;"",F44&lt;&gt;""),IF(H44=F44,"E",IF(H44&gt;F44,"G","P")),"")</f>
        <v>#REF!</v>
      </c>
      <c r="J44" s="343" t="e">
        <f>+#REF!</f>
        <v>#REF!</v>
      </c>
      <c r="K44" s="343"/>
      <c r="L44" s="343"/>
      <c r="M44" s="115" t="e">
        <f>+#REF!</f>
        <v>#REF!</v>
      </c>
    </row>
    <row r="45" spans="1:13" s="3" customFormat="1" ht="10.5" customHeight="1" x14ac:dyDescent="0.3">
      <c r="A45" s="73"/>
      <c r="B45" s="98"/>
      <c r="C45" s="98"/>
      <c r="D45" s="98"/>
    </row>
    <row r="46" spans="1:13" s="3" customFormat="1" ht="30" customHeight="1" x14ac:dyDescent="0.3">
      <c r="A46" s="96" t="e">
        <f>+#REF!</f>
        <v>#REF!</v>
      </c>
      <c r="B46" s="97" t="e">
        <f>+#REF!</f>
        <v>#REF!</v>
      </c>
      <c r="C46" s="180" t="e">
        <f>+#REF!</f>
        <v>#REF!</v>
      </c>
      <c r="D46" s="180"/>
      <c r="E46" s="90" t="e">
        <f>IF(AND(F46&lt;&gt;"",H46&lt;&gt;""),IF(F46=H46,"E",IF(F46&gt;H46,"G","P")),"")</f>
        <v>#REF!</v>
      </c>
      <c r="F46" s="119" t="e">
        <f>+#REF!</f>
        <v>#REF!</v>
      </c>
      <c r="G46" s="1" t="s">
        <v>12</v>
      </c>
      <c r="H46" s="119" t="e">
        <f>+#REF!</f>
        <v>#REF!</v>
      </c>
      <c r="I46" s="90" t="e">
        <f>IF(AND(H46&lt;&gt;"",F46&lt;&gt;""),IF(H46=F46,"E",IF(H46&gt;F46,"G","P")),"")</f>
        <v>#REF!</v>
      </c>
      <c r="J46" s="180" t="e">
        <f>+#REF!</f>
        <v>#REF!</v>
      </c>
      <c r="K46" s="180"/>
      <c r="L46" s="180"/>
      <c r="M46" s="91" t="e">
        <f>+#REF!</f>
        <v>#REF!</v>
      </c>
    </row>
    <row r="47" spans="1:13" s="3" customFormat="1" ht="10.5" customHeight="1" x14ac:dyDescent="0.3">
      <c r="A47" s="73"/>
      <c r="B47" s="98"/>
      <c r="C47" s="98"/>
      <c r="D47" s="98"/>
    </row>
    <row r="48" spans="1:13" s="3" customFormat="1" ht="30" customHeight="1" x14ac:dyDescent="0.3">
      <c r="A48" s="112" t="e">
        <f>+#REF!</f>
        <v>#REF!</v>
      </c>
      <c r="B48" s="113" t="e">
        <f>+#REF!</f>
        <v>#REF!</v>
      </c>
      <c r="C48" s="343" t="e">
        <f>+#REF!</f>
        <v>#REF!</v>
      </c>
      <c r="D48" s="343"/>
      <c r="E48" s="90" t="e">
        <f>IF(AND(F48&lt;&gt;"",H48&lt;&gt;""),IF(F48=H48,"E",IF(F48&gt;H48,"G","P")),"")</f>
        <v>#REF!</v>
      </c>
      <c r="F48" s="119" t="e">
        <f>+#REF!</f>
        <v>#REF!</v>
      </c>
      <c r="G48" s="1" t="s">
        <v>12</v>
      </c>
      <c r="H48" s="119" t="e">
        <f>+#REF!</f>
        <v>#REF!</v>
      </c>
      <c r="I48" s="90" t="e">
        <f>IF(AND(H48&lt;&gt;"",F48&lt;&gt;""),IF(H48=F48,"E",IF(H48&gt;F48,"G","P")),"")</f>
        <v>#REF!</v>
      </c>
      <c r="J48" s="343" t="e">
        <f>+#REF!</f>
        <v>#REF!</v>
      </c>
      <c r="K48" s="343"/>
      <c r="L48" s="343"/>
      <c r="M48" s="115" t="e">
        <f>+#REF!</f>
        <v>#REF!</v>
      </c>
    </row>
    <row r="49" spans="1:13" s="3" customFormat="1" ht="15.6" x14ac:dyDescent="0.3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</row>
    <row r="50" spans="1:13" s="3" customFormat="1" x14ac:dyDescent="0.3">
      <c r="A50" s="312" t="s">
        <v>35</v>
      </c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</row>
    <row r="51" spans="1:13" s="3" customFormat="1" x14ac:dyDescent="0.3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</row>
    <row r="52" spans="1:13" s="3" customFormat="1" x14ac:dyDescent="0.3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</row>
    <row r="53" spans="1:13" s="3" customFormat="1" x14ac:dyDescent="0.3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</row>
    <row r="54" spans="1:13" s="3" customFormat="1" ht="15.6" x14ac:dyDescent="0.3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</row>
    <row r="55" spans="1:13" s="3" customFormat="1" x14ac:dyDescent="0.3">
      <c r="A55" s="313" t="s">
        <v>25</v>
      </c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</row>
    <row r="56" spans="1:13" s="3" customFormat="1" x14ac:dyDescent="0.3">
      <c r="A56" s="313" t="s">
        <v>26</v>
      </c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</row>
    <row r="57" spans="1:13" s="3" customFormat="1" x14ac:dyDescent="0.3">
      <c r="A57" s="314" t="s">
        <v>27</v>
      </c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</row>
    <row r="58" spans="1:13" s="3" customFormat="1" x14ac:dyDescent="0.3">
      <c r="A58" s="313" t="s">
        <v>28</v>
      </c>
      <c r="B58" s="313"/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</row>
  </sheetData>
  <mergeCells count="43">
    <mergeCell ref="A50:M53"/>
    <mergeCell ref="C48:D48"/>
    <mergeCell ref="J48:L48"/>
    <mergeCell ref="A37:M37"/>
    <mergeCell ref="C39:D39"/>
    <mergeCell ref="J39:L39"/>
    <mergeCell ref="C42:D42"/>
    <mergeCell ref="C44:D44"/>
    <mergeCell ref="J44:L44"/>
    <mergeCell ref="C46:D46"/>
    <mergeCell ref="J46:L46"/>
    <mergeCell ref="D31:H31"/>
    <mergeCell ref="A35:M36"/>
    <mergeCell ref="A57:M57"/>
    <mergeCell ref="A58:M58"/>
    <mergeCell ref="A1:M1"/>
    <mergeCell ref="A2:M2"/>
    <mergeCell ref="L3:M5"/>
    <mergeCell ref="D3:H3"/>
    <mergeCell ref="D4:H4"/>
    <mergeCell ref="D5:H5"/>
    <mergeCell ref="D6:H6"/>
    <mergeCell ref="D7:H7"/>
    <mergeCell ref="D8:H8"/>
    <mergeCell ref="A12:M13"/>
    <mergeCell ref="A14:M14"/>
    <mergeCell ref="A55:M55"/>
    <mergeCell ref="D32:H32"/>
    <mergeCell ref="D28:H28"/>
    <mergeCell ref="A56:M56"/>
    <mergeCell ref="C16:D16"/>
    <mergeCell ref="C19:D19"/>
    <mergeCell ref="J19:L19"/>
    <mergeCell ref="C21:D21"/>
    <mergeCell ref="J21:L21"/>
    <mergeCell ref="C23:D23"/>
    <mergeCell ref="J23:L23"/>
    <mergeCell ref="C25:D25"/>
    <mergeCell ref="J25:L25"/>
    <mergeCell ref="J42:L42"/>
    <mergeCell ref="D33:H33"/>
    <mergeCell ref="D29:H29"/>
    <mergeCell ref="D30:H30"/>
  </mergeCells>
  <conditionalFormatting sqref="F16 F19 F25:F27">
    <cfRule type="expression" dxfId="89" priority="46" stopIfTrue="1">
      <formula>#REF!="P"</formula>
    </cfRule>
    <cfRule type="expression" dxfId="88" priority="47" stopIfTrue="1">
      <formula>#REF!="E"</formula>
    </cfRule>
    <cfRule type="expression" dxfId="87" priority="48" stopIfTrue="1">
      <formula>#REF!="G"</formula>
    </cfRule>
  </conditionalFormatting>
  <conditionalFormatting sqref="F21">
    <cfRule type="expression" dxfId="86" priority="34" stopIfTrue="1">
      <formula>#REF!="P"</formula>
    </cfRule>
    <cfRule type="expression" dxfId="85" priority="35" stopIfTrue="1">
      <formula>#REF!="E"</formula>
    </cfRule>
    <cfRule type="expression" dxfId="84" priority="36" stopIfTrue="1">
      <formula>#REF!="G"</formula>
    </cfRule>
  </conditionalFormatting>
  <conditionalFormatting sqref="F23">
    <cfRule type="expression" dxfId="83" priority="28" stopIfTrue="1">
      <formula>#REF!="P"</formula>
    </cfRule>
    <cfRule type="expression" dxfId="82" priority="29" stopIfTrue="1">
      <formula>#REF!="E"</formula>
    </cfRule>
    <cfRule type="expression" dxfId="81" priority="30" stopIfTrue="1">
      <formula>#REF!="G"</formula>
    </cfRule>
  </conditionalFormatting>
  <conditionalFormatting sqref="F39 F42 F48">
    <cfRule type="expression" dxfId="80" priority="16" stopIfTrue="1">
      <formula>#REF!="P"</formula>
    </cfRule>
    <cfRule type="expression" dxfId="79" priority="17" stopIfTrue="1">
      <formula>#REF!="E"</formula>
    </cfRule>
    <cfRule type="expression" dxfId="78" priority="18" stopIfTrue="1">
      <formula>#REF!="G"</formula>
    </cfRule>
  </conditionalFormatting>
  <conditionalFormatting sqref="F44">
    <cfRule type="expression" dxfId="77" priority="10" stopIfTrue="1">
      <formula>#REF!="P"</formula>
    </cfRule>
    <cfRule type="expression" dxfId="76" priority="11" stopIfTrue="1">
      <formula>#REF!="E"</formula>
    </cfRule>
    <cfRule type="expression" dxfId="75" priority="12" stopIfTrue="1">
      <formula>#REF!="G"</formula>
    </cfRule>
  </conditionalFormatting>
  <conditionalFormatting sqref="F46">
    <cfRule type="expression" dxfId="74" priority="4" stopIfTrue="1">
      <formula>#REF!="P"</formula>
    </cfRule>
    <cfRule type="expression" dxfId="73" priority="5" stopIfTrue="1">
      <formula>#REF!="E"</formula>
    </cfRule>
    <cfRule type="expression" dxfId="72" priority="6" stopIfTrue="1">
      <formula>#REF!="G"</formula>
    </cfRule>
  </conditionalFormatting>
  <hyperlinks>
    <hyperlink ref="A57" r:id="rId1" display="mailto:soccermelgar@outlook.com" xr:uid="{00000000-0004-0000-09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9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13" s="3" customFormat="1" ht="60" customHeight="1" x14ac:dyDescent="0.3">
      <c r="A1" s="315" t="e">
        <f>+'IMPRIMIR (A-B) 1-2'!A1:M1</f>
        <v>#VALUE!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</row>
    <row r="2" spans="1:13" s="3" customFormat="1" ht="45" customHeight="1" thickBot="1" x14ac:dyDescent="0.35">
      <c r="A2" s="316" t="s">
        <v>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</row>
    <row r="3" spans="1:13" s="3" customFormat="1" ht="25.5" customHeight="1" thickBot="1" x14ac:dyDescent="0.35">
      <c r="D3" s="324">
        <f>+'GRUPOS PRE JUVENIL'!C6</f>
        <v>0</v>
      </c>
      <c r="E3" s="325"/>
      <c r="F3" s="325"/>
      <c r="G3" s="325"/>
      <c r="H3" s="326"/>
      <c r="I3" s="71"/>
      <c r="J3" s="71"/>
      <c r="L3" s="317"/>
      <c r="M3" s="317"/>
    </row>
    <row r="4" spans="1:13" s="3" customFormat="1" ht="37.5" customHeight="1" thickBot="1" x14ac:dyDescent="0.35">
      <c r="D4" s="337">
        <f>+'GRUPOS PRE JUVENIL'!C7</f>
        <v>0</v>
      </c>
      <c r="E4" s="338"/>
      <c r="F4" s="338"/>
      <c r="G4" s="338"/>
      <c r="H4" s="339"/>
      <c r="I4" s="72"/>
      <c r="J4" s="72"/>
      <c r="L4" s="317"/>
      <c r="M4" s="317"/>
    </row>
    <row r="5" spans="1:13" s="3" customFormat="1" ht="37.5" customHeight="1" thickBot="1" x14ac:dyDescent="0.35">
      <c r="D5" s="337">
        <f>+'GRUPOS PRE JUVENIL'!C8</f>
        <v>0</v>
      </c>
      <c r="E5" s="338"/>
      <c r="F5" s="338"/>
      <c r="G5" s="338"/>
      <c r="H5" s="339"/>
      <c r="I5" s="72"/>
      <c r="J5" s="72"/>
      <c r="L5" s="317"/>
      <c r="M5" s="317"/>
    </row>
    <row r="6" spans="1:13" s="3" customFormat="1" ht="37.5" customHeight="1" thickBot="1" x14ac:dyDescent="0.35">
      <c r="D6" s="337">
        <f>+'GRUPOS PRE JUVENIL'!C9</f>
        <v>0</v>
      </c>
      <c r="E6" s="338"/>
      <c r="F6" s="338"/>
      <c r="G6" s="338"/>
      <c r="H6" s="339"/>
      <c r="I6" s="72"/>
      <c r="J6" s="72"/>
    </row>
    <row r="7" spans="1:13" s="3" customFormat="1" ht="38.25" customHeight="1" thickBot="1" x14ac:dyDescent="0.35">
      <c r="D7" s="337">
        <f>+'GRUPOS PRE JUVENIL'!C10</f>
        <v>0</v>
      </c>
      <c r="E7" s="338"/>
      <c r="F7" s="338"/>
      <c r="G7" s="338"/>
      <c r="H7" s="339"/>
      <c r="I7" s="72"/>
      <c r="J7" s="72"/>
    </row>
    <row r="8" spans="1:13" s="3" customFormat="1" ht="37.5" customHeight="1" x14ac:dyDescent="0.3">
      <c r="D8" s="337">
        <f>+'GRUPOS PRE JUVENIL'!C11</f>
        <v>0</v>
      </c>
      <c r="E8" s="338"/>
      <c r="F8" s="338"/>
      <c r="G8" s="338"/>
      <c r="H8" s="339"/>
      <c r="I8" s="72"/>
      <c r="J8" s="72"/>
    </row>
    <row r="9" spans="1:13" s="3" customFormat="1" ht="17.25" customHeight="1" x14ac:dyDescent="0.3"/>
    <row r="10" spans="1:13" s="3" customFormat="1" ht="24" customHeight="1" x14ac:dyDescent="0.55000000000000004">
      <c r="B10" s="45" t="str">
        <f>+'GRUPOS PRE JUVENIL'!D3</f>
        <v>5 Y 6 ABRIL 2025</v>
      </c>
    </row>
    <row r="11" spans="1:13" s="3" customFormat="1" ht="21" x14ac:dyDescent="0.4">
      <c r="B11" s="59" t="str">
        <f>+'GRUPOS PRE JUVENIL'!D4</f>
        <v>NACIDOS 2013 2014</v>
      </c>
    </row>
    <row r="12" spans="1:13" s="3" customFormat="1" ht="37.5" customHeight="1" x14ac:dyDescent="0.3">
      <c r="A12" s="352">
        <f>+'GRUPOS PRE JUVENIL'!C6</f>
        <v>0</v>
      </c>
      <c r="B12" s="352"/>
      <c r="C12" s="352"/>
      <c r="D12" s="352"/>
      <c r="E12" s="352"/>
      <c r="F12" s="352"/>
      <c r="G12" s="352"/>
      <c r="H12" s="352"/>
      <c r="I12" s="352"/>
      <c r="J12" s="352"/>
      <c r="K12" s="352"/>
      <c r="L12" s="352"/>
      <c r="M12" s="352"/>
    </row>
    <row r="13" spans="1:13" s="3" customFormat="1" ht="15" customHeight="1" x14ac:dyDescent="0.3">
      <c r="A13" s="353"/>
      <c r="B13" s="353"/>
      <c r="C13" s="353"/>
      <c r="D13" s="353"/>
      <c r="E13" s="353"/>
      <c r="F13" s="353"/>
      <c r="G13" s="353"/>
      <c r="H13" s="353"/>
      <c r="I13" s="353"/>
      <c r="J13" s="353"/>
      <c r="K13" s="353"/>
      <c r="L13" s="353"/>
      <c r="M13" s="353"/>
    </row>
    <row r="14" spans="1:13" ht="23.4" x14ac:dyDescent="0.3">
      <c r="A14" s="298" t="s">
        <v>41</v>
      </c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30" customHeight="1" x14ac:dyDescent="0.3">
      <c r="A16" s="96" t="e">
        <f>+#REF!</f>
        <v>#REF!</v>
      </c>
      <c r="B16" s="97" t="e">
        <f>+#REF!</f>
        <v>#REF!</v>
      </c>
      <c r="C16" s="180" t="e">
        <f>+#REF!</f>
        <v>#REF!</v>
      </c>
      <c r="D16" s="180"/>
      <c r="E16" s="111" t="e">
        <f>IF(AND(F16&lt;&gt;"",H16&lt;&gt;""),IF(F16=H16,"E",IF(F16&gt;H16,"G","P")),"")</f>
        <v>#REF!</v>
      </c>
      <c r="F16" s="119" t="e">
        <f>+#REF!</f>
        <v>#REF!</v>
      </c>
      <c r="G16" s="1" t="s">
        <v>12</v>
      </c>
      <c r="H16" s="119" t="e">
        <f>+#REF!</f>
        <v>#REF!</v>
      </c>
      <c r="I16" s="111" t="e">
        <f>IF(AND(H16&lt;&gt;"",F16&lt;&gt;""),IF(H16=F16,"E",IF(H16&gt;F16,"G","P")),"")</f>
        <v>#REF!</v>
      </c>
      <c r="J16" s="180" t="e">
        <f>+#REF!</f>
        <v>#REF!</v>
      </c>
      <c r="K16" s="180"/>
      <c r="L16" s="180"/>
      <c r="M16" s="91" t="e">
        <f>+#REF!</f>
        <v>#REF!</v>
      </c>
    </row>
    <row r="17" spans="1:13" hidden="1" x14ac:dyDescent="0.3">
      <c r="G17" s="3"/>
    </row>
    <row r="18" spans="1:13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30" customHeight="1" x14ac:dyDescent="0.3">
      <c r="A19" s="112" t="e">
        <f>+#REF!</f>
        <v>#REF!</v>
      </c>
      <c r="B19" s="113" t="e">
        <f>+#REF!</f>
        <v>#REF!</v>
      </c>
      <c r="C19" s="343" t="e">
        <f>+#REF!</f>
        <v>#REF!</v>
      </c>
      <c r="D19" s="343"/>
      <c r="E19" s="114" t="e">
        <f>IF(AND(F19&lt;&gt;"",H19&lt;&gt;""),IF(F19=H19,"E",IF(F19&gt;H19,"G","P")),"")</f>
        <v>#REF!</v>
      </c>
      <c r="F19" s="119" t="e">
        <f>+#REF!</f>
        <v>#REF!</v>
      </c>
      <c r="G19" s="1" t="s">
        <v>12</v>
      </c>
      <c r="H19" s="119" t="e">
        <f>+#REF!</f>
        <v>#REF!</v>
      </c>
      <c r="I19" s="114" t="e">
        <f>IF(AND(H19&lt;&gt;"",F19&lt;&gt;""),IF(H19=F19,"E",IF(H19&gt;F19,"G","P")),"")</f>
        <v>#REF!</v>
      </c>
      <c r="J19" s="343" t="e">
        <f>+#REF!</f>
        <v>#REF!</v>
      </c>
      <c r="K19" s="343"/>
      <c r="L19" s="343"/>
      <c r="M19" s="115" t="e">
        <f>+#REF!</f>
        <v>#REF!</v>
      </c>
    </row>
    <row r="20" spans="1:13" s="3" customFormat="1" ht="10.5" customHeight="1" x14ac:dyDescent="0.3">
      <c r="A20" s="73"/>
      <c r="B20" s="98"/>
      <c r="C20" s="98"/>
      <c r="D20" s="98"/>
    </row>
    <row r="21" spans="1:13" s="3" customFormat="1" ht="30" customHeight="1" x14ac:dyDescent="0.3">
      <c r="A21" s="96" t="e">
        <f>+#REF!</f>
        <v>#REF!</v>
      </c>
      <c r="B21" s="97" t="e">
        <f>+#REF!</f>
        <v>#REF!</v>
      </c>
      <c r="C21" s="180" t="e">
        <f>+#REF!</f>
        <v>#REF!</v>
      </c>
      <c r="D21" s="180"/>
      <c r="E21" s="111" t="e">
        <f>IF(AND(F21&lt;&gt;"",H21&lt;&gt;""),IF(F21=H21,"E",IF(F21&gt;H21,"G","P")),"")</f>
        <v>#REF!</v>
      </c>
      <c r="F21" s="119" t="e">
        <f>+#REF!</f>
        <v>#REF!</v>
      </c>
      <c r="G21" s="1" t="s">
        <v>12</v>
      </c>
      <c r="H21" s="119" t="e">
        <f>+#REF!</f>
        <v>#REF!</v>
      </c>
      <c r="I21" s="111" t="e">
        <f>IF(AND(H21&lt;&gt;"",F21&lt;&gt;""),IF(H21=F21,"E",IF(H21&gt;F21,"G","P")),"")</f>
        <v>#REF!</v>
      </c>
      <c r="J21" s="180" t="e">
        <f>+#REF!</f>
        <v>#REF!</v>
      </c>
      <c r="K21" s="180"/>
      <c r="L21" s="180"/>
      <c r="M21" s="91" t="e">
        <f>+#REF!</f>
        <v>#REF!</v>
      </c>
    </row>
    <row r="22" spans="1:13" s="3" customFormat="1" ht="10.5" customHeight="1" x14ac:dyDescent="0.3">
      <c r="A22" s="73"/>
      <c r="B22" s="98"/>
      <c r="C22" s="98"/>
      <c r="D22" s="98"/>
    </row>
    <row r="23" spans="1:13" s="3" customFormat="1" ht="30" customHeight="1" x14ac:dyDescent="0.3">
      <c r="A23" s="112" t="e">
        <f>+#REF!</f>
        <v>#REF!</v>
      </c>
      <c r="B23" s="113" t="e">
        <f>+#REF!</f>
        <v>#REF!</v>
      </c>
      <c r="C23" s="343" t="e">
        <f>+#REF!</f>
        <v>#REF!</v>
      </c>
      <c r="D23" s="343"/>
      <c r="E23" s="114" t="e">
        <f>IF(AND(F23&lt;&gt;"",H23&lt;&gt;""),IF(F23=H23,"E",IF(F23&gt;H23,"G","P")),"")</f>
        <v>#REF!</v>
      </c>
      <c r="F23" s="119" t="e">
        <f>+#REF!</f>
        <v>#REF!</v>
      </c>
      <c r="G23" s="1" t="s">
        <v>12</v>
      </c>
      <c r="H23" s="119" t="e">
        <f>+#REF!</f>
        <v>#REF!</v>
      </c>
      <c r="I23" s="114" t="e">
        <f>IF(AND(H23&lt;&gt;"",F23&lt;&gt;""),IF(H23=F23,"E",IF(H23&gt;F23,"G","P")),"")</f>
        <v>#REF!</v>
      </c>
      <c r="J23" s="343" t="e">
        <f>+#REF!</f>
        <v>#REF!</v>
      </c>
      <c r="K23" s="343"/>
      <c r="L23" s="343"/>
      <c r="M23" s="115" t="e">
        <f>+#REF!</f>
        <v>#REF!</v>
      </c>
    </row>
    <row r="24" spans="1:13" s="3" customFormat="1" ht="10.5" customHeight="1" x14ac:dyDescent="0.3">
      <c r="A24" s="73"/>
      <c r="B24" s="98"/>
      <c r="C24" s="98"/>
      <c r="D24" s="98"/>
    </row>
    <row r="25" spans="1:13" s="3" customFormat="1" ht="30" customHeight="1" x14ac:dyDescent="0.3">
      <c r="A25" s="96" t="e">
        <f>+#REF!</f>
        <v>#REF!</v>
      </c>
      <c r="B25" s="97" t="e">
        <f>+#REF!</f>
        <v>#REF!</v>
      </c>
      <c r="C25" s="180" t="e">
        <f>+#REF!</f>
        <v>#REF!</v>
      </c>
      <c r="D25" s="180"/>
      <c r="E25" s="111" t="e">
        <f>IF(AND(F25&lt;&gt;"",H25&lt;&gt;""),IF(F25=H25,"E",IF(F25&gt;H25,"G","P")),"")</f>
        <v>#REF!</v>
      </c>
      <c r="F25" s="119" t="e">
        <f>+#REF!</f>
        <v>#REF!</v>
      </c>
      <c r="G25" s="1" t="s">
        <v>12</v>
      </c>
      <c r="H25" s="119" t="e">
        <f>+#REF!</f>
        <v>#REF!</v>
      </c>
      <c r="I25" s="111" t="e">
        <f>IF(AND(H25&lt;&gt;"",F25&lt;&gt;""),IF(H25=F25,"E",IF(H25&gt;F25,"G","P")),"")</f>
        <v>#REF!</v>
      </c>
      <c r="J25" s="180" t="e">
        <f>+#REF!</f>
        <v>#REF!</v>
      </c>
      <c r="K25" s="180"/>
      <c r="L25" s="180"/>
      <c r="M25" s="91" t="e">
        <f>+#REF!</f>
        <v>#REF!</v>
      </c>
    </row>
    <row r="26" spans="1:13" s="3" customFormat="1" ht="21" customHeight="1" x14ac:dyDescent="0.3">
      <c r="A26" s="99"/>
      <c r="B26" s="100"/>
      <c r="C26" s="101"/>
      <c r="D26" s="101"/>
      <c r="E26" s="102"/>
      <c r="F26" s="103"/>
      <c r="G26" s="1"/>
      <c r="H26" s="103"/>
      <c r="I26" s="102"/>
      <c r="J26" s="101"/>
      <c r="K26" s="101"/>
      <c r="L26" s="101"/>
      <c r="M26" s="104"/>
    </row>
    <row r="27" spans="1:13" s="3" customFormat="1" ht="21" customHeight="1" thickBot="1" x14ac:dyDescent="0.35">
      <c r="A27" s="99"/>
      <c r="B27" s="100"/>
      <c r="C27" s="101"/>
      <c r="D27" s="101"/>
      <c r="E27" s="102"/>
      <c r="F27" s="103"/>
      <c r="G27" s="1"/>
      <c r="H27" s="103"/>
      <c r="I27" s="102"/>
      <c r="J27" s="101"/>
      <c r="K27" s="101"/>
      <c r="L27" s="101"/>
      <c r="M27" s="104"/>
    </row>
    <row r="28" spans="1:13" s="3" customFormat="1" ht="25.5" customHeight="1" thickBot="1" x14ac:dyDescent="0.35">
      <c r="A28" s="99"/>
      <c r="B28" s="100"/>
      <c r="C28" s="101"/>
      <c r="D28" s="332" t="str">
        <f>+'GRUPOS PRE JUVENIL'!E6</f>
        <v>GRUPO A</v>
      </c>
      <c r="E28" s="333"/>
      <c r="F28" s="333"/>
      <c r="G28" s="333"/>
      <c r="H28" s="334"/>
    </row>
    <row r="29" spans="1:13" s="3" customFormat="1" ht="37.5" customHeight="1" thickBot="1" x14ac:dyDescent="0.35">
      <c r="A29" s="99"/>
      <c r="B29" s="100"/>
      <c r="C29" s="101"/>
      <c r="D29" s="337" t="str">
        <f>+'GRUPOS PRE JUVENIL'!E7</f>
        <v>SPORTLAND LA MESA</v>
      </c>
      <c r="E29" s="338"/>
      <c r="F29" s="338"/>
      <c r="G29" s="338"/>
      <c r="H29" s="339"/>
    </row>
    <row r="30" spans="1:13" s="3" customFormat="1" ht="37.5" customHeight="1" thickBot="1" x14ac:dyDescent="0.35">
      <c r="A30" s="99"/>
      <c r="B30" s="100"/>
      <c r="C30" s="101"/>
      <c r="D30" s="337" t="str">
        <f>+'GRUPOS PRE JUVENIL'!E8</f>
        <v>CLUB DEPORTIVO  
YIYO MUZO F. C.</v>
      </c>
      <c r="E30" s="338"/>
      <c r="F30" s="338"/>
      <c r="G30" s="338"/>
      <c r="H30" s="339"/>
    </row>
    <row r="31" spans="1:13" s="3" customFormat="1" ht="37.5" customHeight="1" thickBot="1" x14ac:dyDescent="0.35">
      <c r="A31" s="99"/>
      <c r="B31" s="100"/>
      <c r="C31" s="101"/>
      <c r="D31" s="337" t="str">
        <f>+'GRUPOS PRE JUVENIL'!E9</f>
        <v>CLUB LA REAL</v>
      </c>
      <c r="E31" s="338"/>
      <c r="F31" s="338"/>
      <c r="G31" s="338"/>
      <c r="H31" s="339"/>
    </row>
    <row r="32" spans="1:13" s="3" customFormat="1" ht="37.5" customHeight="1" thickBot="1" x14ac:dyDescent="0.35">
      <c r="A32" s="99"/>
      <c r="B32" s="100"/>
      <c r="C32" s="101"/>
      <c r="D32" s="337" t="e">
        <f>+'GRUPOS PRE JUVENIL'!#REF!</f>
        <v>#REF!</v>
      </c>
      <c r="E32" s="338"/>
      <c r="F32" s="338"/>
      <c r="G32" s="338"/>
      <c r="H32" s="339"/>
    </row>
    <row r="33" spans="1:13" s="3" customFormat="1" ht="37.5" customHeight="1" x14ac:dyDescent="0.3">
      <c r="A33" s="99"/>
      <c r="B33" s="100"/>
      <c r="C33" s="101"/>
      <c r="D33" s="337" t="e">
        <f>+'GRUPOS PRE JUVENIL'!#REF!</f>
        <v>#REF!</v>
      </c>
      <c r="E33" s="338"/>
      <c r="F33" s="338"/>
      <c r="G33" s="338"/>
      <c r="H33" s="339"/>
    </row>
    <row r="34" spans="1:13" s="3" customFormat="1" ht="15" customHeight="1" x14ac:dyDescent="0.3">
      <c r="A34" s="99"/>
      <c r="B34" s="100"/>
      <c r="C34" s="101"/>
      <c r="D34" s="118"/>
      <c r="E34" s="118"/>
      <c r="F34" s="118"/>
      <c r="G34" s="118"/>
      <c r="H34" s="118"/>
    </row>
    <row r="35" spans="1:13" s="3" customFormat="1" ht="15" customHeight="1" x14ac:dyDescent="0.3">
      <c r="A35" s="99"/>
      <c r="B35" s="100"/>
      <c r="C35" s="101"/>
      <c r="D35" s="118"/>
      <c r="E35" s="118"/>
      <c r="F35" s="118"/>
      <c r="G35" s="118"/>
      <c r="H35" s="118"/>
    </row>
    <row r="36" spans="1:13" s="3" customFormat="1" ht="37.5" customHeight="1" x14ac:dyDescent="0.3">
      <c r="A36" s="354" t="str">
        <f>+'GRUPOS PRE JUVENIL'!E6</f>
        <v>GRUPO A</v>
      </c>
      <c r="B36" s="354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</row>
    <row r="37" spans="1:13" s="3" customFormat="1" ht="15" customHeight="1" x14ac:dyDescent="0.3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</row>
    <row r="38" spans="1:13" ht="23.4" x14ac:dyDescent="0.3">
      <c r="A38" s="298" t="s">
        <v>41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</row>
    <row r="39" spans="1:13" ht="10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30" customHeight="1" x14ac:dyDescent="0.3">
      <c r="A40" s="112">
        <f>+'GRUPO A'!B26</f>
        <v>42812</v>
      </c>
      <c r="B40" s="113" t="str">
        <f>+'GRUPO A'!C26</f>
        <v>07:00. a.m.</v>
      </c>
      <c r="C40" s="343" t="str">
        <f>+'GRUPO A'!E26</f>
        <v>CLUB DEPORTIVO  
YIYO MUZO F. C.</v>
      </c>
      <c r="D40" s="343"/>
      <c r="E40" s="90" t="str">
        <f>IF(AND(F40&lt;&gt;"",H40&lt;&gt;""),IF(F40=H40,"E",IF(F40&gt;H40,"G","P")),"")</f>
        <v>E</v>
      </c>
      <c r="F40" s="119">
        <f>+'GRUPO A'!G26</f>
        <v>0</v>
      </c>
      <c r="G40" s="1" t="s">
        <v>12</v>
      </c>
      <c r="H40" s="119">
        <f>+'GRUPO A'!I26</f>
        <v>0</v>
      </c>
      <c r="I40" s="90" t="str">
        <f>IF(AND(H40&lt;&gt;"",F40&lt;&gt;""),IF(H40=F40,"E",IF(H40&gt;F40,"G","P")),"")</f>
        <v>E</v>
      </c>
      <c r="J40" s="343" t="str">
        <f>+'GRUPO A'!K26</f>
        <v>INTER 
 SADI F. C.</v>
      </c>
      <c r="K40" s="343"/>
      <c r="L40" s="343"/>
      <c r="M40" s="115" t="str">
        <f>+'GRUPO A'!M26</f>
        <v>CANCHA 1 B</v>
      </c>
    </row>
    <row r="41" spans="1:13" hidden="1" x14ac:dyDescent="0.3">
      <c r="G41" s="3"/>
    </row>
    <row r="42" spans="1:13" ht="10.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30" customHeight="1" x14ac:dyDescent="0.3">
      <c r="A43" s="96">
        <f>+'GRUPO A'!B23</f>
        <v>42813</v>
      </c>
      <c r="B43" s="97" t="str">
        <f>+'GRUPO A'!C23</f>
        <v>01:20. p.m.</v>
      </c>
      <c r="C43" s="180" t="str">
        <f>+'GRUPO A'!E23</f>
        <v>SPORTLAND LA MESA</v>
      </c>
      <c r="D43" s="180"/>
      <c r="E43" s="90" t="str">
        <f>IF(AND(F43&lt;&gt;"",H43&lt;&gt;""),IF(F43=H43,"E",IF(F43&gt;H43,"G","P")),"")</f>
        <v>E</v>
      </c>
      <c r="F43" s="119">
        <f>+'GRUPO A'!G23</f>
        <v>0</v>
      </c>
      <c r="G43" s="1" t="s">
        <v>12</v>
      </c>
      <c r="H43" s="119">
        <f>+'GRUPO A'!I23</f>
        <v>0</v>
      </c>
      <c r="I43" s="90" t="str">
        <f>IF(AND(H43&lt;&gt;"",F43&lt;&gt;""),IF(H43=F43,"E",IF(H43&gt;F43,"G","P")),"")</f>
        <v>E</v>
      </c>
      <c r="J43" s="180" t="str">
        <f>+'GRUPO A'!K23</f>
        <v>CLUB LA REAL</v>
      </c>
      <c r="K43" s="180"/>
      <c r="L43" s="180"/>
      <c r="M43" s="91" t="str">
        <f>+'GRUPO A'!M23</f>
        <v>CANCHA 1 A</v>
      </c>
    </row>
    <row r="44" spans="1:13" s="3" customFormat="1" ht="10.5" customHeight="1" x14ac:dyDescent="0.3">
      <c r="A44" s="73"/>
      <c r="B44" s="98"/>
      <c r="C44" s="98"/>
      <c r="D44" s="98"/>
    </row>
    <row r="45" spans="1:13" s="3" customFormat="1" ht="30" customHeight="1" x14ac:dyDescent="0.3">
      <c r="A45" s="112">
        <f>+'GRUPO A'!B35</f>
        <v>0</v>
      </c>
      <c r="B45" s="113">
        <f>+'GRUPO A'!C35</f>
        <v>0</v>
      </c>
      <c r="C45" s="343">
        <f>+'GRUPO A'!E35</f>
        <v>0</v>
      </c>
      <c r="D45" s="343"/>
      <c r="E45" s="90" t="str">
        <f>IF(AND(F45&lt;&gt;"",H45&lt;&gt;""),IF(F45=H45,"E",IF(F45&gt;H45,"G","P")),"")</f>
        <v>E</v>
      </c>
      <c r="F45" s="119">
        <f>+'GRUPO A'!G35</f>
        <v>0</v>
      </c>
      <c r="G45" s="1" t="s">
        <v>12</v>
      </c>
      <c r="H45" s="119">
        <f>+'GRUPO A'!I35</f>
        <v>0</v>
      </c>
      <c r="I45" s="90" t="str">
        <f>IF(AND(H45&lt;&gt;"",F45&lt;&gt;""),IF(H45=F45,"E",IF(H45&gt;F45,"G","P")),"")</f>
        <v>E</v>
      </c>
      <c r="J45" s="343">
        <f>+'GRUPO A'!K35</f>
        <v>0</v>
      </c>
      <c r="K45" s="343"/>
      <c r="L45" s="343"/>
      <c r="M45" s="115">
        <f>+'GRUPO A'!M35</f>
        <v>0</v>
      </c>
    </row>
    <row r="46" spans="1:13" s="3" customFormat="1" ht="10.5" customHeight="1" x14ac:dyDescent="0.3">
      <c r="A46" s="73"/>
      <c r="B46" s="98"/>
      <c r="C46" s="98"/>
      <c r="D46" s="98"/>
    </row>
    <row r="47" spans="1:13" s="3" customFormat="1" ht="30" customHeight="1" x14ac:dyDescent="0.3">
      <c r="A47" s="96">
        <f>+'GRUPO A'!B32</f>
        <v>42812</v>
      </c>
      <c r="B47" s="97" t="str">
        <f>+'GRUPO A'!C32</f>
        <v>03:00. p.m.</v>
      </c>
      <c r="C47" s="180" t="str">
        <f>+'GRUPO A'!E32</f>
        <v>ACADEMIA COOFISAM</v>
      </c>
      <c r="D47" s="180"/>
      <c r="E47" s="90" t="str">
        <f>IF(AND(F47&lt;&gt;"",H47&lt;&gt;""),IF(F47=H47,"E",IF(F47&gt;H47,"G","P")),"")</f>
        <v>E</v>
      </c>
      <c r="F47" s="119">
        <f>+'GRUPO A'!G32</f>
        <v>0</v>
      </c>
      <c r="G47" s="1" t="s">
        <v>12</v>
      </c>
      <c r="H47" s="119">
        <f>+'GRUPO A'!I32</f>
        <v>0</v>
      </c>
      <c r="I47" s="90" t="str">
        <f>IF(AND(H47&lt;&gt;"",F47&lt;&gt;""),IF(H47=F47,"E",IF(H47&gt;F47,"G","P")),"")</f>
        <v>E</v>
      </c>
      <c r="J47" s="180" t="str">
        <f>+'GRUPO A'!K32</f>
        <v>SPORTLAND LA MESA</v>
      </c>
      <c r="K47" s="180"/>
      <c r="L47" s="180"/>
      <c r="M47" s="91" t="str">
        <f>+'GRUPO A'!M32</f>
        <v>CANCHA 1 B</v>
      </c>
    </row>
    <row r="48" spans="1:13" s="3" customFormat="1" ht="10.5" customHeight="1" x14ac:dyDescent="0.3">
      <c r="A48" s="73"/>
      <c r="B48" s="98"/>
      <c r="C48" s="98"/>
      <c r="D48" s="98"/>
    </row>
    <row r="49" spans="1:13" s="3" customFormat="1" ht="30" customHeight="1" x14ac:dyDescent="0.3">
      <c r="A49" s="112">
        <f>+'GRUPO A'!B29</f>
        <v>42812</v>
      </c>
      <c r="B49" s="113" t="str">
        <f>+'GRUPO A'!C29</f>
        <v>03:00. p.m.</v>
      </c>
      <c r="C49" s="343" t="str">
        <f>+'GRUPO A'!E29</f>
        <v>CLUB LA REAL</v>
      </c>
      <c r="D49" s="343"/>
      <c r="E49" s="90" t="str">
        <f>IF(AND(F49&lt;&gt;"",H49&lt;&gt;""),IF(F49=H49,"E",IF(F49&gt;H49,"G","P")),"")</f>
        <v>E</v>
      </c>
      <c r="F49" s="119">
        <f>+'GRUPO A'!G29</f>
        <v>0</v>
      </c>
      <c r="G49" s="1" t="s">
        <v>12</v>
      </c>
      <c r="H49" s="119">
        <f>+'GRUPO A'!I29</f>
        <v>0</v>
      </c>
      <c r="I49" s="90" t="str">
        <f>IF(AND(H49&lt;&gt;"",F49&lt;&gt;""),IF(H49=F49,"E",IF(H49&gt;F49,"G","P")),"")</f>
        <v>E</v>
      </c>
      <c r="J49" s="343" t="str">
        <f>+'GRUPO A'!K29</f>
        <v>CLUB DEPORTIVO  
YIYO MUZO F. C.</v>
      </c>
      <c r="K49" s="343"/>
      <c r="L49" s="343"/>
      <c r="M49" s="115" t="str">
        <f>+'GRUPO A'!M29</f>
        <v>CANCHA 1 C</v>
      </c>
    </row>
    <row r="50" spans="1:13" s="3" customFormat="1" ht="15.6" x14ac:dyDescent="0.3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</row>
    <row r="51" spans="1:13" s="3" customFormat="1" x14ac:dyDescent="0.3">
      <c r="A51" s="312" t="s">
        <v>35</v>
      </c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</row>
    <row r="52" spans="1:13" s="3" customFormat="1" x14ac:dyDescent="0.3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</row>
    <row r="53" spans="1:13" s="3" customFormat="1" x14ac:dyDescent="0.3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</row>
    <row r="54" spans="1:13" s="3" customFormat="1" x14ac:dyDescent="0.3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</row>
    <row r="55" spans="1:13" s="3" customFormat="1" ht="15.6" x14ac:dyDescent="0.3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</row>
    <row r="56" spans="1:13" s="3" customFormat="1" x14ac:dyDescent="0.3">
      <c r="A56" s="313" t="s">
        <v>25</v>
      </c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</row>
    <row r="57" spans="1:13" s="3" customFormat="1" x14ac:dyDescent="0.3">
      <c r="A57" s="313" t="s">
        <v>26</v>
      </c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</row>
    <row r="58" spans="1:13" s="3" customFormat="1" x14ac:dyDescent="0.3">
      <c r="A58" s="314" t="s">
        <v>27</v>
      </c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</row>
    <row r="59" spans="1:13" s="3" customFormat="1" x14ac:dyDescent="0.3">
      <c r="A59" s="313" t="s">
        <v>28</v>
      </c>
      <c r="B59" s="313"/>
      <c r="C59" s="313"/>
      <c r="D59" s="313"/>
      <c r="E59" s="313"/>
      <c r="F59" s="313"/>
      <c r="G59" s="313"/>
      <c r="H59" s="313"/>
      <c r="I59" s="313"/>
      <c r="J59" s="313"/>
      <c r="K59" s="313"/>
      <c r="L59" s="313"/>
      <c r="M59" s="313"/>
    </row>
  </sheetData>
  <mergeCells count="44">
    <mergeCell ref="A51:M54"/>
    <mergeCell ref="A56:M56"/>
    <mergeCell ref="A57:M57"/>
    <mergeCell ref="A58:M58"/>
    <mergeCell ref="A59:M59"/>
    <mergeCell ref="C45:D45"/>
    <mergeCell ref="J45:L45"/>
    <mergeCell ref="C47:D47"/>
    <mergeCell ref="J47:L47"/>
    <mergeCell ref="C49:D49"/>
    <mergeCell ref="J49:L49"/>
    <mergeCell ref="C43:D43"/>
    <mergeCell ref="J43:L43"/>
    <mergeCell ref="C25:D25"/>
    <mergeCell ref="J25:L25"/>
    <mergeCell ref="D28:H28"/>
    <mergeCell ref="D29:H29"/>
    <mergeCell ref="D30:H30"/>
    <mergeCell ref="D31:H31"/>
    <mergeCell ref="D32:H32"/>
    <mergeCell ref="D33:H33"/>
    <mergeCell ref="A38:M38"/>
    <mergeCell ref="C40:D40"/>
    <mergeCell ref="J40:L40"/>
    <mergeCell ref="A36:M37"/>
    <mergeCell ref="C19:D19"/>
    <mergeCell ref="J19:L19"/>
    <mergeCell ref="C21:D21"/>
    <mergeCell ref="J21:L21"/>
    <mergeCell ref="C23:D23"/>
    <mergeCell ref="J23:L23"/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</mergeCells>
  <conditionalFormatting sqref="F16 F19 F25:F27">
    <cfRule type="expression" dxfId="71" priority="34" stopIfTrue="1">
      <formula>#REF!="P"</formula>
    </cfRule>
    <cfRule type="expression" dxfId="70" priority="35" stopIfTrue="1">
      <formula>#REF!="E"</formula>
    </cfRule>
    <cfRule type="expression" dxfId="69" priority="36" stopIfTrue="1">
      <formula>#REF!="G"</formula>
    </cfRule>
  </conditionalFormatting>
  <conditionalFormatting sqref="F21">
    <cfRule type="expression" dxfId="68" priority="28" stopIfTrue="1">
      <formula>#REF!="P"</formula>
    </cfRule>
    <cfRule type="expression" dxfId="67" priority="29" stopIfTrue="1">
      <formula>#REF!="E"</formula>
    </cfRule>
    <cfRule type="expression" dxfId="66" priority="30" stopIfTrue="1">
      <formula>#REF!="G"</formula>
    </cfRule>
  </conditionalFormatting>
  <conditionalFormatting sqref="F23">
    <cfRule type="expression" dxfId="65" priority="22" stopIfTrue="1">
      <formula>#REF!="P"</formula>
    </cfRule>
    <cfRule type="expression" dxfId="64" priority="23" stopIfTrue="1">
      <formula>#REF!="E"</formula>
    </cfRule>
    <cfRule type="expression" dxfId="63" priority="24" stopIfTrue="1">
      <formula>#REF!="G"</formula>
    </cfRule>
  </conditionalFormatting>
  <conditionalFormatting sqref="F40 F43 F49">
    <cfRule type="expression" dxfId="62" priority="16" stopIfTrue="1">
      <formula>#REF!="P"</formula>
    </cfRule>
    <cfRule type="expression" dxfId="61" priority="17" stopIfTrue="1">
      <formula>#REF!="E"</formula>
    </cfRule>
    <cfRule type="expression" dxfId="60" priority="18" stopIfTrue="1">
      <formula>#REF!="G"</formula>
    </cfRule>
  </conditionalFormatting>
  <conditionalFormatting sqref="F45">
    <cfRule type="expression" dxfId="59" priority="10" stopIfTrue="1">
      <formula>#REF!="P"</formula>
    </cfRule>
    <cfRule type="expression" dxfId="58" priority="11" stopIfTrue="1">
      <formula>#REF!="E"</formula>
    </cfRule>
    <cfRule type="expression" dxfId="57" priority="12" stopIfTrue="1">
      <formula>#REF!="G"</formula>
    </cfRule>
  </conditionalFormatting>
  <conditionalFormatting sqref="F47">
    <cfRule type="expression" dxfId="56" priority="4" stopIfTrue="1">
      <formula>#REF!="P"</formula>
    </cfRule>
    <cfRule type="expression" dxfId="55" priority="5" stopIfTrue="1">
      <formula>#REF!="E"</formula>
    </cfRule>
    <cfRule type="expression" dxfId="54" priority="6" stopIfTrue="1">
      <formula>#REF!="G"</formula>
    </cfRule>
  </conditionalFormatting>
  <hyperlinks>
    <hyperlink ref="A58" r:id="rId1" display="mailto:soccermelgar@outlook.com" xr:uid="{00000000-0004-0000-0A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6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16" s="3" customFormat="1" ht="60" customHeight="1" x14ac:dyDescent="0.3">
      <c r="A1" s="315" t="e">
        <f>+'GRUPOS PRE JUVENIL'!B1:J1</f>
        <v>#VALUE!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</row>
    <row r="2" spans="1:16" s="3" customFormat="1" ht="45" customHeight="1" thickBot="1" x14ac:dyDescent="0.35">
      <c r="A2" s="316" t="s">
        <v>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</row>
    <row r="3" spans="1:16" s="3" customFormat="1" ht="25.5" customHeight="1" thickBot="1" x14ac:dyDescent="0.35">
      <c r="D3" s="346" t="str">
        <f>+'GRUPOS PRE JUVENIL'!G6</f>
        <v>GRUPO B</v>
      </c>
      <c r="E3" s="347"/>
      <c r="F3" s="347"/>
      <c r="G3" s="347"/>
      <c r="H3" s="348"/>
      <c r="I3" s="71"/>
      <c r="J3" s="71"/>
      <c r="L3" s="317"/>
      <c r="M3" s="317"/>
    </row>
    <row r="4" spans="1:16" s="3" customFormat="1" ht="37.5" customHeight="1" thickBot="1" x14ac:dyDescent="0.35">
      <c r="D4" s="337" t="str">
        <f>+'GRUPOS PRE JUVENIL'!G7</f>
        <v>ACADEMIA COOFISAM</v>
      </c>
      <c r="E4" s="338"/>
      <c r="F4" s="338"/>
      <c r="G4" s="338"/>
      <c r="H4" s="339"/>
      <c r="I4" s="72"/>
      <c r="J4" s="72"/>
      <c r="L4" s="317"/>
      <c r="M4" s="317"/>
    </row>
    <row r="5" spans="1:16" s="3" customFormat="1" ht="37.5" customHeight="1" thickBot="1" x14ac:dyDescent="0.35">
      <c r="D5" s="337" t="str">
        <f>+'GRUPOS PRE JUVENIL'!G8</f>
        <v>INTER 
 SADI F. C.</v>
      </c>
      <c r="E5" s="338"/>
      <c r="F5" s="338"/>
      <c r="G5" s="338"/>
      <c r="H5" s="339"/>
      <c r="I5" s="72"/>
      <c r="J5" s="72"/>
      <c r="L5" s="317"/>
      <c r="M5" s="317"/>
    </row>
    <row r="6" spans="1:16" s="3" customFormat="1" ht="37.5" customHeight="1" thickBot="1" x14ac:dyDescent="0.35">
      <c r="D6" s="337" t="str">
        <f>+'GRUPOS PRE JUVENIL'!G9</f>
        <v>ATHLETIC MELGAR</v>
      </c>
      <c r="E6" s="338"/>
      <c r="F6" s="338"/>
      <c r="G6" s="338"/>
      <c r="H6" s="339"/>
      <c r="I6" s="72"/>
      <c r="J6" s="72"/>
    </row>
    <row r="7" spans="1:16" s="3" customFormat="1" ht="38.25" customHeight="1" thickBot="1" x14ac:dyDescent="0.35">
      <c r="D7" s="337">
        <f>+'GRUPOS PRE JUVENIL'!G10</f>
        <v>0</v>
      </c>
      <c r="E7" s="338"/>
      <c r="F7" s="338"/>
      <c r="G7" s="338"/>
      <c r="H7" s="339"/>
      <c r="I7" s="72"/>
      <c r="J7" s="72"/>
    </row>
    <row r="8" spans="1:16" s="3" customFormat="1" ht="37.5" customHeight="1" x14ac:dyDescent="0.3">
      <c r="D8" s="337">
        <f>+'GRUPOS PRE JUVENIL'!G11</f>
        <v>0</v>
      </c>
      <c r="E8" s="338"/>
      <c r="F8" s="338"/>
      <c r="G8" s="338"/>
      <c r="H8" s="339"/>
      <c r="I8" s="72"/>
      <c r="J8" s="72"/>
    </row>
    <row r="9" spans="1:16" s="3" customFormat="1" ht="17.25" customHeight="1" x14ac:dyDescent="0.3"/>
    <row r="10" spans="1:16" s="3" customFormat="1" ht="24" customHeight="1" x14ac:dyDescent="0.55000000000000004">
      <c r="B10" s="45" t="str">
        <f>+'GRUPOS PRE JUVENIL'!D3</f>
        <v>5 Y 6 ABRIL 2025</v>
      </c>
    </row>
    <row r="11" spans="1:16" s="3" customFormat="1" ht="21" x14ac:dyDescent="0.4">
      <c r="B11" s="59" t="str">
        <f>+'GRUPOS PRE JUVENIL'!D4</f>
        <v>NACIDOS 2013 2014</v>
      </c>
    </row>
    <row r="12" spans="1:16" s="3" customFormat="1" ht="37.5" customHeight="1" x14ac:dyDescent="0.3">
      <c r="A12" s="356" t="str">
        <f>+'GRUPOS PRE JUVENIL'!G6</f>
        <v>GRUPO B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6"/>
    </row>
    <row r="13" spans="1:16" s="3" customFormat="1" ht="15" customHeight="1" x14ac:dyDescent="0.3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57"/>
    </row>
    <row r="14" spans="1:16" ht="23.4" x14ac:dyDescent="0.3">
      <c r="A14" s="298" t="s">
        <v>42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3"/>
      <c r="O14" s="3"/>
      <c r="P14" s="3"/>
    </row>
    <row r="15" spans="1:16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39</v>
      </c>
    </row>
    <row r="16" spans="1:16" ht="30" customHeight="1" x14ac:dyDescent="0.35">
      <c r="A16" s="54">
        <f>+'GRUPO B'!B35</f>
        <v>0</v>
      </c>
      <c r="B16" s="55">
        <f>+'GRUPO B'!C35</f>
        <v>0</v>
      </c>
      <c r="C16" s="323">
        <f>+'GRUPO B'!E35</f>
        <v>0</v>
      </c>
      <c r="D16" s="323"/>
      <c r="E16" s="62" t="str">
        <f>IF(AND(F16&lt;&gt;"",H16&lt;&gt;""),IF(F16=H16,"E",IF(F16&gt;H16,"G","P")),"")</f>
        <v>E</v>
      </c>
      <c r="F16" s="57">
        <f>+'GRUPO B'!G35</f>
        <v>0</v>
      </c>
      <c r="G16" s="78" t="s">
        <v>12</v>
      </c>
      <c r="H16" s="57">
        <f>+'GRUPO B'!I35</f>
        <v>0</v>
      </c>
      <c r="I16" s="62" t="str">
        <f>IF(AND(H16&lt;&gt;"",F16&lt;&gt;""),IF(H16=F16,"E",IF(H16&gt;F16,"G","P")),"")</f>
        <v>E</v>
      </c>
      <c r="J16" s="323">
        <f>+'GRUPO B'!K35</f>
        <v>0</v>
      </c>
      <c r="K16" s="323"/>
      <c r="L16" s="323"/>
      <c r="M16" s="56">
        <f>+'GRUPO B'!M35</f>
        <v>0</v>
      </c>
    </row>
    <row r="19" spans="1:13" s="3" customFormat="1" ht="30" customHeight="1" x14ac:dyDescent="0.35">
      <c r="A19" s="105">
        <f>+'GRUPO B'!B23</f>
        <v>42812</v>
      </c>
      <c r="B19" s="106" t="str">
        <f>+'GRUPO B'!C23</f>
        <v>08:40. p.m.</v>
      </c>
      <c r="C19" s="330" t="str">
        <f>+'GRUPO B'!E23</f>
        <v>ACADEMIA COOFISAM</v>
      </c>
      <c r="D19" s="330"/>
      <c r="E19" s="62" t="str">
        <f>IF(AND(F19&lt;&gt;"",H19&lt;&gt;""),IF(F19=H19,"E",IF(F19&gt;H19,"G","P")),"")</f>
        <v>E</v>
      </c>
      <c r="F19" s="57">
        <f>+'GRUPO B'!G23</f>
        <v>0</v>
      </c>
      <c r="G19" s="78" t="s">
        <v>12</v>
      </c>
      <c r="H19" s="57">
        <f>+'GRUPO B'!I23</f>
        <v>0</v>
      </c>
      <c r="I19" s="62" t="str">
        <f>IF(AND(H19&lt;&gt;"",F19&lt;&gt;""),IF(H19=F19,"E",IF(H19&gt;F19,"G","P")),"")</f>
        <v>E</v>
      </c>
      <c r="J19" s="330" t="str">
        <f>+'GRUPO B'!K23</f>
        <v>ATHLETIC MELGAR</v>
      </c>
      <c r="K19" s="330"/>
      <c r="L19" s="330"/>
      <c r="M19" s="107" t="str">
        <f>+'GRUPO B'!M23</f>
        <v>CANCHA 1 B</v>
      </c>
    </row>
    <row r="20" spans="1:13" s="3" customFormat="1" ht="10.5" customHeight="1" x14ac:dyDescent="0.35">
      <c r="A20" s="74"/>
      <c r="B20" s="75"/>
      <c r="C20" s="76"/>
      <c r="D20" s="76"/>
      <c r="E20" s="84"/>
      <c r="F20" s="77"/>
      <c r="G20" s="78"/>
      <c r="H20" s="77"/>
      <c r="I20" s="84"/>
      <c r="J20" s="76"/>
      <c r="K20" s="76"/>
      <c r="L20" s="76"/>
      <c r="M20" s="79"/>
    </row>
    <row r="21" spans="1:13" s="3" customFormat="1" ht="30" customHeight="1" x14ac:dyDescent="0.35">
      <c r="A21" s="54">
        <f>+'GRUPO B'!B26</f>
        <v>42812</v>
      </c>
      <c r="B21" s="55" t="str">
        <f>+'GRUPO B'!C26</f>
        <v>07:00. a.m.</v>
      </c>
      <c r="C21" s="323" t="str">
        <f>+'GRUPO B'!E26</f>
        <v>CLUB DEPORTIVO  
YIYO MUZO F. C.</v>
      </c>
      <c r="D21" s="323"/>
      <c r="E21" s="108" t="str">
        <f>IF(AND(F21&lt;&gt;"",H21&lt;&gt;""),IF(F21=H21,"E",IF(F21&gt;H21,"G","P")),"")</f>
        <v>E</v>
      </c>
      <c r="F21" s="109">
        <f>+'GRUPO B'!G26</f>
        <v>0</v>
      </c>
      <c r="G21" s="78" t="s">
        <v>12</v>
      </c>
      <c r="H21" s="109">
        <f>+'GRUPO B'!I26</f>
        <v>0</v>
      </c>
      <c r="I21" s="108" t="str">
        <f>IF(AND(H21&lt;&gt;"",F21&lt;&gt;""),IF(H21=F21,"E",IF(H21&gt;F21,"G","P")),"")</f>
        <v>E</v>
      </c>
      <c r="J21" s="323" t="str">
        <f>+'GRUPO B'!K26</f>
        <v>INTER 
 SADI F. C.</v>
      </c>
      <c r="K21" s="323"/>
      <c r="L21" s="323"/>
      <c r="M21" s="56" t="str">
        <f>+'GRUPO B'!M26</f>
        <v>CANCHA 1 B</v>
      </c>
    </row>
    <row r="22" spans="1:13" s="3" customFormat="1" ht="10.5" customHeight="1" x14ac:dyDescent="0.35">
      <c r="A22" s="73"/>
      <c r="B22" s="82"/>
      <c r="C22" s="82"/>
      <c r="D22" s="82"/>
    </row>
    <row r="23" spans="1:13" s="3" customFormat="1" ht="30" customHeight="1" x14ac:dyDescent="0.35">
      <c r="A23" s="105">
        <f>+'GRUPO B'!B29</f>
        <v>42812</v>
      </c>
      <c r="B23" s="106" t="str">
        <f>+'GRUPO B'!C29</f>
        <v>03:00. p.m.</v>
      </c>
      <c r="C23" s="330" t="str">
        <f>+'GRUPO B'!E29</f>
        <v>INTER 
 SADI F. C.</v>
      </c>
      <c r="D23" s="330"/>
      <c r="E23" s="84" t="str">
        <f>IF(AND(F23&lt;&gt;"",H23&lt;&gt;""),IF(F23=H23,"E",IF(F23&gt;H23,"G","P")),"")</f>
        <v>E</v>
      </c>
      <c r="F23" s="110">
        <f>+'GRUPO B'!G29</f>
        <v>0</v>
      </c>
      <c r="G23" s="78" t="s">
        <v>12</v>
      </c>
      <c r="H23" s="110">
        <f>+'GRUPO B'!I29</f>
        <v>0</v>
      </c>
      <c r="I23" s="84" t="str">
        <f>IF(AND(H23&lt;&gt;"",F23&lt;&gt;""),IF(H23=F23,"E",IF(H23&gt;F23,"G","P")),"")</f>
        <v>E</v>
      </c>
      <c r="J23" s="330" t="str">
        <f>+'GRUPO B'!K29</f>
        <v>ATHLETIC MELGAR</v>
      </c>
      <c r="K23" s="330"/>
      <c r="L23" s="330"/>
      <c r="M23" s="107" t="str">
        <f>+'GRUPO B'!M29</f>
        <v>CANCHA 1 A</v>
      </c>
    </row>
    <row r="24" spans="1:13" s="3" customFormat="1" ht="10.5" customHeight="1" x14ac:dyDescent="0.35">
      <c r="A24" s="74"/>
      <c r="B24" s="75"/>
      <c r="C24" s="76"/>
      <c r="D24" s="76"/>
      <c r="E24" s="84"/>
      <c r="F24" s="77"/>
      <c r="G24" s="78"/>
      <c r="H24" s="77"/>
      <c r="I24" s="84"/>
      <c r="J24" s="76"/>
      <c r="K24" s="76"/>
      <c r="L24" s="76"/>
      <c r="M24" s="79"/>
    </row>
    <row r="25" spans="1:13" s="3" customFormat="1" ht="30" customHeight="1" x14ac:dyDescent="0.35">
      <c r="A25" s="54">
        <f>+'GRUPO B'!B32</f>
        <v>42812</v>
      </c>
      <c r="B25" s="55" t="str">
        <f>+'GRUPO B'!C32</f>
        <v>03:00. p.m.</v>
      </c>
      <c r="C25" s="323" t="str">
        <f>+'GRUPO B'!E32</f>
        <v>ACADEMIA COOFISAM</v>
      </c>
      <c r="D25" s="323"/>
      <c r="E25" s="108" t="str">
        <f>IF(AND(F25&lt;&gt;"",H25&lt;&gt;""),IF(F25=H25,"E",IF(F25&gt;H25,"G","P")),"")</f>
        <v>E</v>
      </c>
      <c r="F25" s="109">
        <f>+'GRUPO B'!G32</f>
        <v>0</v>
      </c>
      <c r="G25" s="78" t="s">
        <v>12</v>
      </c>
      <c r="H25" s="109">
        <f>+'GRUPO B'!I32</f>
        <v>0</v>
      </c>
      <c r="I25" s="108" t="str">
        <f>IF(AND(H25&lt;&gt;"",F25&lt;&gt;""),IF(H25=F25,"E",IF(H25&gt;F25,"G","P")),"")</f>
        <v>E</v>
      </c>
      <c r="J25" s="323" t="str">
        <f>+'GRUPO B'!K32</f>
        <v>SPORTLAND LA MESA</v>
      </c>
      <c r="K25" s="323"/>
      <c r="L25" s="323"/>
      <c r="M25" s="56" t="str">
        <f>+'GRUPO B'!M32</f>
        <v>CANCHA 1 B</v>
      </c>
    </row>
    <row r="26" spans="1:13" s="3" customFormat="1" ht="21" customHeight="1" x14ac:dyDescent="0.35">
      <c r="A26" s="74"/>
      <c r="B26" s="75"/>
      <c r="C26" s="76"/>
      <c r="D26" s="76"/>
      <c r="E26" s="84"/>
      <c r="F26" s="77"/>
      <c r="G26" s="78"/>
      <c r="H26" s="77"/>
      <c r="I26" s="84"/>
      <c r="J26" s="76"/>
      <c r="K26" s="95"/>
      <c r="L26" s="95"/>
      <c r="M26" s="79"/>
    </row>
    <row r="27" spans="1:13" s="3" customFormat="1" ht="21" customHeight="1" thickBot="1" x14ac:dyDescent="0.4">
      <c r="A27" s="74"/>
      <c r="B27" s="75"/>
      <c r="C27" s="76"/>
      <c r="D27" s="76"/>
      <c r="E27" s="84"/>
      <c r="F27" s="77"/>
      <c r="G27" s="78"/>
      <c r="H27" s="77"/>
      <c r="I27" s="84"/>
      <c r="J27" s="76"/>
      <c r="K27" s="95"/>
      <c r="L27" s="95"/>
      <c r="M27" s="79"/>
    </row>
    <row r="28" spans="1:13" s="3" customFormat="1" ht="25.5" customHeight="1" thickBot="1" x14ac:dyDescent="0.55000000000000004">
      <c r="A28" s="74"/>
      <c r="B28" s="75"/>
      <c r="C28" s="76"/>
      <c r="D28" s="361">
        <f>+'GRUPOS PRE JUVENIL'!I6</f>
        <v>0</v>
      </c>
      <c r="E28" s="362"/>
      <c r="F28" s="362"/>
      <c r="G28" s="362"/>
      <c r="H28" s="363"/>
      <c r="I28" s="84"/>
      <c r="J28" s="76"/>
      <c r="K28" s="95"/>
      <c r="L28" s="95"/>
      <c r="M28" s="79"/>
    </row>
    <row r="29" spans="1:13" s="3" customFormat="1" ht="37.5" customHeight="1" thickBot="1" x14ac:dyDescent="0.4">
      <c r="A29" s="74"/>
      <c r="B29" s="75"/>
      <c r="C29" s="76"/>
      <c r="D29" s="358">
        <f>+'GRUPOS PRE JUVENIL'!I7</f>
        <v>0</v>
      </c>
      <c r="E29" s="359"/>
      <c r="F29" s="359"/>
      <c r="G29" s="359"/>
      <c r="H29" s="360"/>
      <c r="I29" s="84"/>
      <c r="J29" s="76"/>
      <c r="K29" s="95"/>
      <c r="L29" s="95"/>
      <c r="M29" s="79"/>
    </row>
    <row r="30" spans="1:13" s="3" customFormat="1" ht="37.5" customHeight="1" thickBot="1" x14ac:dyDescent="0.4">
      <c r="A30" s="74"/>
      <c r="B30" s="75"/>
      <c r="C30" s="76"/>
      <c r="D30" s="358">
        <f>+'GRUPOS PRE JUVENIL'!I8</f>
        <v>0</v>
      </c>
      <c r="E30" s="359"/>
      <c r="F30" s="359"/>
      <c r="G30" s="359"/>
      <c r="H30" s="360"/>
      <c r="I30" s="84"/>
      <c r="J30" s="76"/>
      <c r="K30" s="95"/>
      <c r="L30" s="95"/>
      <c r="M30" s="79"/>
    </row>
    <row r="31" spans="1:13" s="3" customFormat="1" ht="37.5" customHeight="1" thickBot="1" x14ac:dyDescent="0.4">
      <c r="A31" s="74"/>
      <c r="B31" s="75"/>
      <c r="C31" s="76"/>
      <c r="D31" s="358" t="e">
        <f>+'GRUPOS PRE JUVENIL'!#REF!</f>
        <v>#REF!</v>
      </c>
      <c r="E31" s="359"/>
      <c r="F31" s="359"/>
      <c r="G31" s="359"/>
      <c r="H31" s="360"/>
      <c r="I31" s="84"/>
      <c r="J31" s="76"/>
      <c r="K31" s="95"/>
      <c r="L31" s="95"/>
      <c r="M31" s="79"/>
    </row>
    <row r="32" spans="1:13" s="3" customFormat="1" ht="37.5" customHeight="1" thickBot="1" x14ac:dyDescent="0.4">
      <c r="A32" s="74"/>
      <c r="B32" s="75"/>
      <c r="C32" s="76"/>
      <c r="D32" s="358">
        <f>+'GRUPOS PRE JUVENIL'!I10</f>
        <v>0</v>
      </c>
      <c r="E32" s="359"/>
      <c r="F32" s="359"/>
      <c r="G32" s="359"/>
      <c r="H32" s="360"/>
      <c r="I32" s="84"/>
      <c r="J32" s="76"/>
      <c r="K32" s="95"/>
      <c r="L32" s="95"/>
      <c r="M32" s="79"/>
    </row>
    <row r="33" spans="1:13" s="3" customFormat="1" ht="37.5" customHeight="1" thickBot="1" x14ac:dyDescent="0.4">
      <c r="A33" s="74"/>
      <c r="B33" s="75"/>
      <c r="C33" s="76"/>
      <c r="D33" s="358">
        <f>+'GRUPOS PRE JUVENIL'!I11</f>
        <v>0</v>
      </c>
      <c r="E33" s="359"/>
      <c r="F33" s="359"/>
      <c r="G33" s="359"/>
      <c r="H33" s="360"/>
      <c r="I33" s="84"/>
      <c r="J33" s="76"/>
      <c r="K33" s="95"/>
      <c r="L33" s="95"/>
      <c r="M33" s="79"/>
    </row>
    <row r="34" spans="1:13" s="3" customFormat="1" ht="15" customHeight="1" x14ac:dyDescent="0.35">
      <c r="A34" s="74"/>
      <c r="B34" s="75"/>
      <c r="C34" s="76"/>
      <c r="D34" s="76"/>
      <c r="E34" s="84"/>
      <c r="F34" s="77"/>
      <c r="G34" s="78"/>
      <c r="H34" s="77"/>
      <c r="I34" s="84"/>
      <c r="J34" s="76"/>
      <c r="K34" s="95"/>
      <c r="L34" s="95"/>
      <c r="M34" s="79"/>
    </row>
    <row r="35" spans="1:13" s="3" customFormat="1" ht="15" customHeight="1" x14ac:dyDescent="0.3">
      <c r="A35" s="344">
        <f>+'GRUPOS PRE JUVENIL'!I6</f>
        <v>0</v>
      </c>
      <c r="B35" s="344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</row>
    <row r="36" spans="1:13" s="3" customFormat="1" ht="36.75" customHeight="1" x14ac:dyDescent="0.3">
      <c r="A36" s="345"/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</row>
    <row r="37" spans="1:13" s="3" customFormat="1" ht="15" customHeight="1" x14ac:dyDescent="0.3"/>
    <row r="38" spans="1:13" s="3" customFormat="1" ht="30" customHeight="1" x14ac:dyDescent="0.35">
      <c r="A38" s="105" t="e">
        <f>+#REF!</f>
        <v>#REF!</v>
      </c>
      <c r="B38" s="106" t="e">
        <f>+#REF!</f>
        <v>#REF!</v>
      </c>
      <c r="C38" s="330" t="e">
        <f>+#REF!</f>
        <v>#REF!</v>
      </c>
      <c r="D38" s="330"/>
      <c r="E38" s="84" t="e">
        <f>IF(AND(F38&lt;&gt;"",H38&lt;&gt;""),IF(F38=H38,"E",IF(F38&gt;H38,"G","P")),"")</f>
        <v>#REF!</v>
      </c>
      <c r="F38" s="120" t="e">
        <f>+#REF!</f>
        <v>#REF!</v>
      </c>
      <c r="G38" s="78" t="s">
        <v>12</v>
      </c>
      <c r="H38" s="120" t="e">
        <f>+#REF!</f>
        <v>#REF!</v>
      </c>
      <c r="I38" s="84" t="e">
        <f>IF(AND(H38&lt;&gt;"",F38&lt;&gt;""),IF(H38=F38,"E",IF(H38&gt;F38,"G","P")),"")</f>
        <v>#REF!</v>
      </c>
      <c r="J38" s="330" t="e">
        <f>+#REF!</f>
        <v>#REF!</v>
      </c>
      <c r="K38" s="330"/>
      <c r="L38" s="330"/>
      <c r="M38" s="107" t="e">
        <f>+#REF!</f>
        <v>#REF!</v>
      </c>
    </row>
    <row r="39" spans="1:13" s="3" customFormat="1" ht="10.5" customHeight="1" x14ac:dyDescent="0.3"/>
    <row r="40" spans="1:13" s="3" customFormat="1" ht="30" customHeight="1" x14ac:dyDescent="0.35">
      <c r="A40" s="54" t="e">
        <f>+#REF!</f>
        <v>#REF!</v>
      </c>
      <c r="B40" s="55" t="e">
        <f>+#REF!</f>
        <v>#REF!</v>
      </c>
      <c r="C40" s="323" t="e">
        <f>+#REF!</f>
        <v>#REF!</v>
      </c>
      <c r="D40" s="323"/>
      <c r="E40" s="108" t="e">
        <f>IF(AND(F40&lt;&gt;"",H40&lt;&gt;""),IF(F40=H40,"E",IF(F40&gt;H40,"G","P")),"")</f>
        <v>#REF!</v>
      </c>
      <c r="F40" s="120" t="e">
        <f>+#REF!</f>
        <v>#REF!</v>
      </c>
      <c r="G40" s="78" t="s">
        <v>12</v>
      </c>
      <c r="H40" s="120" t="e">
        <f>+#REF!</f>
        <v>#REF!</v>
      </c>
      <c r="I40" s="108" t="e">
        <f>IF(AND(H40&lt;&gt;"",F40&lt;&gt;""),IF(H40=F40,"E",IF(H40&gt;F40,"G","P")),"")</f>
        <v>#REF!</v>
      </c>
      <c r="J40" s="323" t="e">
        <f>+#REF!</f>
        <v>#REF!</v>
      </c>
      <c r="K40" s="323"/>
      <c r="L40" s="323"/>
      <c r="M40" s="56" t="e">
        <f>+#REF!</f>
        <v>#REF!</v>
      </c>
    </row>
    <row r="41" spans="1:13" s="3" customFormat="1" ht="10.5" customHeight="1" x14ac:dyDescent="0.35">
      <c r="A41" s="74"/>
      <c r="B41" s="75"/>
      <c r="C41" s="76"/>
      <c r="D41" s="76"/>
      <c r="E41" s="84"/>
      <c r="F41" s="77"/>
      <c r="G41" s="78"/>
      <c r="H41" s="77"/>
      <c r="I41" s="84"/>
      <c r="J41" s="76"/>
      <c r="K41" s="76"/>
      <c r="L41" s="76"/>
      <c r="M41" s="79"/>
    </row>
    <row r="42" spans="1:13" s="3" customFormat="1" ht="30" customHeight="1" x14ac:dyDescent="0.35">
      <c r="A42" s="105" t="e">
        <f>+#REF!</f>
        <v>#REF!</v>
      </c>
      <c r="B42" s="106" t="e">
        <f>+#REF!</f>
        <v>#REF!</v>
      </c>
      <c r="C42" s="330" t="e">
        <f>+#REF!</f>
        <v>#REF!</v>
      </c>
      <c r="D42" s="330"/>
      <c r="E42" s="62" t="e">
        <f>IF(AND(F42&lt;&gt;"",H42&lt;&gt;""),IF(F42=H42,"E",IF(F42&gt;H42,"G","P")),"")</f>
        <v>#REF!</v>
      </c>
      <c r="F42" s="120" t="e">
        <f>+#REF!</f>
        <v>#REF!</v>
      </c>
      <c r="G42" s="78" t="s">
        <v>12</v>
      </c>
      <c r="H42" s="120" t="e">
        <f>+#REF!</f>
        <v>#REF!</v>
      </c>
      <c r="I42" s="62" t="e">
        <f>IF(AND(H42&lt;&gt;"",F42&lt;&gt;""),IF(H42=F42,"E",IF(H42&gt;F42,"G","P")),"")</f>
        <v>#REF!</v>
      </c>
      <c r="J42" s="330" t="e">
        <f>+#REF!</f>
        <v>#REF!</v>
      </c>
      <c r="K42" s="330"/>
      <c r="L42" s="330"/>
      <c r="M42" s="107" t="e">
        <f>+#REF!</f>
        <v>#REF!</v>
      </c>
    </row>
    <row r="43" spans="1:13" s="3" customFormat="1" ht="10.5" customHeight="1" x14ac:dyDescent="0.35">
      <c r="A43" s="73"/>
      <c r="B43" s="82"/>
      <c r="C43" s="82"/>
      <c r="D43" s="82"/>
    </row>
    <row r="44" spans="1:13" s="3" customFormat="1" ht="30" customHeight="1" x14ac:dyDescent="0.35">
      <c r="A44" s="54" t="e">
        <f>+#REF!</f>
        <v>#REF!</v>
      </c>
      <c r="B44" s="55" t="e">
        <f>+#REF!</f>
        <v>#REF!</v>
      </c>
      <c r="C44" s="323" t="e">
        <f>+#REF!</f>
        <v>#REF!</v>
      </c>
      <c r="D44" s="323"/>
      <c r="E44" s="62" t="e">
        <f>IF(AND(F44&lt;&gt;"",H44&lt;&gt;""),IF(F44=H44,"E",IF(F44&gt;H44,"G","P")),"")</f>
        <v>#REF!</v>
      </c>
      <c r="F44" s="120" t="e">
        <f>+#REF!</f>
        <v>#REF!</v>
      </c>
      <c r="G44" s="78" t="s">
        <v>12</v>
      </c>
      <c r="H44" s="120" t="e">
        <f>+#REF!</f>
        <v>#REF!</v>
      </c>
      <c r="I44" s="62" t="e">
        <f>IF(AND(H44&lt;&gt;"",F44&lt;&gt;""),IF(H44=F44,"E",IF(H44&gt;F44,"G","P")),"")</f>
        <v>#REF!</v>
      </c>
      <c r="J44" s="323" t="e">
        <f>+#REF!</f>
        <v>#REF!</v>
      </c>
      <c r="K44" s="323"/>
      <c r="L44" s="323"/>
      <c r="M44" s="56" t="e">
        <f>+#REF!</f>
        <v>#REF!</v>
      </c>
    </row>
    <row r="45" spans="1:13" s="3" customFormat="1" ht="10.5" customHeight="1" x14ac:dyDescent="0.35">
      <c r="A45" s="74"/>
      <c r="B45" s="75"/>
      <c r="C45" s="76"/>
      <c r="D45" s="76"/>
      <c r="E45" s="84"/>
      <c r="F45" s="77"/>
      <c r="G45" s="78"/>
      <c r="H45" s="77"/>
      <c r="I45" s="84"/>
      <c r="J45" s="76"/>
      <c r="K45" s="76"/>
      <c r="L45" s="76"/>
      <c r="M45" s="79"/>
    </row>
    <row r="46" spans="1:13" s="3" customFormat="1" ht="30" customHeight="1" x14ac:dyDescent="0.35">
      <c r="A46" s="105" t="e">
        <f>+#REF!</f>
        <v>#REF!</v>
      </c>
      <c r="B46" s="106" t="e">
        <f>+#REF!</f>
        <v>#REF!</v>
      </c>
      <c r="C46" s="330" t="e">
        <f>+#REF!</f>
        <v>#REF!</v>
      </c>
      <c r="D46" s="330"/>
      <c r="E46" s="85" t="e">
        <f>IF(AND(F46&lt;&gt;"",H46&lt;&gt;""),IF(F46=H46,"E",IF(F46&gt;H46,"G","P")),"")</f>
        <v>#REF!</v>
      </c>
      <c r="F46" s="120" t="e">
        <f>+#REF!</f>
        <v>#REF!</v>
      </c>
      <c r="G46" s="78" t="s">
        <v>12</v>
      </c>
      <c r="H46" s="120" t="e">
        <f>+#REF!</f>
        <v>#REF!</v>
      </c>
      <c r="I46" s="85" t="e">
        <f>IF(AND(H46&lt;&gt;"",F46&lt;&gt;""),IF(H46=F46,"E",IF(H46&gt;F46,"G","P")),"")</f>
        <v>#REF!</v>
      </c>
      <c r="J46" s="330" t="e">
        <f>+#REF!</f>
        <v>#REF!</v>
      </c>
      <c r="K46" s="330"/>
      <c r="L46" s="330"/>
      <c r="M46" s="107" t="e">
        <f>+#REF!</f>
        <v>#REF!</v>
      </c>
    </row>
    <row r="47" spans="1:13" s="3" customFormat="1" x14ac:dyDescent="0.3"/>
    <row r="48" spans="1:13" s="3" customFormat="1" x14ac:dyDescent="0.3">
      <c r="A48" s="312" t="s">
        <v>35</v>
      </c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</row>
    <row r="49" spans="1:13" s="3" customFormat="1" x14ac:dyDescent="0.3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</row>
    <row r="50" spans="1:13" s="3" customFormat="1" x14ac:dyDescent="0.3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</row>
    <row r="51" spans="1:13" s="3" customFormat="1" x14ac:dyDescent="0.3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</row>
    <row r="52" spans="1:13" s="3" customFormat="1" x14ac:dyDescent="0.3"/>
    <row r="53" spans="1:13" s="3" customFormat="1" x14ac:dyDescent="0.3">
      <c r="A53" s="313" t="s">
        <v>25</v>
      </c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</row>
    <row r="54" spans="1:13" s="3" customFormat="1" x14ac:dyDescent="0.3">
      <c r="A54" s="313" t="s">
        <v>26</v>
      </c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</row>
    <row r="55" spans="1:13" s="3" customFormat="1" x14ac:dyDescent="0.3">
      <c r="A55" s="314" t="s">
        <v>27</v>
      </c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</row>
    <row r="56" spans="1:13" s="3" customFormat="1" x14ac:dyDescent="0.3">
      <c r="A56" s="313" t="s">
        <v>28</v>
      </c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</row>
  </sheetData>
  <mergeCells count="43">
    <mergeCell ref="A48:M51"/>
    <mergeCell ref="A53:M53"/>
    <mergeCell ref="A54:M54"/>
    <mergeCell ref="A55:M55"/>
    <mergeCell ref="A56:M56"/>
    <mergeCell ref="C42:D42"/>
    <mergeCell ref="J42:L42"/>
    <mergeCell ref="C44:D44"/>
    <mergeCell ref="J44:L44"/>
    <mergeCell ref="C46:D46"/>
    <mergeCell ref="J46:L46"/>
    <mergeCell ref="D33:H33"/>
    <mergeCell ref="C38:D38"/>
    <mergeCell ref="J38:L38"/>
    <mergeCell ref="C40:D40"/>
    <mergeCell ref="J40:L40"/>
    <mergeCell ref="A35:M36"/>
    <mergeCell ref="D32:H32"/>
    <mergeCell ref="C19:D19"/>
    <mergeCell ref="J19:L19"/>
    <mergeCell ref="C21:D21"/>
    <mergeCell ref="J21:L21"/>
    <mergeCell ref="C23:D23"/>
    <mergeCell ref="J23:L23"/>
    <mergeCell ref="J25:L25"/>
    <mergeCell ref="C25:D25"/>
    <mergeCell ref="D28:H28"/>
    <mergeCell ref="D29:H29"/>
    <mergeCell ref="D30:H30"/>
    <mergeCell ref="D31:H31"/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</mergeCells>
  <conditionalFormatting sqref="F16">
    <cfRule type="expression" dxfId="53" priority="63" stopIfTrue="1">
      <formula>E16="G"</formula>
    </cfRule>
    <cfRule type="expression" dxfId="52" priority="62" stopIfTrue="1">
      <formula>E16="E"</formula>
    </cfRule>
    <cfRule type="expression" dxfId="51" priority="61" stopIfTrue="1">
      <formula>E16="P"</formula>
    </cfRule>
  </conditionalFormatting>
  <conditionalFormatting sqref="F19">
    <cfRule type="expression" dxfId="50" priority="45" stopIfTrue="1">
      <formula>E19="G"</formula>
    </cfRule>
    <cfRule type="expression" dxfId="49" priority="44" stopIfTrue="1">
      <formula>E19="E"</formula>
    </cfRule>
    <cfRule type="expression" dxfId="48" priority="43" stopIfTrue="1">
      <formula>E19="P"</formula>
    </cfRule>
  </conditionalFormatting>
  <conditionalFormatting sqref="F21">
    <cfRule type="expression" dxfId="44" priority="42" stopIfTrue="1">
      <formula>E21="G"</formula>
    </cfRule>
    <cfRule type="expression" dxfId="43" priority="41" stopIfTrue="1">
      <formula>E21="E"</formula>
    </cfRule>
    <cfRule type="expression" dxfId="42" priority="40" stopIfTrue="1">
      <formula>E21="P"</formula>
    </cfRule>
  </conditionalFormatting>
  <conditionalFormatting sqref="F23">
    <cfRule type="expression" dxfId="41" priority="37" stopIfTrue="1">
      <formula>E23="P"</formula>
    </cfRule>
    <cfRule type="expression" dxfId="40" priority="38" stopIfTrue="1">
      <formula>E23="E"</formula>
    </cfRule>
    <cfRule type="expression" dxfId="39" priority="39" stopIfTrue="1">
      <formula>E23="G"</formula>
    </cfRule>
  </conditionalFormatting>
  <conditionalFormatting sqref="F24">
    <cfRule type="expression" dxfId="38" priority="64" stopIfTrue="1">
      <formula>E20="P"</formula>
    </cfRule>
    <cfRule type="expression" dxfId="37" priority="65" stopIfTrue="1">
      <formula>E20="E"</formula>
    </cfRule>
    <cfRule type="expression" dxfId="36" priority="66" stopIfTrue="1">
      <formula>E20="G"</formula>
    </cfRule>
  </conditionalFormatting>
  <conditionalFormatting sqref="F38">
    <cfRule type="expression" dxfId="26" priority="27" stopIfTrue="1">
      <formula>E38="G"</formula>
    </cfRule>
    <cfRule type="expression" dxfId="25" priority="26" stopIfTrue="1">
      <formula>E38="E"</formula>
    </cfRule>
    <cfRule type="expression" dxfId="24" priority="25" stopIfTrue="1">
      <formula>E38="P"</formula>
    </cfRule>
  </conditionalFormatting>
  <conditionalFormatting sqref="F40">
    <cfRule type="expression" dxfId="23" priority="7" stopIfTrue="1">
      <formula>E40="P"</formula>
    </cfRule>
    <cfRule type="expression" dxfId="22" priority="8" stopIfTrue="1">
      <formula>E40="E"</formula>
    </cfRule>
    <cfRule type="expression" dxfId="21" priority="9" stopIfTrue="1">
      <formula>E40="G"</formula>
    </cfRule>
  </conditionalFormatting>
  <conditionalFormatting sqref="F42">
    <cfRule type="expression" dxfId="20" priority="6" stopIfTrue="1">
      <formula>E42="G"</formula>
    </cfRule>
    <cfRule type="expression" dxfId="19" priority="4" stopIfTrue="1">
      <formula>E42="P"</formula>
    </cfRule>
    <cfRule type="expression" dxfId="18" priority="5" stopIfTrue="1">
      <formula>E42="E"</formula>
    </cfRule>
  </conditionalFormatting>
  <conditionalFormatting sqref="F44">
    <cfRule type="expression" dxfId="17" priority="2" stopIfTrue="1">
      <formula>E44="E"</formula>
    </cfRule>
    <cfRule type="expression" dxfId="16" priority="3" stopIfTrue="1">
      <formula>E44="G"</formula>
    </cfRule>
    <cfRule type="expression" dxfId="15" priority="1" stopIfTrue="1">
      <formula>E44="P"</formula>
    </cfRule>
  </conditionalFormatting>
  <conditionalFormatting sqref="F45">
    <cfRule type="expression" dxfId="14" priority="30" stopIfTrue="1">
      <formula>E41="G"</formula>
    </cfRule>
    <cfRule type="expression" dxfId="13" priority="29" stopIfTrue="1">
      <formula>E41="E"</formula>
    </cfRule>
    <cfRule type="expression" dxfId="12" priority="28" stopIfTrue="1">
      <formula>E41="P"</formula>
    </cfRule>
  </conditionalFormatting>
  <hyperlinks>
    <hyperlink ref="A55" r:id="rId1" display="mailto:soccermelgar@outlook.com" xr:uid="{00000000-0004-0000-0B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6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9" stopIfTrue="1" id="{D19252CD-7A61-4496-BF03-E369C1A140E1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1" stopIfTrue="1" id="{F94307EF-05BC-42D3-A1CF-9CC3B79B2565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0" stopIfTrue="1" id="{BCC23EEF-4846-485D-B884-7B28539AAABD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49" stopIfTrue="1" id="{84F4D396-8D68-4553-80E0-8E204DC0DBA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0" stopIfTrue="1" id="{96EBC849-6B20-4423-B8F8-0E08F68C7ED3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1" stopIfTrue="1" id="{DC9078BE-F0FA-44A7-A46A-2297C411EE99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21" stopIfTrue="1" id="{200E1B5D-0CE6-4EF6-8462-4C7C87FCE72D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0" stopIfTrue="1" id="{73C6EAD0-8CAA-4AE4-BDA2-F25649AE976F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9338A872-7F62-4CBB-8725-4DF4A7322AE5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F27 F41</xm:sqref>
        </x14:conditionalFormatting>
        <x14:conditionalFormatting xmlns:xm="http://schemas.microsoft.com/office/excel/2006/main">
          <x14:cfRule type="expression" priority="85" stopIfTrue="1" id="{D9024C5C-85DF-4C61-AB38-66B47CDCD2F5}">
            <xm:f>'IMPRIMIR (C-D) 1-2.'!E49="P"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6" stopIfTrue="1" id="{8AD825C8-152D-41EF-85D3-C44A34AC82EA}">
            <xm:f>'IMPRIMIR (C-D) 1-2.'!E49="E"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7" stopIfTrue="1" id="{958F4BAD-4137-4A12-838E-34C8DC874CB2}">
            <xm:f>'IMPRIMIR (C-D) 1-2.'!E49="G"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expression" priority="13" stopIfTrue="1" id="{48740DD9-8140-4663-B717-EBAED496B9D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5" stopIfTrue="1" id="{7F175E59-8087-41B4-A2FF-045116CA634F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4" stopIfTrue="1" id="{77F42B17-4208-4C33-84DF-0EB81FDA881F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F46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I26"/>
  <sheetViews>
    <sheetView zoomScaleNormal="100" workbookViewId="0">
      <selection activeCell="T14" sqref="T14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172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9" s="3" customFormat="1" ht="34.799999999999997" x14ac:dyDescent="0.3">
      <c r="A2" s="173" t="s">
        <v>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31"/>
      <c r="R2" s="31"/>
      <c r="S2" s="31"/>
    </row>
    <row r="3" spans="1:19" s="3" customFormat="1" ht="38.25" customHeight="1" x14ac:dyDescent="0.3">
      <c r="A3" s="374" t="s">
        <v>16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</row>
    <row r="4" spans="1:19" s="3" customFormat="1" x14ac:dyDescent="0.3">
      <c r="B4" s="30" t="s">
        <v>14</v>
      </c>
      <c r="N4" s="30"/>
    </row>
    <row r="5" spans="1:19" s="3" customFormat="1" ht="23.4" x14ac:dyDescent="0.45">
      <c r="A5" s="11"/>
      <c r="B5" s="298" t="s">
        <v>17</v>
      </c>
      <c r="C5" s="299"/>
      <c r="D5" s="299"/>
      <c r="E5" s="299"/>
      <c r="F5" s="229"/>
      <c r="G5" s="229"/>
      <c r="H5" s="229"/>
      <c r="I5" s="229"/>
      <c r="J5" s="229"/>
      <c r="K5" s="229"/>
      <c r="L5" s="229"/>
      <c r="M5" s="229"/>
      <c r="N5" s="229"/>
      <c r="O5" s="300"/>
      <c r="P5" s="11"/>
      <c r="Q5" s="10" t="s">
        <v>15</v>
      </c>
      <c r="S5"/>
    </row>
    <row r="6" spans="1:19" s="3" customFormat="1" x14ac:dyDescent="0.3">
      <c r="B6" s="6"/>
      <c r="C6" s="8"/>
      <c r="D6" s="8"/>
      <c r="E6" s="20"/>
      <c r="F6" s="7"/>
      <c r="G6" s="7"/>
      <c r="H6" s="7"/>
      <c r="I6" s="7"/>
      <c r="J6" s="7"/>
      <c r="K6" s="7"/>
      <c r="L6" s="7"/>
      <c r="M6" s="7"/>
      <c r="N6" s="7"/>
      <c r="O6" s="6"/>
      <c r="Q6"/>
      <c r="S6"/>
    </row>
    <row r="7" spans="1:19" s="3" customFormat="1" ht="15.75" customHeight="1" x14ac:dyDescent="0.35">
      <c r="B7" s="370" t="e">
        <f>+#REF!</f>
        <v>#REF!</v>
      </c>
      <c r="C7" s="371" t="e">
        <f>+#REF!</f>
        <v>#REF!</v>
      </c>
      <c r="D7" s="371" t="e">
        <f>+#REF!</f>
        <v>#REF!</v>
      </c>
      <c r="E7" s="367" t="e">
        <f>+#REF!</f>
        <v>#REF!</v>
      </c>
      <c r="F7" s="367"/>
      <c r="G7" s="372" t="e">
        <f>IF(AND(I7&lt;&gt;"",K7&lt;&gt;""),IF(I7=K7,"E",IF(I7&gt;K7,"G","P")),"")</f>
        <v>#REF!</v>
      </c>
      <c r="H7" s="46"/>
      <c r="I7" s="364" t="e">
        <f>+#REF!</f>
        <v>#REF!</v>
      </c>
      <c r="J7" s="373" t="s">
        <v>12</v>
      </c>
      <c r="K7" s="364" t="e">
        <f>+#REF!</f>
        <v>#REF!</v>
      </c>
      <c r="L7" s="366" t="e">
        <f>IF(AND(K7&lt;&gt;"",I7&lt;&gt;""),IF(K7=I7,"E",IF(K7&gt;I7,"G","P")),"")</f>
        <v>#REF!</v>
      </c>
      <c r="M7" s="367" t="e">
        <f>+#REF!</f>
        <v>#REF!</v>
      </c>
      <c r="N7" s="47" t="s">
        <v>24</v>
      </c>
      <c r="O7" s="368" t="e">
        <f>+#REF!</f>
        <v>#REF!</v>
      </c>
      <c r="P7" s="48"/>
      <c r="Q7" s="369" t="e">
        <f>IF(OR(G7="E",G7=""),"",IF(G7="G",E7,M7))</f>
        <v>#REF!</v>
      </c>
      <c r="S7" s="297" t="e">
        <f>IF(OR(G7="E",G7=""),"",IF(G7="P",E7,M7))</f>
        <v>#REF!</v>
      </c>
    </row>
    <row r="8" spans="1:19" s="3" customFormat="1" ht="17.399999999999999" x14ac:dyDescent="0.35">
      <c r="B8" s="370"/>
      <c r="C8" s="371"/>
      <c r="D8" s="371"/>
      <c r="E8" s="367"/>
      <c r="F8" s="367"/>
      <c r="G8" s="372"/>
      <c r="H8" s="46"/>
      <c r="I8" s="365"/>
      <c r="J8" s="373"/>
      <c r="K8" s="365"/>
      <c r="L8" s="366"/>
      <c r="M8" s="367"/>
      <c r="N8" s="47"/>
      <c r="O8" s="368"/>
      <c r="P8" s="48"/>
      <c r="Q8" s="369"/>
      <c r="S8" s="297"/>
    </row>
    <row r="9" spans="1:19" s="3" customFormat="1" ht="17.399999999999999" x14ac:dyDescent="0.35">
      <c r="B9" s="66"/>
      <c r="C9" s="67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  <c r="O9" s="51"/>
      <c r="P9" s="48"/>
      <c r="Q9" s="52"/>
      <c r="S9"/>
    </row>
    <row r="10" spans="1:19" s="3" customFormat="1" ht="17.399999999999999" x14ac:dyDescent="0.35">
      <c r="B10" s="370" t="e">
        <f>+#REF!</f>
        <v>#REF!</v>
      </c>
      <c r="C10" s="371" t="e">
        <f>+#REF!</f>
        <v>#REF!</v>
      </c>
      <c r="D10" s="371" t="e">
        <f>+#REF!</f>
        <v>#REF!</v>
      </c>
      <c r="E10" s="367" t="e">
        <f>+#REF!</f>
        <v>#REF!</v>
      </c>
      <c r="F10" s="367"/>
      <c r="G10" s="372" t="e">
        <f>IF(AND(I10&lt;&gt;"",K10&lt;&gt;""),IF(I10=K10,"E",IF(I10&gt;K10,"G","P")),"")</f>
        <v>#REF!</v>
      </c>
      <c r="H10" s="46"/>
      <c r="I10" s="364" t="e">
        <f>+#REF!</f>
        <v>#REF!</v>
      </c>
      <c r="J10" s="373" t="s">
        <v>12</v>
      </c>
      <c r="K10" s="364" t="e">
        <f>+#REF!</f>
        <v>#REF!</v>
      </c>
      <c r="L10" s="366" t="e">
        <f>IF(AND(K10&lt;&gt;"",I10&lt;&gt;""),IF(K10=I10,"E",IF(K10&gt;I10,"G","P")),"")</f>
        <v>#REF!</v>
      </c>
      <c r="M10" s="367" t="e">
        <f>+#REF!</f>
        <v>#REF!</v>
      </c>
      <c r="N10" s="53" t="s">
        <v>24</v>
      </c>
      <c r="O10" s="368" t="e">
        <f>+#REF!</f>
        <v>#REF!</v>
      </c>
      <c r="P10" s="48"/>
      <c r="Q10" s="369" t="e">
        <f>IF(OR(G10="E",G10=""),"",IF(G10="G",E10,M10))</f>
        <v>#REF!</v>
      </c>
      <c r="S10" s="297" t="e">
        <f>IF(OR(G10="E",G10=""),"",IF(G10="P",E10,M10))</f>
        <v>#REF!</v>
      </c>
    </row>
    <row r="11" spans="1:19" s="3" customFormat="1" ht="17.399999999999999" x14ac:dyDescent="0.35">
      <c r="B11" s="370"/>
      <c r="C11" s="371"/>
      <c r="D11" s="371"/>
      <c r="E11" s="367"/>
      <c r="F11" s="367"/>
      <c r="G11" s="372"/>
      <c r="H11" s="46"/>
      <c r="I11" s="365"/>
      <c r="J11" s="373"/>
      <c r="K11" s="365"/>
      <c r="L11" s="366"/>
      <c r="M11" s="367"/>
      <c r="N11" s="53"/>
      <c r="O11" s="368"/>
      <c r="P11" s="48"/>
      <c r="Q11" s="369"/>
      <c r="S11" s="297"/>
    </row>
    <row r="12" spans="1:19" s="3" customFormat="1" x14ac:dyDescent="0.3">
      <c r="B12" s="21"/>
      <c r="C12" s="24"/>
      <c r="D12" s="24"/>
      <c r="E12" s="24"/>
      <c r="F12" s="24"/>
      <c r="G12" s="25"/>
      <c r="H12" s="16"/>
      <c r="I12" s="16"/>
      <c r="J12" s="16"/>
      <c r="K12" s="16"/>
      <c r="L12" s="16"/>
      <c r="M12" s="16"/>
      <c r="N12" s="16"/>
      <c r="O12" s="15"/>
      <c r="Q12"/>
      <c r="S12"/>
    </row>
    <row r="13" spans="1:19" s="3" customFormat="1" x14ac:dyDescent="0.3"/>
    <row r="14" spans="1:19" s="3" customFormat="1" ht="24.75" customHeight="1" x14ac:dyDescent="0.45">
      <c r="C14" s="375" t="str">
        <f>+'GRUPOS PRE JUVENIL'!D3</f>
        <v>5 Y 6 ABRIL 2025</v>
      </c>
      <c r="D14" s="375"/>
      <c r="E14" s="375"/>
      <c r="F14" s="375"/>
      <c r="J14" s="58" t="str">
        <f>+'GRUPOS PRE JUVENIL'!D4</f>
        <v>NACIDOS 2013 2014</v>
      </c>
    </row>
    <row r="15" spans="1:19" s="3" customFormat="1" x14ac:dyDescent="0.3">
      <c r="C15" s="375"/>
      <c r="D15" s="375"/>
      <c r="E15" s="375"/>
      <c r="F15" s="375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8" priority="4" stopIfTrue="1">
      <formula>G7="P"</formula>
    </cfRule>
    <cfRule type="expression" dxfId="7" priority="5" stopIfTrue="1">
      <formula>G7="E"</formula>
    </cfRule>
    <cfRule type="expression" dxfId="6" priority="6" stopIfTrue="1">
      <formula>G7="G"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3"/>
  <sheetViews>
    <sheetView zoomScale="90" zoomScaleNormal="90" workbookViewId="0">
      <selection activeCell="Q1" sqref="Q1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172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8" ht="34.799999999999997" x14ac:dyDescent="0.3">
      <c r="A2" s="173" t="s">
        <v>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31"/>
      <c r="R2" s="31"/>
    </row>
    <row r="3" spans="1:18" ht="37.5" customHeight="1" x14ac:dyDescent="0.3">
      <c r="A3" s="374" t="s">
        <v>23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28"/>
      <c r="R3" s="28"/>
    </row>
    <row r="4" spans="1:18" ht="15" customHeight="1" x14ac:dyDescent="0.3">
      <c r="B4" s="30" t="s">
        <v>14</v>
      </c>
      <c r="C4"/>
      <c r="D4"/>
      <c r="E4"/>
      <c r="F4"/>
      <c r="G4"/>
      <c r="H4"/>
      <c r="I4"/>
      <c r="J4"/>
      <c r="K4" s="29"/>
      <c r="L4" s="29"/>
      <c r="M4" s="29"/>
      <c r="N4" s="29"/>
      <c r="O4" s="29"/>
      <c r="P4" s="29"/>
      <c r="Q4" s="29"/>
      <c r="R4" s="29"/>
    </row>
    <row r="5" spans="1:18" ht="18" x14ac:dyDescent="0.3">
      <c r="B5" s="305" t="s">
        <v>18</v>
      </c>
      <c r="C5" s="306"/>
      <c r="D5" s="306"/>
      <c r="E5" s="306"/>
      <c r="F5" s="307"/>
      <c r="G5" s="307"/>
      <c r="H5" s="307"/>
      <c r="I5" s="307"/>
      <c r="J5" s="307"/>
      <c r="K5" s="307"/>
      <c r="L5" s="307"/>
      <c r="M5" s="307"/>
      <c r="N5" s="307"/>
      <c r="O5" s="308"/>
      <c r="Q5" s="17" t="s">
        <v>19</v>
      </c>
    </row>
    <row r="6" spans="1:18" ht="15" customHeight="1" x14ac:dyDescent="0.3">
      <c r="B6" s="6"/>
      <c r="C6" s="26"/>
      <c r="D6" s="7"/>
      <c r="E6" s="23"/>
      <c r="F6" s="7"/>
      <c r="G6" s="7"/>
      <c r="H6" s="7"/>
      <c r="I6" s="7"/>
      <c r="J6" s="7"/>
      <c r="K6" s="7"/>
      <c r="L6" s="7"/>
      <c r="M6" s="7"/>
      <c r="N6" s="7"/>
      <c r="O6" s="6"/>
      <c r="Q6" s="301" t="e">
        <f>IF(OR(G7="E",G7=""),"",IF(G7="G",H7,M7))</f>
        <v>#REF!</v>
      </c>
    </row>
    <row r="7" spans="1:18" ht="17.25" customHeight="1" x14ac:dyDescent="0.35">
      <c r="B7" s="379" t="e">
        <f>+#REF!</f>
        <v>#REF!</v>
      </c>
      <c r="C7" s="65"/>
      <c r="D7" s="380" t="e">
        <f>+#REF!</f>
        <v>#REF!</v>
      </c>
      <c r="E7" s="60"/>
      <c r="F7" s="48"/>
      <c r="G7" s="366" t="e">
        <f>IF(AND(I7&lt;&gt;"",K7&lt;&gt;""),IF(I7=K7,"E",IF(I7&gt;K7,"G","P")),"")</f>
        <v>#REF!</v>
      </c>
      <c r="H7" s="381" t="e">
        <f>+#REF!</f>
        <v>#REF!</v>
      </c>
      <c r="I7" s="364" t="e">
        <f>+#REF!</f>
        <v>#REF!</v>
      </c>
      <c r="J7" s="382" t="s">
        <v>12</v>
      </c>
      <c r="K7" s="364" t="e">
        <f>+#REF!</f>
        <v>#REF!</v>
      </c>
      <c r="L7" s="366" t="e">
        <f>IF(AND(K7&lt;&gt;"",I7&lt;&gt;""),IF(K7=I7,"E",IF(K7&gt;I7,"G","P")),"")</f>
        <v>#REF!</v>
      </c>
      <c r="M7" s="381" t="e">
        <f>+#REF!</f>
        <v>#REF!</v>
      </c>
      <c r="N7" s="47"/>
      <c r="O7" s="368" t="e">
        <f>+#REF!</f>
        <v>#REF!</v>
      </c>
      <c r="Q7" s="302"/>
    </row>
    <row r="8" spans="1:18" ht="17.25" customHeight="1" x14ac:dyDescent="0.35">
      <c r="B8" s="379"/>
      <c r="C8" s="65"/>
      <c r="D8" s="380"/>
      <c r="E8" s="60"/>
      <c r="F8" s="48"/>
      <c r="G8" s="366"/>
      <c r="H8" s="381"/>
      <c r="I8" s="365"/>
      <c r="J8" s="382"/>
      <c r="K8" s="365"/>
      <c r="L8" s="366"/>
      <c r="M8" s="381"/>
      <c r="N8" s="47"/>
      <c r="O8" s="368"/>
      <c r="Q8" s="302"/>
    </row>
    <row r="9" spans="1:18" x14ac:dyDescent="0.3">
      <c r="B9" s="15"/>
      <c r="C9" s="16"/>
      <c r="D9" s="16"/>
      <c r="E9" s="16"/>
      <c r="F9" s="16"/>
      <c r="G9" s="16"/>
      <c r="H9" s="16"/>
      <c r="I9" s="16"/>
      <c r="J9" s="16"/>
      <c r="K9" s="22"/>
      <c r="L9" s="16"/>
      <c r="M9" s="16"/>
      <c r="N9" s="16"/>
      <c r="O9" s="15"/>
      <c r="Q9" s="303"/>
    </row>
    <row r="11" spans="1:18" ht="21" x14ac:dyDescent="0.3">
      <c r="B11" s="309" t="s">
        <v>20</v>
      </c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1"/>
      <c r="Q11" s="18" t="s">
        <v>21</v>
      </c>
    </row>
    <row r="12" spans="1:18" ht="15" customHeight="1" x14ac:dyDescent="0.3">
      <c r="B12" s="26"/>
      <c r="C12" s="2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Q12" s="376" t="e">
        <f>IF(OR(G13="E",G13=""),"",IF(G13="P",H13,M13))</f>
        <v>#REF!</v>
      </c>
    </row>
    <row r="13" spans="1:18" ht="17.25" customHeight="1" x14ac:dyDescent="0.35">
      <c r="B13" s="379" t="e">
        <f>+#REF!</f>
        <v>#REF!</v>
      </c>
      <c r="C13" s="65"/>
      <c r="D13" s="380" t="e">
        <f>+#REF!</f>
        <v>#REF!</v>
      </c>
      <c r="E13" s="61"/>
      <c r="F13" s="48"/>
      <c r="G13" s="366" t="e">
        <f>IF(AND(I13&lt;&gt;"",K13&lt;&gt;""),IF(I13=K13,"E",IF(I13&gt;K13,"G","P")),"")</f>
        <v>#REF!</v>
      </c>
      <c r="H13" s="381" t="e">
        <f>+#REF!</f>
        <v>#REF!</v>
      </c>
      <c r="I13" s="364" t="e">
        <f>+#REF!</f>
        <v>#REF!</v>
      </c>
      <c r="J13" s="382" t="s">
        <v>12</v>
      </c>
      <c r="K13" s="364" t="e">
        <f>+#REF!</f>
        <v>#REF!</v>
      </c>
      <c r="L13" s="366" t="e">
        <f>IF(AND(K13&lt;&gt;"",I13&lt;&gt;""),IF(K13=I13,"E",IF(K13&gt;I13,"G","P")),"")</f>
        <v>#REF!</v>
      </c>
      <c r="M13" s="381" t="e">
        <f>+#REF!</f>
        <v>#REF!</v>
      </c>
      <c r="N13" s="384"/>
      <c r="O13" s="368" t="e">
        <f>+#REF!</f>
        <v>#REF!</v>
      </c>
      <c r="Q13" s="377"/>
    </row>
    <row r="14" spans="1:18" ht="17.25" customHeight="1" x14ac:dyDescent="0.35">
      <c r="B14" s="379"/>
      <c r="C14" s="65"/>
      <c r="D14" s="380"/>
      <c r="E14" s="61"/>
      <c r="F14" s="48"/>
      <c r="G14" s="366"/>
      <c r="H14" s="381"/>
      <c r="I14" s="365"/>
      <c r="J14" s="382"/>
      <c r="K14" s="365"/>
      <c r="L14" s="366"/>
      <c r="M14" s="381"/>
      <c r="N14" s="384"/>
      <c r="O14" s="368"/>
      <c r="Q14" s="377"/>
    </row>
    <row r="15" spans="1:18" x14ac:dyDescent="0.3"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5"/>
      <c r="Q15" s="378"/>
    </row>
    <row r="16" spans="1:18" ht="10.5" customHeight="1" x14ac:dyDescent="0.3"/>
    <row r="17" spans="2:18" ht="15" customHeight="1" x14ac:dyDescent="0.3">
      <c r="B17" s="304" t="s">
        <v>22</v>
      </c>
      <c r="C17" s="304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</row>
    <row r="18" spans="2:18" ht="15" customHeight="1" x14ac:dyDescent="0.3">
      <c r="B18" s="304"/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</row>
    <row r="19" spans="2:18" ht="15" customHeight="1" x14ac:dyDescent="0.3">
      <c r="B19" s="383" t="e">
        <f>IF(OR(G13="E",G13=""),"",IF(G13="G",H13,M13))</f>
        <v>#REF!</v>
      </c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3"/>
      <c r="N19" s="383"/>
      <c r="O19" s="383"/>
      <c r="P19" s="383"/>
      <c r="Q19" s="383"/>
    </row>
    <row r="20" spans="2:18" ht="25.5" customHeight="1" x14ac:dyDescent="0.3">
      <c r="B20" s="383"/>
      <c r="C20" s="383"/>
      <c r="D20" s="383"/>
      <c r="E20" s="383"/>
      <c r="F20" s="383"/>
      <c r="G20" s="383"/>
      <c r="H20" s="383"/>
      <c r="I20" s="383"/>
      <c r="J20" s="383"/>
      <c r="K20" s="383"/>
      <c r="L20" s="383"/>
      <c r="M20" s="383"/>
      <c r="N20" s="383"/>
      <c r="O20" s="383"/>
      <c r="P20" s="383"/>
      <c r="Q20" s="383"/>
    </row>
    <row r="21" spans="2:18" ht="3.75" customHeight="1" x14ac:dyDescent="0.85">
      <c r="D21" s="38"/>
      <c r="E21" s="38"/>
      <c r="F21" s="38"/>
      <c r="J21" s="37"/>
      <c r="O21" s="37"/>
    </row>
    <row r="22" spans="2:18" ht="25.5" customHeight="1" x14ac:dyDescent="0.45">
      <c r="C22" s="375" t="str">
        <f>+'GRUPOS PRE JUVENIL'!D3</f>
        <v>5 Y 6 ABRIL 2025</v>
      </c>
      <c r="D22" s="375"/>
      <c r="E22" s="375"/>
      <c r="F22" s="375"/>
      <c r="G22" s="375"/>
      <c r="H22" s="375"/>
      <c r="I22" s="375"/>
      <c r="J22" s="375"/>
      <c r="K22" s="375"/>
      <c r="O22" s="58" t="str">
        <f>+'GRUPOS PRE JUVENIL'!D4</f>
        <v>NACIDOS 2013 2014</v>
      </c>
      <c r="Q22" s="28"/>
      <c r="R22" s="28"/>
    </row>
    <row r="23" spans="2:18" ht="15" customHeight="1" x14ac:dyDescent="0.3">
      <c r="C23" s="375"/>
      <c r="D23" s="375"/>
      <c r="E23" s="375"/>
      <c r="F23" s="375"/>
      <c r="G23" s="375"/>
      <c r="H23" s="375"/>
      <c r="I23" s="375"/>
      <c r="J23" s="375"/>
      <c r="K23" s="375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5" priority="4" stopIfTrue="1">
      <formula>G7="P"</formula>
    </cfRule>
    <cfRule type="expression" dxfId="4" priority="5" stopIfTrue="1">
      <formula>G7="E"</formula>
    </cfRule>
    <cfRule type="expression" dxfId="3" priority="6" stopIfTrue="1">
      <formula>G7="G"</formula>
    </cfRule>
  </conditionalFormatting>
  <conditionalFormatting sqref="I13:I14">
    <cfRule type="expression" dxfId="2" priority="1" stopIfTrue="1">
      <formula>G13="P"</formula>
    </cfRule>
    <cfRule type="expression" dxfId="1" priority="2" stopIfTrue="1">
      <formula>G13="E"</formula>
    </cfRule>
    <cfRule type="expression" dxfId="0" priority="3" stopIfTrue="1">
      <formula>G13="G"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GRUPOS PRE JUVENIL</vt:lpstr>
      <vt:lpstr>GRUPO A</vt:lpstr>
      <vt:lpstr>GRUPO B</vt:lpstr>
      <vt:lpstr>CALENDARIO</vt:lpstr>
      <vt:lpstr>Hoja1</vt:lpstr>
      <vt:lpstr>IMPRIMIR (A-B) 1-2</vt:lpstr>
      <vt:lpstr>IMPRIMIR (C-D) 1-2.</vt:lpstr>
      <vt:lpstr>IMPRIMIR (A-B) 3-4</vt:lpstr>
      <vt:lpstr>IMPRIMIR (C-D)3-4.</vt:lpstr>
      <vt:lpstr>IMPRIMIR 6</vt:lpstr>
      <vt:lpstr>IMPRIMIR 7</vt:lpstr>
      <vt:lpstr>CALENDARIO!Área_de_impresión</vt:lpstr>
      <vt:lpstr>'GRUPO A'!Área_de_impresión</vt:lpstr>
      <vt:lpstr>'GRUPO B'!Área_de_impresión</vt:lpstr>
      <vt:lpstr>'GRUPOS PRE JUVENIL'!Área_de_impresión</vt:lpstr>
      <vt:lpstr>'IMPRIMIR (A-B) 3-4'!Área_de_impresión</vt:lpstr>
      <vt:lpstr>'IMPRIMIR (C-D) 1-2.'!Área_de_impresión</vt:lpstr>
      <vt:lpstr>'IMPRIMIR 6'!Área_de_impresión</vt:lpstr>
      <vt:lpstr>'IMPRIMIR 7'!Área_de_impresión</vt:lpstr>
      <vt:lpstr>CALENDARIO!Títulos_a_imprimir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2019-08-04T17:20:05Z</cp:lastPrinted>
  <dcterms:created xsi:type="dcterms:W3CDTF">2015-01-09T01:36:28Z</dcterms:created>
  <dcterms:modified xsi:type="dcterms:W3CDTF">2025-04-02T13:31:25Z</dcterms:modified>
</cp:coreProperties>
</file>