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93998cefab3876/Escritorio/PARA LA APP/"/>
    </mc:Choice>
  </mc:AlternateContent>
  <xr:revisionPtr revIDLastSave="3" documentId="13_ncr:1_{49175164-464C-4DB9-B768-1EFD756F6DBD}" xr6:coauthVersionLast="47" xr6:coauthVersionMax="47" xr10:uidLastSave="{9EF01D0E-B201-4699-881F-8D3349587269}"/>
  <bookViews>
    <workbookView xWindow="-108" yWindow="-108" windowWidth="23256" windowHeight="13896" tabRatio="825" xr2:uid="{00000000-000D-0000-FFFF-FFFF00000000}"/>
  </bookViews>
  <sheets>
    <sheet name="PRE INFANTIL GRUPOS" sheetId="3" r:id="rId1"/>
    <sheet name="GRUPO A" sheetId="2" r:id="rId2"/>
    <sheet name="GRUPO B" sheetId="6" r:id="rId3"/>
    <sheet name="GRUPO C" sheetId="20" r:id="rId4"/>
    <sheet name="GRUPO D" sheetId="21" r:id="rId5"/>
    <sheet name="CUARTOS DE FINAL." sheetId="27" state="hidden" r:id="rId6"/>
    <sheet name="IMPRIMIR" sheetId="14" state="hidden" r:id="rId7"/>
    <sheet name="IMPRIMIR 2" sheetId="15" state="hidden" r:id="rId8"/>
    <sheet name="IMPRIMIR 3" sheetId="17" state="hidden" r:id="rId9"/>
    <sheet name="IMPRIMIR 3 (2)" sheetId="22" state="hidden" r:id="rId10"/>
    <sheet name="CUARTOS DE FINAL" sheetId="23" state="hidden" r:id="rId11"/>
    <sheet name="IMPRIMIR 4" sheetId="18" state="hidden" r:id="rId12"/>
    <sheet name="IMPRIMIR 5" sheetId="19" state="hidden" r:id="rId13"/>
    <sheet name="Hoja1" sheetId="24" state="hidden" r:id="rId14"/>
    <sheet name="Hoja2 (2)" sheetId="28" state="hidden" r:id="rId15"/>
    <sheet name="Hoja2 (3)" sheetId="29" state="hidden" r:id="rId16"/>
    <sheet name="Hoja2 (4)" sheetId="30" state="hidden" r:id="rId17"/>
    <sheet name="IMPRIMIR HOJA 1  (3)" sheetId="34" r:id="rId18"/>
    <sheet name="Hoja1 (2)" sheetId="31" r:id="rId19"/>
  </sheets>
  <definedNames>
    <definedName name="_xlnm.Print_Area" localSheetId="10">'CUARTOS DE FINAL'!$A$1:$Q$23</definedName>
    <definedName name="_xlnm.Print_Area" localSheetId="5">'CUARTOS DE FINAL.'!$A$1:$Q$23</definedName>
    <definedName name="_xlnm.Print_Area" localSheetId="1">'GRUPO A'!$A$1:$AL$37</definedName>
    <definedName name="_xlnm.Print_Area" localSheetId="2">'GRUPO B'!$A$1:$AL$37</definedName>
    <definedName name="_xlnm.Print_Area" localSheetId="3">'GRUPO C'!$A$1:$AL$38</definedName>
    <definedName name="_xlnm.Print_Area" localSheetId="4">'GRUPO D'!$A$1:$AL$36</definedName>
    <definedName name="_xlnm.Print_Area" localSheetId="14">'Hoja2 (2)'!$A$1:$T$45</definedName>
    <definedName name="_xlnm.Print_Area" localSheetId="15">'Hoja2 (3)'!$A$1:$T$45</definedName>
    <definedName name="_xlnm.Print_Area" localSheetId="16">'Hoja2 (4)'!$A$1:$W$74</definedName>
    <definedName name="_xlnm.Print_Area" localSheetId="6">IMPRIMIR!$A$1:$O$49</definedName>
    <definedName name="_xlnm.Print_Area" localSheetId="7">'IMPRIMIR 2'!$A$1:$O$49</definedName>
    <definedName name="_xlnm.Print_Area" localSheetId="8">'IMPRIMIR 3'!$A$1:$M$81</definedName>
    <definedName name="_xlnm.Print_Area" localSheetId="9">'IMPRIMIR 3 (2)'!$A$1:$M$81</definedName>
    <definedName name="_xlnm.Print_Area" localSheetId="11">'IMPRIMIR 4'!$A$1:$R$26</definedName>
    <definedName name="_xlnm.Print_Area" localSheetId="12">'IMPRIMIR 5'!$A$1:$R$31</definedName>
    <definedName name="_xlnm.Print_Area" localSheetId="17">'IMPRIMIR HOJA 1  (3)'!$A$1:$V$40</definedName>
    <definedName name="_xlnm.Print_Area" localSheetId="0">'PRE INFANTIL GRUPOS'!$A$1:$N$14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0" i="34" l="1"/>
  <c r="T40" i="34"/>
  <c r="S40" i="34"/>
  <c r="R40" i="34"/>
  <c r="Q40" i="34"/>
  <c r="P40" i="34"/>
  <c r="O40" i="34"/>
  <c r="N40" i="34"/>
  <c r="M40" i="34"/>
  <c r="L40" i="34"/>
  <c r="U39" i="34"/>
  <c r="T39" i="34"/>
  <c r="S39" i="34"/>
  <c r="R39" i="34"/>
  <c r="Q39" i="34"/>
  <c r="P39" i="34"/>
  <c r="O39" i="34"/>
  <c r="N39" i="34"/>
  <c r="M39" i="34"/>
  <c r="L39" i="34"/>
  <c r="U38" i="34"/>
  <c r="T38" i="34"/>
  <c r="S38" i="34"/>
  <c r="R38" i="34"/>
  <c r="Q38" i="34"/>
  <c r="P38" i="34"/>
  <c r="O38" i="34"/>
  <c r="N38" i="34"/>
  <c r="M38" i="34"/>
  <c r="L38" i="34"/>
  <c r="U37" i="34"/>
  <c r="T37" i="34"/>
  <c r="S37" i="34"/>
  <c r="R37" i="34"/>
  <c r="Q37" i="34"/>
  <c r="P37" i="34"/>
  <c r="O37" i="34"/>
  <c r="N37" i="34"/>
  <c r="M37" i="34"/>
  <c r="L37" i="34"/>
  <c r="U36" i="34"/>
  <c r="T36" i="34"/>
  <c r="S36" i="34"/>
  <c r="R36" i="34"/>
  <c r="Q36" i="34"/>
  <c r="P36" i="34"/>
  <c r="O36" i="34"/>
  <c r="N36" i="34"/>
  <c r="M36" i="34"/>
  <c r="L36" i="34"/>
  <c r="U35" i="34"/>
  <c r="T35" i="34"/>
  <c r="S35" i="34"/>
  <c r="R35" i="34"/>
  <c r="Q35" i="34"/>
  <c r="P35" i="34"/>
  <c r="O35" i="34"/>
  <c r="N35" i="34"/>
  <c r="M35" i="34"/>
  <c r="L35" i="34"/>
  <c r="U34" i="34"/>
  <c r="T34" i="34"/>
  <c r="S34" i="34"/>
  <c r="R34" i="34"/>
  <c r="Q34" i="34"/>
  <c r="P34" i="34"/>
  <c r="O34" i="34"/>
  <c r="N34" i="34"/>
  <c r="M34" i="34"/>
  <c r="L34" i="34"/>
  <c r="U33" i="34"/>
  <c r="T33" i="34"/>
  <c r="S33" i="34"/>
  <c r="R33" i="34"/>
  <c r="Q33" i="34"/>
  <c r="P33" i="34"/>
  <c r="O33" i="34"/>
  <c r="N33" i="34"/>
  <c r="M33" i="34"/>
  <c r="L33" i="34"/>
  <c r="U32" i="34"/>
  <c r="T32" i="34"/>
  <c r="S32" i="34"/>
  <c r="R32" i="34"/>
  <c r="Q32" i="34"/>
  <c r="P32" i="34"/>
  <c r="O32" i="34"/>
  <c r="N32" i="34"/>
  <c r="M32" i="34"/>
  <c r="L32" i="34"/>
  <c r="U31" i="34"/>
  <c r="T31" i="34"/>
  <c r="S31" i="34"/>
  <c r="R31" i="34"/>
  <c r="Q31" i="34"/>
  <c r="P31" i="34"/>
  <c r="O31" i="34"/>
  <c r="N31" i="34"/>
  <c r="M31" i="34"/>
  <c r="L31" i="34"/>
  <c r="U30" i="34"/>
  <c r="T30" i="34"/>
  <c r="S30" i="34"/>
  <c r="R30" i="34"/>
  <c r="Q30" i="34"/>
  <c r="P30" i="34"/>
  <c r="O30" i="34"/>
  <c r="N30" i="34"/>
  <c r="M30" i="34"/>
  <c r="L30" i="34"/>
  <c r="U29" i="34"/>
  <c r="T29" i="34"/>
  <c r="S29" i="34"/>
  <c r="R29" i="34"/>
  <c r="Q29" i="34"/>
  <c r="P29" i="34"/>
  <c r="O29" i="34"/>
  <c r="N29" i="34"/>
  <c r="M29" i="34"/>
  <c r="L29" i="34"/>
  <c r="G29" i="34"/>
  <c r="F29" i="34"/>
  <c r="E29" i="34"/>
  <c r="D29" i="34"/>
  <c r="H28" i="34"/>
  <c r="G28" i="34"/>
  <c r="F28" i="34"/>
  <c r="E28" i="34"/>
  <c r="D28" i="34"/>
  <c r="H27" i="34"/>
  <c r="G27" i="34"/>
  <c r="F27" i="34"/>
  <c r="E27" i="34"/>
  <c r="D27" i="34"/>
  <c r="G26" i="34"/>
  <c r="F26" i="34"/>
  <c r="E26" i="34"/>
  <c r="D26" i="34"/>
  <c r="U25" i="34"/>
  <c r="T25" i="34"/>
  <c r="S25" i="34"/>
  <c r="R25" i="34"/>
  <c r="Q25" i="34"/>
  <c r="P25" i="34"/>
  <c r="O25" i="34"/>
  <c r="N25" i="34"/>
  <c r="M25" i="34"/>
  <c r="L25" i="34"/>
  <c r="H25" i="34"/>
  <c r="G25" i="34"/>
  <c r="F25" i="34"/>
  <c r="E25" i="34"/>
  <c r="D25" i="34"/>
  <c r="U24" i="34"/>
  <c r="T24" i="34"/>
  <c r="S24" i="34"/>
  <c r="R24" i="34"/>
  <c r="Q24" i="34"/>
  <c r="P24" i="34"/>
  <c r="O24" i="34"/>
  <c r="N24" i="34"/>
  <c r="M24" i="34"/>
  <c r="L24" i="34"/>
  <c r="H24" i="34"/>
  <c r="G24" i="34"/>
  <c r="F24" i="34"/>
  <c r="E24" i="34"/>
  <c r="D24" i="34"/>
  <c r="U23" i="34"/>
  <c r="T23" i="34"/>
  <c r="S23" i="34"/>
  <c r="R23" i="34"/>
  <c r="Q23" i="34"/>
  <c r="P23" i="34"/>
  <c r="O23" i="34"/>
  <c r="N23" i="34"/>
  <c r="M23" i="34"/>
  <c r="L23" i="34"/>
  <c r="H23" i="34"/>
  <c r="G23" i="34"/>
  <c r="F23" i="34"/>
  <c r="E23" i="34"/>
  <c r="D23" i="34"/>
  <c r="U22" i="34"/>
  <c r="T22" i="34"/>
  <c r="S22" i="34"/>
  <c r="R22" i="34"/>
  <c r="Q22" i="34"/>
  <c r="P22" i="34"/>
  <c r="O22" i="34"/>
  <c r="N22" i="34"/>
  <c r="M22" i="34"/>
  <c r="L22" i="34"/>
  <c r="H22" i="34"/>
  <c r="G22" i="34"/>
  <c r="F22" i="34"/>
  <c r="E22" i="34"/>
  <c r="D22" i="34"/>
  <c r="G21" i="34"/>
  <c r="F21" i="34"/>
  <c r="E21" i="34"/>
  <c r="D21" i="34"/>
  <c r="U20" i="34"/>
  <c r="T20" i="34"/>
  <c r="S20" i="34"/>
  <c r="R20" i="34"/>
  <c r="Q20" i="34"/>
  <c r="P20" i="34"/>
  <c r="O20" i="34"/>
  <c r="N20" i="34"/>
  <c r="M20" i="34"/>
  <c r="L20" i="34"/>
  <c r="H20" i="34"/>
  <c r="G20" i="34"/>
  <c r="F20" i="34"/>
  <c r="E20" i="34"/>
  <c r="D20" i="34"/>
  <c r="U19" i="34"/>
  <c r="T19" i="34"/>
  <c r="S19" i="34"/>
  <c r="R19" i="34"/>
  <c r="Q19" i="34"/>
  <c r="P19" i="34"/>
  <c r="O19" i="34"/>
  <c r="N19" i="34"/>
  <c r="M19" i="34"/>
  <c r="L19" i="34"/>
  <c r="U18" i="34"/>
  <c r="T18" i="34"/>
  <c r="S18" i="34"/>
  <c r="R18" i="34"/>
  <c r="Q18" i="34"/>
  <c r="P18" i="34"/>
  <c r="O18" i="34"/>
  <c r="N18" i="34"/>
  <c r="M18" i="34"/>
  <c r="L18" i="34"/>
  <c r="B18" i="34"/>
  <c r="U17" i="34"/>
  <c r="T17" i="34"/>
  <c r="S17" i="34"/>
  <c r="R17" i="34"/>
  <c r="Q17" i="34"/>
  <c r="P17" i="34"/>
  <c r="O17" i="34"/>
  <c r="N17" i="34"/>
  <c r="M17" i="34"/>
  <c r="L17" i="34"/>
  <c r="H16" i="34"/>
  <c r="G16" i="34"/>
  <c r="F16" i="34"/>
  <c r="E16" i="34"/>
  <c r="D16" i="34"/>
  <c r="U15" i="34"/>
  <c r="T15" i="34"/>
  <c r="S15" i="34"/>
  <c r="R15" i="34"/>
  <c r="Q15" i="34"/>
  <c r="P15" i="34"/>
  <c r="O15" i="34"/>
  <c r="N15" i="34"/>
  <c r="M15" i="34"/>
  <c r="L15" i="34"/>
  <c r="G15" i="34"/>
  <c r="F15" i="34"/>
  <c r="E15" i="34"/>
  <c r="D15" i="34"/>
  <c r="U14" i="34"/>
  <c r="T14" i="34"/>
  <c r="S14" i="34"/>
  <c r="R14" i="34"/>
  <c r="Q14" i="34"/>
  <c r="P14" i="34"/>
  <c r="O14" i="34"/>
  <c r="N14" i="34"/>
  <c r="M14" i="34"/>
  <c r="L14" i="34"/>
  <c r="H14" i="34"/>
  <c r="G14" i="34"/>
  <c r="F14" i="34"/>
  <c r="E14" i="34"/>
  <c r="D14" i="34"/>
  <c r="U13" i="34"/>
  <c r="T13" i="34"/>
  <c r="S13" i="34"/>
  <c r="R13" i="34"/>
  <c r="Q13" i="34"/>
  <c r="P13" i="34"/>
  <c r="O13" i="34"/>
  <c r="N13" i="34"/>
  <c r="M13" i="34"/>
  <c r="L13" i="34"/>
  <c r="G13" i="34"/>
  <c r="F13" i="34"/>
  <c r="E13" i="34"/>
  <c r="D13" i="34"/>
  <c r="U12" i="34"/>
  <c r="T12" i="34"/>
  <c r="S12" i="34"/>
  <c r="R12" i="34"/>
  <c r="Q12" i="34"/>
  <c r="P12" i="34"/>
  <c r="O12" i="34"/>
  <c r="N12" i="34"/>
  <c r="M12" i="34"/>
  <c r="L12" i="34"/>
  <c r="H12" i="34"/>
  <c r="G12" i="34"/>
  <c r="F12" i="34"/>
  <c r="E12" i="34"/>
  <c r="D12" i="34"/>
  <c r="H11" i="34"/>
  <c r="G11" i="34"/>
  <c r="F11" i="34"/>
  <c r="E11" i="34"/>
  <c r="D11" i="34"/>
  <c r="U10" i="34"/>
  <c r="T10" i="34"/>
  <c r="S10" i="34"/>
  <c r="R10" i="34"/>
  <c r="Q10" i="34"/>
  <c r="P10" i="34"/>
  <c r="O10" i="34"/>
  <c r="N10" i="34"/>
  <c r="M10" i="34"/>
  <c r="L10" i="34"/>
  <c r="H10" i="34"/>
  <c r="G10" i="34"/>
  <c r="F10" i="34"/>
  <c r="E10" i="34"/>
  <c r="D10" i="34"/>
  <c r="U9" i="34"/>
  <c r="T9" i="34"/>
  <c r="S9" i="34"/>
  <c r="R9" i="34"/>
  <c r="Q9" i="34"/>
  <c r="P9" i="34"/>
  <c r="O9" i="34"/>
  <c r="N9" i="34"/>
  <c r="M9" i="34"/>
  <c r="L9" i="34"/>
  <c r="G9" i="34"/>
  <c r="F9" i="34"/>
  <c r="E9" i="34"/>
  <c r="D9" i="34"/>
  <c r="U8" i="34"/>
  <c r="T8" i="34"/>
  <c r="S8" i="34"/>
  <c r="R8" i="34"/>
  <c r="Q8" i="34"/>
  <c r="P8" i="34"/>
  <c r="O8" i="34"/>
  <c r="N8" i="34"/>
  <c r="M8" i="34"/>
  <c r="L8" i="34"/>
  <c r="U7" i="34"/>
  <c r="T7" i="34"/>
  <c r="S7" i="34"/>
  <c r="R7" i="34"/>
  <c r="Q7" i="34"/>
  <c r="P7" i="34"/>
  <c r="O7" i="34"/>
  <c r="N7" i="34"/>
  <c r="M7" i="34"/>
  <c r="L7" i="34"/>
  <c r="A4" i="34"/>
  <c r="I43" i="34" s="1"/>
  <c r="A3" i="34"/>
  <c r="A2" i="34"/>
  <c r="A1" i="34"/>
  <c r="I33" i="34" l="1"/>
  <c r="I37" i="34"/>
  <c r="I9" i="34"/>
  <c r="I10" i="34"/>
  <c r="I11" i="34"/>
  <c r="I15" i="34"/>
  <c r="I16" i="34"/>
  <c r="I21" i="34"/>
  <c r="I36" i="34"/>
  <c r="I27" i="34"/>
  <c r="I13" i="34"/>
  <c r="I14" i="34"/>
  <c r="I20" i="34"/>
  <c r="I26" i="34"/>
  <c r="I28" i="34"/>
  <c r="I35" i="34"/>
  <c r="I42" i="34"/>
  <c r="I12" i="34"/>
  <c r="I22" i="34"/>
  <c r="I23" i="34"/>
  <c r="I24" i="34"/>
  <c r="I25" i="34"/>
  <c r="I29" i="34"/>
  <c r="I34" i="34"/>
  <c r="I38" i="34"/>
  <c r="AF14" i="21"/>
  <c r="AF12" i="21"/>
  <c r="AF10" i="21"/>
  <c r="AF14" i="20"/>
  <c r="AF12" i="20"/>
  <c r="AF10" i="20"/>
  <c r="AF14" i="6"/>
  <c r="AF12" i="6"/>
  <c r="AF10" i="6"/>
  <c r="AF14" i="2"/>
  <c r="AF12" i="2"/>
  <c r="AG14" i="21"/>
  <c r="AG12" i="21"/>
  <c r="AG10" i="21"/>
  <c r="F20" i="2" l="1"/>
  <c r="J20" i="2"/>
  <c r="K17" i="6" l="1"/>
  <c r="K11" i="20"/>
  <c r="K8" i="20"/>
  <c r="P58" i="21" l="1"/>
  <c r="AA12" i="21"/>
  <c r="AA10" i="21"/>
  <c r="AG14" i="20"/>
  <c r="AG12" i="20"/>
  <c r="AG10" i="20"/>
  <c r="F14" i="21" l="1"/>
  <c r="B11" i="21" l="1"/>
  <c r="AI14" i="21" l="1"/>
  <c r="AI12" i="21"/>
  <c r="AI10" i="21"/>
  <c r="AI14" i="20"/>
  <c r="AI12" i="20"/>
  <c r="AI10" i="20"/>
  <c r="E32" i="6"/>
  <c r="E29" i="6"/>
  <c r="E17" i="6"/>
  <c r="F17" i="6"/>
  <c r="F20" i="6"/>
  <c r="J17" i="6"/>
  <c r="AI14" i="6"/>
  <c r="AI12" i="6"/>
  <c r="AI10" i="6"/>
  <c r="AG14" i="6"/>
  <c r="AG12" i="6"/>
  <c r="AG10" i="6"/>
  <c r="AH14" i="6" l="1"/>
  <c r="AH12" i="6"/>
  <c r="AH10" i="6"/>
  <c r="M14" i="21" l="1"/>
  <c r="C14" i="21"/>
  <c r="B14" i="21"/>
  <c r="M11" i="21"/>
  <c r="C11" i="21"/>
  <c r="M8" i="21"/>
  <c r="C8" i="21"/>
  <c r="B8" i="21"/>
  <c r="M14" i="6"/>
  <c r="C14" i="6"/>
  <c r="B14" i="6"/>
  <c r="M11" i="6"/>
  <c r="C11" i="6"/>
  <c r="B11" i="6"/>
  <c r="M8" i="6"/>
  <c r="C8" i="6"/>
  <c r="B8" i="6"/>
  <c r="AI14" i="2"/>
  <c r="AI12" i="2"/>
  <c r="AI10" i="2"/>
  <c r="AG14" i="2"/>
  <c r="AG12" i="2"/>
  <c r="AG10" i="2"/>
  <c r="AF10" i="2"/>
  <c r="AA14" i="2"/>
  <c r="AA12" i="2"/>
  <c r="AA10" i="2"/>
  <c r="K32" i="21"/>
  <c r="E32" i="21"/>
  <c r="K29" i="21"/>
  <c r="K26" i="21"/>
  <c r="E29" i="21"/>
  <c r="K17" i="2"/>
  <c r="K32" i="6"/>
  <c r="K29" i="6"/>
  <c r="K29" i="2"/>
  <c r="E29" i="2"/>
  <c r="K32" i="20"/>
  <c r="E32" i="20"/>
  <c r="K29" i="20"/>
  <c r="E29" i="20"/>
  <c r="K26" i="20"/>
  <c r="AH14" i="2" l="1"/>
  <c r="AH10" i="2"/>
  <c r="AH12" i="2"/>
  <c r="E17" i="2" l="1"/>
  <c r="F17" i="2"/>
  <c r="R58" i="2" s="1"/>
  <c r="J17" i="2"/>
  <c r="R59" i="2" s="1"/>
  <c r="C1" i="31" l="1"/>
  <c r="F11" i="6"/>
  <c r="F8" i="2" l="1"/>
  <c r="Q58" i="2" s="1"/>
  <c r="AJ6" i="20"/>
  <c r="AJ6" i="2"/>
  <c r="AJ8" i="2" s="1"/>
  <c r="J17" i="21"/>
  <c r="F17" i="21"/>
  <c r="F8" i="21"/>
  <c r="K14" i="20"/>
  <c r="E14" i="20"/>
  <c r="E11" i="20"/>
  <c r="E8" i="20"/>
  <c r="J17" i="20"/>
  <c r="R58" i="20" s="1"/>
  <c r="F17" i="20"/>
  <c r="J14" i="20"/>
  <c r="F14" i="20"/>
  <c r="Q60" i="20" s="1"/>
  <c r="J11" i="20"/>
  <c r="F11" i="20"/>
  <c r="Q59" i="20" s="1"/>
  <c r="J8" i="20"/>
  <c r="F8" i="20"/>
  <c r="Q58" i="20" s="1"/>
  <c r="J14" i="6"/>
  <c r="Q60" i="6" s="1"/>
  <c r="S58" i="6"/>
  <c r="J20" i="6"/>
  <c r="AA10" i="6"/>
  <c r="F23" i="6"/>
  <c r="S59" i="6" s="1"/>
  <c r="J23" i="6"/>
  <c r="AA12" i="6"/>
  <c r="F26" i="6"/>
  <c r="R60" i="6" s="1"/>
  <c r="J26" i="6"/>
  <c r="AA14" i="6"/>
  <c r="F29" i="6"/>
  <c r="T58" i="6" s="1"/>
  <c r="J29" i="6"/>
  <c r="S60" i="6" s="1"/>
  <c r="K14" i="2"/>
  <c r="K11" i="2"/>
  <c r="K8" i="2"/>
  <c r="E14" i="2"/>
  <c r="E11" i="2"/>
  <c r="E8" i="2"/>
  <c r="J8" i="2"/>
  <c r="F14" i="2"/>
  <c r="Q60" i="2" s="1"/>
  <c r="F11" i="2"/>
  <c r="Q59" i="2" s="1"/>
  <c r="J14" i="2"/>
  <c r="J11" i="2"/>
  <c r="K11" i="6" l="1"/>
  <c r="E14" i="21"/>
  <c r="E11" i="6"/>
  <c r="K8" i="21"/>
  <c r="E8" i="21"/>
  <c r="K11" i="21"/>
  <c r="E8" i="6"/>
  <c r="K14" i="6"/>
  <c r="E14" i="6"/>
  <c r="K8" i="6"/>
  <c r="E11" i="21"/>
  <c r="K14" i="21"/>
  <c r="R59" i="6"/>
  <c r="J11" i="6"/>
  <c r="Q59" i="6" s="1"/>
  <c r="J8" i="21"/>
  <c r="Q59" i="21" s="1"/>
  <c r="F11" i="21"/>
  <c r="J11" i="21"/>
  <c r="Q58" i="21" s="1"/>
  <c r="J14" i="21"/>
  <c r="Q60" i="21" s="1"/>
  <c r="F8" i="6"/>
  <c r="R58" i="6"/>
  <c r="AJ6" i="6"/>
  <c r="F14" i="6"/>
  <c r="J8" i="6"/>
  <c r="Q58" i="6" s="1"/>
  <c r="B21" i="27"/>
  <c r="B18" i="27"/>
  <c r="AE10" i="6" l="1"/>
  <c r="AD10" i="6"/>
  <c r="AC10" i="6"/>
  <c r="B55" i="29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B10" i="6" l="1"/>
  <c r="AJ10" i="6" s="1"/>
  <c r="A1" i="21"/>
  <c r="A1" i="20"/>
  <c r="A1" i="6"/>
  <c r="A1" i="2"/>
  <c r="K15" i="23" l="1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0" i="21" l="1"/>
  <c r="P59" i="21"/>
  <c r="AA14" i="21"/>
  <c r="AH10" i="20" l="1"/>
  <c r="P60" i="6"/>
  <c r="P59" i="6"/>
  <c r="P58" i="6"/>
  <c r="S58" i="2"/>
  <c r="E26" i="21"/>
  <c r="B4" i="21"/>
  <c r="B4" i="20"/>
  <c r="B4" i="6"/>
  <c r="L46" i="21"/>
  <c r="J46" i="21"/>
  <c r="L43" i="21"/>
  <c r="J43" i="21"/>
  <c r="J32" i="21"/>
  <c r="S60" i="21" s="1"/>
  <c r="F32" i="21"/>
  <c r="S59" i="21" s="1"/>
  <c r="J29" i="21"/>
  <c r="R60" i="21" s="1"/>
  <c r="F29" i="21"/>
  <c r="S58" i="21" s="1"/>
  <c r="AH14" i="21"/>
  <c r="J26" i="21"/>
  <c r="R59" i="21" s="1"/>
  <c r="F26" i="21"/>
  <c r="R58" i="21" s="1"/>
  <c r="AE12" i="21" s="1"/>
  <c r="AH12" i="21"/>
  <c r="J23" i="21"/>
  <c r="F23" i="21"/>
  <c r="AH10" i="21"/>
  <c r="J20" i="21"/>
  <c r="F20" i="21"/>
  <c r="AJ6" i="21"/>
  <c r="F3" i="21"/>
  <c r="B3" i="21"/>
  <c r="P60" i="20"/>
  <c r="P59" i="20"/>
  <c r="P58" i="20"/>
  <c r="L46" i="20"/>
  <c r="J46" i="20"/>
  <c r="L43" i="20"/>
  <c r="J43" i="20"/>
  <c r="J32" i="20"/>
  <c r="T60" i="20" s="1"/>
  <c r="F32" i="20"/>
  <c r="T59" i="20" s="1"/>
  <c r="J29" i="20"/>
  <c r="S60" i="20" s="1"/>
  <c r="F29" i="20"/>
  <c r="T58" i="20" s="1"/>
  <c r="AH14" i="20"/>
  <c r="AA14" i="20"/>
  <c r="J26" i="20"/>
  <c r="S59" i="20" s="1"/>
  <c r="F26" i="20"/>
  <c r="S58" i="20" s="1"/>
  <c r="E26" i="20"/>
  <c r="AA12" i="20"/>
  <c r="J23" i="20"/>
  <c r="R60" i="20" s="1"/>
  <c r="F23" i="20"/>
  <c r="AA10" i="20"/>
  <c r="J20" i="20"/>
  <c r="R59" i="20" s="1"/>
  <c r="F20" i="20"/>
  <c r="F3" i="20"/>
  <c r="B3" i="20"/>
  <c r="AC14" i="21" l="1"/>
  <c r="AE10" i="21"/>
  <c r="AC10" i="21"/>
  <c r="AD10" i="21"/>
  <c r="K33" i="14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C54" i="17"/>
  <c r="C54" i="22"/>
  <c r="D35" i="30"/>
  <c r="D35" i="29"/>
  <c r="D35" i="28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72" i="22"/>
  <c r="G72" i="17"/>
  <c r="G34" i="30"/>
  <c r="G34" i="29"/>
  <c r="G34" i="28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74" i="22"/>
  <c r="G74" i="17"/>
  <c r="AH12" i="20"/>
  <c r="AE14" i="21"/>
  <c r="AD14" i="21"/>
  <c r="AE12" i="20"/>
  <c r="AC12" i="20"/>
  <c r="AD12" i="20"/>
  <c r="AE10" i="20"/>
  <c r="AC10" i="20"/>
  <c r="AD10" i="20"/>
  <c r="AE14" i="20"/>
  <c r="AC14" i="20"/>
  <c r="AD14" i="20"/>
  <c r="F3" i="6"/>
  <c r="B3" i="6"/>
  <c r="F3" i="2"/>
  <c r="B3" i="2"/>
  <c r="AD12" i="21" l="1"/>
  <c r="AC12" i="21"/>
  <c r="AB10" i="21"/>
  <c r="AJ10" i="21" s="1"/>
  <c r="AB10" i="20"/>
  <c r="AJ10" i="20" s="1"/>
  <c r="AB12" i="20"/>
  <c r="AJ12" i="20" s="1"/>
  <c r="AB14" i="21"/>
  <c r="AJ14" i="21" s="1"/>
  <c r="AB14" i="20"/>
  <c r="AJ14" i="20" s="1"/>
  <c r="O13" i="19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AB12" i="21" l="1"/>
  <c r="AJ12" i="21" s="1"/>
  <c r="Z12" i="21" s="1"/>
  <c r="AJ8" i="21"/>
  <c r="Z12" i="20"/>
  <c r="Z10" i="20"/>
  <c r="Z14" i="20"/>
  <c r="O26" i="14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Z14" i="21" l="1"/>
  <c r="Z10" i="21"/>
  <c r="X12" i="21" s="1"/>
  <c r="Q12" i="20"/>
  <c r="AJ8" i="20"/>
  <c r="Y14" i="20"/>
  <c r="W14" i="20"/>
  <c r="U14" i="20"/>
  <c r="S14" i="20"/>
  <c r="Q14" i="20"/>
  <c r="Y12" i="20"/>
  <c r="W12" i="20"/>
  <c r="U12" i="20"/>
  <c r="S12" i="20"/>
  <c r="Y10" i="20"/>
  <c r="W10" i="20"/>
  <c r="U10" i="20"/>
  <c r="S10" i="20"/>
  <c r="Q10" i="20"/>
  <c r="X12" i="20"/>
  <c r="V12" i="20"/>
  <c r="T12" i="20"/>
  <c r="P12" i="20"/>
  <c r="X14" i="20"/>
  <c r="V14" i="20"/>
  <c r="T14" i="20"/>
  <c r="P14" i="20"/>
  <c r="X10" i="20"/>
  <c r="V10" i="20"/>
  <c r="T10" i="20"/>
  <c r="P10" i="20"/>
  <c r="T10" i="21" l="1"/>
  <c r="Y12" i="21"/>
  <c r="T14" i="21"/>
  <c r="W14" i="21"/>
  <c r="X10" i="21"/>
  <c r="T12" i="21"/>
  <c r="U14" i="21"/>
  <c r="Q12" i="21"/>
  <c r="X14" i="21"/>
  <c r="S10" i="21"/>
  <c r="V10" i="21"/>
  <c r="V12" i="21"/>
  <c r="V14" i="21"/>
  <c r="U10" i="21"/>
  <c r="S12" i="21"/>
  <c r="Q14" i="21"/>
  <c r="Y14" i="21"/>
  <c r="W10" i="21"/>
  <c r="U12" i="21"/>
  <c r="S14" i="21"/>
  <c r="P10" i="21"/>
  <c r="P12" i="21"/>
  <c r="P14" i="21"/>
  <c r="Q10" i="21"/>
  <c r="Y10" i="21"/>
  <c r="W12" i="21"/>
  <c r="J22" i="30"/>
  <c r="J22" i="29"/>
  <c r="J22" i="28"/>
  <c r="J21" i="30"/>
  <c r="J21" i="29"/>
  <c r="J21" i="28"/>
  <c r="O20" i="30"/>
  <c r="O20" i="29"/>
  <c r="O20" i="28"/>
  <c r="M21" i="30"/>
  <c r="M21" i="29"/>
  <c r="M21" i="28"/>
  <c r="K22" i="30"/>
  <c r="K22" i="29"/>
  <c r="K22" i="28"/>
  <c r="O22" i="30"/>
  <c r="O22" i="29"/>
  <c r="O22" i="28"/>
  <c r="M23" i="30"/>
  <c r="M23" i="29"/>
  <c r="M23" i="28"/>
  <c r="Q23" i="30"/>
  <c r="Q23" i="29"/>
  <c r="Q23" i="28"/>
  <c r="N20" i="30"/>
  <c r="N20" i="29"/>
  <c r="N20" i="28"/>
  <c r="AK10" i="20"/>
  <c r="R20" i="30"/>
  <c r="R20" i="29"/>
  <c r="R20" i="28"/>
  <c r="N22" i="30"/>
  <c r="N22" i="29"/>
  <c r="N22" i="28"/>
  <c r="AK14" i="20"/>
  <c r="R22" i="30"/>
  <c r="R22" i="29"/>
  <c r="R22" i="28"/>
  <c r="N23" i="30"/>
  <c r="N23" i="29"/>
  <c r="N23" i="28"/>
  <c r="R23" i="30"/>
  <c r="R23" i="29"/>
  <c r="R23" i="28"/>
  <c r="N21" i="30"/>
  <c r="N21" i="29"/>
  <c r="N21" i="28"/>
  <c r="AK12" i="20"/>
  <c r="R21" i="30"/>
  <c r="R21" i="29"/>
  <c r="R21" i="28"/>
  <c r="M20" i="30"/>
  <c r="M20" i="28"/>
  <c r="M20" i="29"/>
  <c r="Q20" i="30"/>
  <c r="Q20" i="28"/>
  <c r="Q20" i="29"/>
  <c r="K21" i="30"/>
  <c r="K21" i="29"/>
  <c r="K21" i="28"/>
  <c r="O21" i="30"/>
  <c r="O21" i="29"/>
  <c r="O21" i="28"/>
  <c r="S21" i="30"/>
  <c r="S21" i="29"/>
  <c r="S21" i="28"/>
  <c r="M22" i="30"/>
  <c r="M22" i="29"/>
  <c r="M22" i="28"/>
  <c r="Q22" i="30"/>
  <c r="Q22" i="29"/>
  <c r="Q22" i="28"/>
  <c r="K23" i="30"/>
  <c r="K23" i="29"/>
  <c r="K23" i="28"/>
  <c r="O23" i="30"/>
  <c r="O23" i="29"/>
  <c r="O23" i="28"/>
  <c r="S23" i="30"/>
  <c r="S23" i="29"/>
  <c r="S23" i="28"/>
  <c r="R28" i="30"/>
  <c r="R28" i="29"/>
  <c r="R28" i="28"/>
  <c r="K63" i="22"/>
  <c r="G67" i="17"/>
  <c r="N30" i="30"/>
  <c r="N30" i="29"/>
  <c r="N30" i="28"/>
  <c r="G67" i="22"/>
  <c r="R30" i="30"/>
  <c r="R30" i="29"/>
  <c r="R30" i="28"/>
  <c r="K67" i="22"/>
  <c r="D67" i="17"/>
  <c r="K30" i="30"/>
  <c r="K30" i="29"/>
  <c r="K30" i="28"/>
  <c r="D67" i="22"/>
  <c r="H67" i="17"/>
  <c r="O30" i="30"/>
  <c r="O30" i="29"/>
  <c r="O30" i="28"/>
  <c r="H67" i="22"/>
  <c r="L67" i="17"/>
  <c r="S30" i="30"/>
  <c r="S30" i="29"/>
  <c r="S30" i="28"/>
  <c r="L67" i="22"/>
  <c r="J20" i="30"/>
  <c r="J20" i="29"/>
  <c r="J20" i="28"/>
  <c r="P20" i="30"/>
  <c r="P20" i="29"/>
  <c r="P20" i="28"/>
  <c r="P22" i="30"/>
  <c r="P22" i="29"/>
  <c r="P22" i="28"/>
  <c r="J23" i="30"/>
  <c r="J23" i="29"/>
  <c r="J23" i="28"/>
  <c r="P23" i="30"/>
  <c r="P23" i="29"/>
  <c r="P23" i="28"/>
  <c r="P21" i="30"/>
  <c r="P21" i="28"/>
  <c r="P21" i="29"/>
  <c r="K20" i="30"/>
  <c r="K20" i="29"/>
  <c r="K20" i="28"/>
  <c r="S20" i="30"/>
  <c r="S20" i="29"/>
  <c r="S20" i="28"/>
  <c r="Q21" i="30"/>
  <c r="Q21" i="29"/>
  <c r="Q21" i="28"/>
  <c r="S22" i="30"/>
  <c r="S22" i="29"/>
  <c r="S22" i="28"/>
  <c r="B67" i="17"/>
  <c r="J30" i="30"/>
  <c r="J30" i="29"/>
  <c r="J30" i="28"/>
  <c r="B67" i="22"/>
  <c r="I67" i="17"/>
  <c r="P30" i="30"/>
  <c r="P30" i="29"/>
  <c r="P30" i="28"/>
  <c r="I67" i="22"/>
  <c r="F67" i="17"/>
  <c r="M30" i="30"/>
  <c r="M30" i="29"/>
  <c r="M30" i="28"/>
  <c r="F67" i="22"/>
  <c r="J67" i="17"/>
  <c r="Q30" i="30"/>
  <c r="Q30" i="29"/>
  <c r="Q30" i="28"/>
  <c r="J67" i="22"/>
  <c r="AK12" i="21"/>
  <c r="K63" i="17"/>
  <c r="K67" i="17"/>
  <c r="R12" i="20"/>
  <c r="W35" i="20"/>
  <c r="L6" i="27" s="1"/>
  <c r="W34" i="20"/>
  <c r="R10" i="20"/>
  <c r="R14" i="20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N29" i="30" l="1"/>
  <c r="S28" i="30"/>
  <c r="R26" i="30"/>
  <c r="G61" i="17"/>
  <c r="G61" i="22"/>
  <c r="S28" i="28"/>
  <c r="N26" i="29"/>
  <c r="S28" i="29"/>
  <c r="N26" i="30"/>
  <c r="N26" i="28"/>
  <c r="L63" i="22"/>
  <c r="L63" i="17"/>
  <c r="G65" i="17"/>
  <c r="G65" i="22"/>
  <c r="Q29" i="30"/>
  <c r="J65" i="22"/>
  <c r="N29" i="28"/>
  <c r="Q29" i="29"/>
  <c r="N29" i="29"/>
  <c r="AK10" i="21"/>
  <c r="J65" i="17"/>
  <c r="R26" i="28"/>
  <c r="K61" i="17"/>
  <c r="K61" i="22"/>
  <c r="Q29" i="28"/>
  <c r="R26" i="29"/>
  <c r="N28" i="30"/>
  <c r="O29" i="30"/>
  <c r="G63" i="17"/>
  <c r="H65" i="22"/>
  <c r="G63" i="22"/>
  <c r="K26" i="28"/>
  <c r="D63" i="17"/>
  <c r="H65" i="17"/>
  <c r="N28" i="28"/>
  <c r="O29" i="29"/>
  <c r="N28" i="29"/>
  <c r="O29" i="28"/>
  <c r="D63" i="22"/>
  <c r="K28" i="30"/>
  <c r="P29" i="30"/>
  <c r="S29" i="29"/>
  <c r="I65" i="17"/>
  <c r="K28" i="28"/>
  <c r="AK14" i="21"/>
  <c r="K28" i="29"/>
  <c r="K65" i="17"/>
  <c r="S29" i="28"/>
  <c r="L61" i="17"/>
  <c r="I65" i="22"/>
  <c r="B61" i="17"/>
  <c r="R29" i="28"/>
  <c r="M26" i="28"/>
  <c r="S29" i="30"/>
  <c r="P29" i="28"/>
  <c r="R29" i="29"/>
  <c r="M26" i="29"/>
  <c r="L65" i="17"/>
  <c r="S26" i="29"/>
  <c r="P29" i="29"/>
  <c r="J26" i="29"/>
  <c r="K65" i="22"/>
  <c r="R29" i="30"/>
  <c r="M28" i="29"/>
  <c r="I61" i="22"/>
  <c r="F63" i="22"/>
  <c r="P26" i="28"/>
  <c r="F63" i="17"/>
  <c r="O26" i="28"/>
  <c r="B65" i="17"/>
  <c r="F61" i="22"/>
  <c r="M26" i="30"/>
  <c r="P26" i="30"/>
  <c r="M28" i="30"/>
  <c r="J29" i="29"/>
  <c r="M28" i="28"/>
  <c r="F61" i="17"/>
  <c r="O28" i="28"/>
  <c r="H63" i="22"/>
  <c r="O28" i="30"/>
  <c r="R12" i="21"/>
  <c r="L65" i="22"/>
  <c r="K29" i="28"/>
  <c r="I63" i="17"/>
  <c r="F65" i="22"/>
  <c r="M29" i="30"/>
  <c r="R14" i="21"/>
  <c r="K29" i="29"/>
  <c r="K26" i="29"/>
  <c r="P28" i="28"/>
  <c r="F65" i="17"/>
  <c r="D65" i="22"/>
  <c r="K29" i="30"/>
  <c r="D61" i="22"/>
  <c r="K26" i="30"/>
  <c r="P28" i="29"/>
  <c r="M29" i="28"/>
  <c r="W35" i="21"/>
  <c r="L9" i="27" s="1"/>
  <c r="G42" i="30" s="1"/>
  <c r="W34" i="21"/>
  <c r="D65" i="17"/>
  <c r="D61" i="17"/>
  <c r="I63" i="22"/>
  <c r="P28" i="30"/>
  <c r="M29" i="29"/>
  <c r="B63" i="17"/>
  <c r="J61" i="22"/>
  <c r="J63" i="17"/>
  <c r="Q26" i="30"/>
  <c r="O26" i="29"/>
  <c r="J28" i="28"/>
  <c r="J61" i="17"/>
  <c r="R10" i="21"/>
  <c r="Q28" i="28"/>
  <c r="Q28" i="29"/>
  <c r="H61" i="22"/>
  <c r="O26" i="30"/>
  <c r="J28" i="29"/>
  <c r="Q26" i="28"/>
  <c r="J63" i="22"/>
  <c r="Q28" i="30"/>
  <c r="H61" i="17"/>
  <c r="B63" i="22"/>
  <c r="J28" i="30"/>
  <c r="Q26" i="29"/>
  <c r="L61" i="22"/>
  <c r="S26" i="30"/>
  <c r="J29" i="28"/>
  <c r="B61" i="22"/>
  <c r="J26" i="30"/>
  <c r="O28" i="29"/>
  <c r="P26" i="29"/>
  <c r="S26" i="28"/>
  <c r="B65" i="22"/>
  <c r="J29" i="30"/>
  <c r="J26" i="28"/>
  <c r="H63" i="17"/>
  <c r="I61" i="17"/>
  <c r="G12" i="27"/>
  <c r="D43" i="29" s="1"/>
  <c r="L20" i="30"/>
  <c r="L20" i="29"/>
  <c r="L20" i="28"/>
  <c r="L22" i="30"/>
  <c r="L22" i="29"/>
  <c r="L22" i="28"/>
  <c r="E67" i="17"/>
  <c r="L30" i="30"/>
  <c r="L30" i="29"/>
  <c r="L30" i="28"/>
  <c r="E67" i="22"/>
  <c r="L23" i="30"/>
  <c r="L23" i="29"/>
  <c r="L23" i="28"/>
  <c r="G41" i="29"/>
  <c r="G41" i="30"/>
  <c r="G41" i="28"/>
  <c r="L6" i="23"/>
  <c r="P6" i="27"/>
  <c r="L21" i="30"/>
  <c r="L21" i="28"/>
  <c r="L21" i="29"/>
  <c r="L10" i="18"/>
  <c r="L13" i="19"/>
  <c r="L7" i="19"/>
  <c r="G13" i="19"/>
  <c r="G7" i="19"/>
  <c r="G10" i="18"/>
  <c r="G7" i="18"/>
  <c r="L7" i="18"/>
  <c r="E63" i="17" l="1"/>
  <c r="E63" i="22"/>
  <c r="E65" i="22"/>
  <c r="L29" i="28"/>
  <c r="L28" i="28"/>
  <c r="L28" i="29"/>
  <c r="L28" i="30"/>
  <c r="G15" i="27"/>
  <c r="G15" i="23" s="1"/>
  <c r="L29" i="30"/>
  <c r="E65" i="17"/>
  <c r="G42" i="29"/>
  <c r="L9" i="23"/>
  <c r="G42" i="28"/>
  <c r="L29" i="29"/>
  <c r="L26" i="28"/>
  <c r="L26" i="29"/>
  <c r="E61" i="22"/>
  <c r="L26" i="30"/>
  <c r="E61" i="17"/>
  <c r="D43" i="30"/>
  <c r="D43" i="28"/>
  <c r="G12" i="23"/>
  <c r="D48" i="30"/>
  <c r="D44" i="28" l="1"/>
  <c r="P15" i="27"/>
  <c r="G49" i="30" s="1"/>
  <c r="D44" i="30"/>
  <c r="D44" i="29"/>
  <c r="K32" i="2"/>
  <c r="E32" i="2"/>
  <c r="L46" i="2"/>
  <c r="J46" i="2"/>
  <c r="L43" i="2"/>
  <c r="J43" i="2"/>
  <c r="J32" i="2"/>
  <c r="T60" i="2" s="1"/>
  <c r="F32" i="2"/>
  <c r="T59" i="2" s="1"/>
  <c r="J29" i="2"/>
  <c r="S60" i="2" s="1"/>
  <c r="F29" i="2"/>
  <c r="T58" i="2" s="1"/>
  <c r="J26" i="2"/>
  <c r="F26" i="2"/>
  <c r="R60" i="2" s="1"/>
  <c r="J23" i="2"/>
  <c r="F23" i="2"/>
  <c r="S59" i="2" s="1"/>
  <c r="AE10" i="2" l="1"/>
  <c r="AD10" i="2"/>
  <c r="G21" i="22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P59" i="2" l="1"/>
  <c r="P60" i="2"/>
  <c r="P58" i="2"/>
  <c r="K26" i="14"/>
  <c r="K24" i="14"/>
  <c r="D26" i="14"/>
  <c r="D24" i="14"/>
  <c r="L46" i="6"/>
  <c r="J46" i="6"/>
  <c r="L43" i="6"/>
  <c r="J43" i="6"/>
  <c r="J32" i="6"/>
  <c r="T60" i="6" s="1"/>
  <c r="F32" i="6"/>
  <c r="T59" i="6" s="1"/>
  <c r="B4" i="2"/>
  <c r="G21" i="17"/>
  <c r="K18" i="14"/>
  <c r="G19" i="17"/>
  <c r="D18" i="14"/>
  <c r="C19" i="17"/>
  <c r="K16" i="14"/>
  <c r="C21" i="17"/>
  <c r="D16" i="14"/>
  <c r="AD12" i="6" l="1"/>
  <c r="AE12" i="6"/>
  <c r="AC12" i="6"/>
  <c r="AD14" i="6"/>
  <c r="AC14" i="6"/>
  <c r="AE14" i="6"/>
  <c r="AE12" i="2"/>
  <c r="AD12" i="2"/>
  <c r="AC12" i="2"/>
  <c r="AC14" i="2"/>
  <c r="AD14" i="2"/>
  <c r="AE14" i="2"/>
  <c r="AC10" i="2"/>
  <c r="AB10" i="2" s="1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A12" i="15"/>
  <c r="A20" i="14"/>
  <c r="A12" i="14"/>
  <c r="AB12" i="6" l="1"/>
  <c r="AJ12" i="6" s="1"/>
  <c r="AB12" i="2"/>
  <c r="AJ12" i="2" s="1"/>
  <c r="AB14" i="2"/>
  <c r="AJ14" i="2" s="1"/>
  <c r="AB14" i="6"/>
  <c r="AJ14" i="6" s="1"/>
  <c r="AJ10" i="2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W35" i="2"/>
  <c r="L12" i="27" s="1"/>
  <c r="L12" i="17"/>
  <c r="D49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Z14" i="6" l="1"/>
  <c r="Z12" i="6"/>
  <c r="Z10" i="6"/>
  <c r="AJ8" i="6" s="1"/>
  <c r="Z10" i="2"/>
  <c r="Z14" i="2"/>
  <c r="Z12" i="2"/>
  <c r="G49" i="17"/>
  <c r="N17" i="30"/>
  <c r="N17" i="29"/>
  <c r="N17" i="28"/>
  <c r="G49" i="22"/>
  <c r="G31" i="22"/>
  <c r="G31" i="17"/>
  <c r="J49" i="17"/>
  <c r="Q17" i="30"/>
  <c r="Q17" i="29"/>
  <c r="Q17" i="28"/>
  <c r="J49" i="22"/>
  <c r="J31" i="22"/>
  <c r="J31" i="17"/>
  <c r="M17" i="30"/>
  <c r="M17" i="29"/>
  <c r="M17" i="28"/>
  <c r="F49" i="22"/>
  <c r="F31" i="22"/>
  <c r="F31" i="17"/>
  <c r="B49" i="17"/>
  <c r="J17" i="30"/>
  <c r="J17" i="29"/>
  <c r="J17" i="28"/>
  <c r="B31" i="17"/>
  <c r="B49" i="22"/>
  <c r="B31" i="22"/>
  <c r="R17" i="30"/>
  <c r="R17" i="29"/>
  <c r="R17" i="28"/>
  <c r="K49" i="22"/>
  <c r="K31" i="22"/>
  <c r="K31" i="17"/>
  <c r="L49" i="17"/>
  <c r="S17" i="30"/>
  <c r="S17" i="28"/>
  <c r="S17" i="29"/>
  <c r="L49" i="22"/>
  <c r="L31" i="22"/>
  <c r="L31" i="17"/>
  <c r="H49" i="17"/>
  <c r="O17" i="30"/>
  <c r="O17" i="28"/>
  <c r="O17" i="29"/>
  <c r="H49" i="22"/>
  <c r="H31" i="22"/>
  <c r="H31" i="17"/>
  <c r="I49" i="17"/>
  <c r="P17" i="30"/>
  <c r="P17" i="29"/>
  <c r="P17" i="28"/>
  <c r="I49" i="22"/>
  <c r="I31" i="22"/>
  <c r="I31" i="17"/>
  <c r="K17" i="30"/>
  <c r="K17" i="29"/>
  <c r="K17" i="28"/>
  <c r="D49" i="22"/>
  <c r="D31" i="22"/>
  <c r="D31" i="17"/>
  <c r="L9" i="30"/>
  <c r="L9" i="29"/>
  <c r="L9" i="28"/>
  <c r="L10" i="28"/>
  <c r="L10" i="30"/>
  <c r="L10" i="29"/>
  <c r="G43" i="29"/>
  <c r="G43" i="30"/>
  <c r="G43" i="28"/>
  <c r="L12" i="23"/>
  <c r="P12" i="27"/>
  <c r="L7" i="28"/>
  <c r="L7" i="30"/>
  <c r="L7" i="29"/>
  <c r="L8" i="28"/>
  <c r="L8" i="30"/>
  <c r="L8" i="29"/>
  <c r="E8" i="22"/>
  <c r="E10" i="22"/>
  <c r="E12" i="22"/>
  <c r="E14" i="22"/>
  <c r="K49" i="17"/>
  <c r="F49" i="17"/>
  <c r="E8" i="17"/>
  <c r="E12" i="17"/>
  <c r="E10" i="17"/>
  <c r="T12" i="2" l="1"/>
  <c r="P10" i="2"/>
  <c r="Q14" i="2"/>
  <c r="Q12" i="2"/>
  <c r="Q10" i="2"/>
  <c r="Q10" i="6"/>
  <c r="V12" i="6"/>
  <c r="T12" i="6"/>
  <c r="U10" i="6"/>
  <c r="S10" i="6"/>
  <c r="T14" i="6"/>
  <c r="S14" i="6"/>
  <c r="Y12" i="6"/>
  <c r="P10" i="6"/>
  <c r="U12" i="6"/>
  <c r="T10" i="6"/>
  <c r="Q12" i="6"/>
  <c r="X14" i="6"/>
  <c r="P14" i="6"/>
  <c r="Y10" i="6"/>
  <c r="S12" i="6"/>
  <c r="X10" i="6"/>
  <c r="Y14" i="6"/>
  <c r="W14" i="6"/>
  <c r="W12" i="6"/>
  <c r="Q14" i="6"/>
  <c r="V14" i="6"/>
  <c r="W10" i="6"/>
  <c r="V10" i="6"/>
  <c r="X12" i="6"/>
  <c r="P12" i="6"/>
  <c r="U14" i="6"/>
  <c r="S12" i="2"/>
  <c r="V14" i="2"/>
  <c r="X10" i="2"/>
  <c r="U10" i="2"/>
  <c r="T10" i="2"/>
  <c r="S10" i="2"/>
  <c r="Y10" i="2"/>
  <c r="W10" i="2"/>
  <c r="Y12" i="2"/>
  <c r="P12" i="2"/>
  <c r="U12" i="2"/>
  <c r="V12" i="2"/>
  <c r="W12" i="2"/>
  <c r="X12" i="2"/>
  <c r="X14" i="2"/>
  <c r="S14" i="2"/>
  <c r="Y14" i="2"/>
  <c r="T14" i="2"/>
  <c r="P14" i="2"/>
  <c r="W14" i="2"/>
  <c r="V10" i="2"/>
  <c r="U14" i="2"/>
  <c r="L17" i="30"/>
  <c r="L17" i="29"/>
  <c r="L17" i="28"/>
  <c r="E49" i="22"/>
  <c r="E31" i="22"/>
  <c r="G48" i="30"/>
  <c r="E49" i="17"/>
  <c r="E31" i="17"/>
  <c r="R10" i="2" l="1"/>
  <c r="W34" i="6"/>
  <c r="W35" i="6"/>
  <c r="L15" i="27" s="1"/>
  <c r="P13" i="28"/>
  <c r="I25" i="17"/>
  <c r="I25" i="22"/>
  <c r="I43" i="17"/>
  <c r="P13" i="30"/>
  <c r="I43" i="22"/>
  <c r="P13" i="29"/>
  <c r="Q14" i="28"/>
  <c r="J27" i="17"/>
  <c r="Q14" i="29"/>
  <c r="J45" i="17"/>
  <c r="Q14" i="30"/>
  <c r="J45" i="22"/>
  <c r="J27" i="22"/>
  <c r="R12" i="6"/>
  <c r="F45" i="17"/>
  <c r="M14" i="28"/>
  <c r="M14" i="30"/>
  <c r="F45" i="22"/>
  <c r="M14" i="29"/>
  <c r="F27" i="22"/>
  <c r="F27" i="17"/>
  <c r="D45" i="17"/>
  <c r="D27" i="17"/>
  <c r="K14" i="30"/>
  <c r="D45" i="22"/>
  <c r="K14" i="29"/>
  <c r="D27" i="22"/>
  <c r="K14" i="28"/>
  <c r="S14" i="29"/>
  <c r="L27" i="22"/>
  <c r="S14" i="28"/>
  <c r="L27" i="17"/>
  <c r="L45" i="17"/>
  <c r="S14" i="30"/>
  <c r="L45" i="22"/>
  <c r="O13" i="29"/>
  <c r="H25" i="22"/>
  <c r="O13" i="28"/>
  <c r="H25" i="17"/>
  <c r="H43" i="17"/>
  <c r="O13" i="30"/>
  <c r="H43" i="22"/>
  <c r="O15" i="29"/>
  <c r="H29" i="22"/>
  <c r="O15" i="28"/>
  <c r="H29" i="17"/>
  <c r="H47" i="17"/>
  <c r="O15" i="30"/>
  <c r="H47" i="22"/>
  <c r="J43" i="17"/>
  <c r="Q13" i="28"/>
  <c r="Q13" i="30"/>
  <c r="J43" i="22"/>
  <c r="Q13" i="29"/>
  <c r="J25" i="22"/>
  <c r="J25" i="17"/>
  <c r="Q15" i="29"/>
  <c r="J29" i="22"/>
  <c r="J47" i="17"/>
  <c r="Q15" i="30"/>
  <c r="Q15" i="28"/>
  <c r="J29" i="17"/>
  <c r="J47" i="22"/>
  <c r="S13" i="29"/>
  <c r="L25" i="22"/>
  <c r="S13" i="28"/>
  <c r="L25" i="17"/>
  <c r="L43" i="17"/>
  <c r="S13" i="30"/>
  <c r="L43" i="22"/>
  <c r="N13" i="28"/>
  <c r="G25" i="17"/>
  <c r="G43" i="17"/>
  <c r="N13" i="30"/>
  <c r="G43" i="22"/>
  <c r="N13" i="29"/>
  <c r="G25" i="22"/>
  <c r="R14" i="6"/>
  <c r="M15" i="28"/>
  <c r="F29" i="17"/>
  <c r="F47" i="17"/>
  <c r="M15" i="29"/>
  <c r="M15" i="30"/>
  <c r="F47" i="22"/>
  <c r="F29" i="22"/>
  <c r="N14" i="28"/>
  <c r="G27" i="17"/>
  <c r="N14" i="29"/>
  <c r="G45" i="17"/>
  <c r="N14" i="30"/>
  <c r="G45" i="22"/>
  <c r="G27" i="22"/>
  <c r="J14" i="29"/>
  <c r="B27" i="22"/>
  <c r="J14" i="28"/>
  <c r="B45" i="17"/>
  <c r="B27" i="17"/>
  <c r="B45" i="22"/>
  <c r="J14" i="30"/>
  <c r="P15" i="29"/>
  <c r="I29" i="22"/>
  <c r="I47" i="17"/>
  <c r="I47" i="22"/>
  <c r="P15" i="28"/>
  <c r="I29" i="17"/>
  <c r="P15" i="30"/>
  <c r="S15" i="30"/>
  <c r="L47" i="22"/>
  <c r="S15" i="29"/>
  <c r="L29" i="22"/>
  <c r="S15" i="28"/>
  <c r="L29" i="17"/>
  <c r="L47" i="17"/>
  <c r="B47" i="22"/>
  <c r="J15" i="30"/>
  <c r="B29" i="22"/>
  <c r="J15" i="29"/>
  <c r="B29" i="17"/>
  <c r="J15" i="28"/>
  <c r="B47" i="17"/>
  <c r="O14" i="29"/>
  <c r="H27" i="22"/>
  <c r="O14" i="28"/>
  <c r="H27" i="17"/>
  <c r="H45" i="17"/>
  <c r="O14" i="30"/>
  <c r="H45" i="22"/>
  <c r="N15" i="28"/>
  <c r="G29" i="17"/>
  <c r="G47" i="17"/>
  <c r="N15" i="30"/>
  <c r="G47" i="22"/>
  <c r="N15" i="29"/>
  <c r="G29" i="22"/>
  <c r="P14" i="28"/>
  <c r="I27" i="17"/>
  <c r="I45" i="17"/>
  <c r="P14" i="30"/>
  <c r="I45" i="22"/>
  <c r="P14" i="29"/>
  <c r="I27" i="22"/>
  <c r="AK12" i="6"/>
  <c r="R14" i="28"/>
  <c r="K27" i="17"/>
  <c r="R14" i="29"/>
  <c r="R14" i="30"/>
  <c r="K45" i="22"/>
  <c r="K27" i="22"/>
  <c r="K45" i="17"/>
  <c r="K15" i="29"/>
  <c r="D29" i="22"/>
  <c r="D47" i="17"/>
  <c r="K15" i="28"/>
  <c r="D29" i="17"/>
  <c r="K15" i="30"/>
  <c r="D47" i="22"/>
  <c r="AK10" i="6"/>
  <c r="R13" i="28"/>
  <c r="K25" i="17"/>
  <c r="K25" i="22"/>
  <c r="K43" i="17"/>
  <c r="R13" i="30"/>
  <c r="K43" i="22"/>
  <c r="R13" i="29"/>
  <c r="AK14" i="6"/>
  <c r="K47" i="17"/>
  <c r="R15" i="28"/>
  <c r="K29" i="17"/>
  <c r="R15" i="30"/>
  <c r="K47" i="22"/>
  <c r="R15" i="29"/>
  <c r="K29" i="22"/>
  <c r="J13" i="28"/>
  <c r="B43" i="17"/>
  <c r="B43" i="22"/>
  <c r="J13" i="30"/>
  <c r="B25" i="22"/>
  <c r="J13" i="29"/>
  <c r="B25" i="17"/>
  <c r="R10" i="6"/>
  <c r="M13" i="30"/>
  <c r="F43" i="22"/>
  <c r="M13" i="29"/>
  <c r="F25" i="22"/>
  <c r="M13" i="28"/>
  <c r="F25" i="17"/>
  <c r="F43" i="17"/>
  <c r="K13" i="29"/>
  <c r="D25" i="22"/>
  <c r="K13" i="28"/>
  <c r="D25" i="17"/>
  <c r="D43" i="17"/>
  <c r="K13" i="30"/>
  <c r="D43" i="22"/>
  <c r="AK14" i="2"/>
  <c r="AK10" i="2"/>
  <c r="R12" i="2"/>
  <c r="R14" i="2"/>
  <c r="AK12" i="2"/>
  <c r="W34" i="2"/>
  <c r="M7" i="18"/>
  <c r="Q12" i="19"/>
  <c r="B19" i="19"/>
  <c r="B65" i="30"/>
  <c r="B70" i="30"/>
  <c r="G9" i="27" l="1"/>
  <c r="D42" i="29" s="1"/>
  <c r="M10" i="18"/>
  <c r="L13" i="29"/>
  <c r="L13" i="28"/>
  <c r="E43" i="17"/>
  <c r="E43" i="22"/>
  <c r="E25" i="17"/>
  <c r="E25" i="22"/>
  <c r="L13" i="30"/>
  <c r="L14" i="28"/>
  <c r="E45" i="17"/>
  <c r="E27" i="17"/>
  <c r="L14" i="30"/>
  <c r="E45" i="22"/>
  <c r="E27" i="22"/>
  <c r="L14" i="29"/>
  <c r="E29" i="17"/>
  <c r="L15" i="30"/>
  <c r="E47" i="22"/>
  <c r="L15" i="29"/>
  <c r="E29" i="22"/>
  <c r="E47" i="17"/>
  <c r="L15" i="28"/>
  <c r="G6" i="27"/>
  <c r="B60" i="30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H13" i="19" l="1"/>
  <c r="D57" i="30"/>
  <c r="P9" i="27"/>
  <c r="D49" i="30" s="1"/>
  <c r="D42" i="28"/>
  <c r="D42" i="30"/>
  <c r="G9" i="23"/>
  <c r="G57" i="30"/>
  <c r="M13" i="19"/>
  <c r="G6" i="23"/>
  <c r="D41" i="28"/>
  <c r="D41" i="29"/>
  <c r="D41" i="30"/>
  <c r="E7" i="18"/>
  <c r="E10" i="18"/>
  <c r="S10" i="18" s="1"/>
  <c r="Q10" i="18" l="1"/>
  <c r="S7" i="18"/>
  <c r="Q7" i="18"/>
  <c r="D53" i="30"/>
  <c r="H7" i="19"/>
  <c r="G53" i="30"/>
  <c r="M7" i="19"/>
  <c r="Q6" i="19" s="1"/>
</calcChain>
</file>

<file path=xl/sharedStrings.xml><?xml version="1.0" encoding="utf-8"?>
<sst xmlns="http://schemas.openxmlformats.org/spreadsheetml/2006/main" count="610" uniqueCount="165">
  <si>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</si>
  <si>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</si>
  <si>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</si>
  <si>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</si>
  <si>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</si>
  <si>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</si>
  <si>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</si>
  <si>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</si>
  <si>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</si>
  <si>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</si>
  <si>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</si>
  <si>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</si>
  <si>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</si>
  <si>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</si>
  <si>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</si>
  <si>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</si>
  <si>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</si>
  <si>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</si>
  <si>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</si>
  <si>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</si>
  <si>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</si>
  <si>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</si>
  <si>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</si>
  <si>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</si>
  <si>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</si>
  <si>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</si>
  <si>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</si>
  <si>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</si>
  <si>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</si>
  <si>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</si>
  <si>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</si>
  <si>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</si>
  <si>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</si>
  <si>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</si>
  <si>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</si>
  <si>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</si>
  <si>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</si>
  <si>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>CANCHA 2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</si>
  <si>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</si>
  <si>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</si>
  <si>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</si>
  <si>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</si>
  <si>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</si>
  <si>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</si>
  <si>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</si>
  <si>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</si>
  <si>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</si>
  <si>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</si>
  <si>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</si>
  <si>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</si>
  <si>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</si>
  <si>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</si>
  <si>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</si>
  <si>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</si>
  <si>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</si>
  <si>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</si>
  <si>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</si>
  <si>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</si>
  <si>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</si>
  <si>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</si>
  <si>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</si>
  <si>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</si>
  <si>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</si>
  <si>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</si>
  <si>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</si>
  <si>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</si>
  <si>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</si>
  <si>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</si>
  <si>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</si>
  <si>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</si>
  <si>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</si>
  <si>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</si>
  <si>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</si>
  <si>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</si>
  <si>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</si>
  <si>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</si>
  <si>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03:50. p.m.</t>
  </si>
  <si>
    <t>03:00. p.m.</t>
  </si>
  <si>
    <t>04:20. p.m.</t>
  </si>
  <si>
    <t>INTERGRUPOS</t>
  </si>
  <si>
    <t>PRIMERO GRUPO A</t>
  </si>
  <si>
    <t>PRIMERO GRUPO B</t>
  </si>
  <si>
    <t>PRIMERO GRUPO C</t>
  </si>
  <si>
    <t>PRIMERO GRUPO D</t>
  </si>
  <si>
    <t>INTERGRUPO</t>
  </si>
  <si>
    <t>PARTIDOS           FECHA 1            INTERGRUPOS</t>
  </si>
  <si>
    <t># 1 GRUPO A</t>
  </si>
  <si>
    <t># 2 GRUPO A</t>
  </si>
  <si>
    <t># 3 GRUPO A</t>
  </si>
  <si>
    <t># 9 GRUPO C</t>
  </si>
  <si>
    <t># 5 GRUPO B</t>
  </si>
  <si>
    <t># 6 GRUPO B</t>
  </si>
  <si>
    <t># 4 GRUPO B</t>
  </si>
  <si>
    <t># 7 GRUPO C</t>
  </si>
  <si>
    <t># 10 GRUPO D</t>
  </si>
  <si>
    <t># 8 GRUPO C</t>
  </si>
  <si>
    <t># 11 GRUPO D</t>
  </si>
  <si>
    <t># 12 GRUPO D</t>
  </si>
  <si>
    <t>Los partidos intergrupos garantizan jugar como minimo                 4 partidos a todos los equipos participantes.</t>
  </si>
  <si>
    <t xml:space="preserve">IV Campeonato Nacional de Futbol </t>
  </si>
  <si>
    <t>BABY FUTBOL</t>
  </si>
  <si>
    <t>Nacidos Año 2005-2006</t>
  </si>
  <si>
    <t>CATEGORIA</t>
  </si>
  <si>
    <t>11:55. a.m.</t>
  </si>
  <si>
    <t>CANCHA 1 A</t>
  </si>
  <si>
    <t>12:50. p.m.</t>
  </si>
  <si>
    <t>CANCHA 1 C</t>
  </si>
  <si>
    <t>04:30. p.m.</t>
  </si>
  <si>
    <t>CANCHA 1 B</t>
  </si>
  <si>
    <t>12:40. p.m.</t>
  </si>
  <si>
    <t>04:40. p.m.</t>
  </si>
  <si>
    <t>10:50. a.m.</t>
  </si>
  <si>
    <t>09:50. a.m.</t>
  </si>
  <si>
    <t>02:00. p.m.</t>
  </si>
  <si>
    <t>CANCHA 1  C</t>
  </si>
  <si>
    <t>02:55. p.m.</t>
  </si>
  <si>
    <t>Pasan a la ronda semifinal, el PRIMERO DE CADA GRUPO, se jugara el jueves en la mañana</t>
  </si>
  <si>
    <t>DICIEMBRE 18 AL 21 VERSIÓN UNO</t>
  </si>
  <si>
    <t>|</t>
  </si>
  <si>
    <t>CATEGORÍA</t>
  </si>
  <si>
    <t>“COPA SOCCER MELGAR”</t>
  </si>
  <si>
    <t>AGOSTO 12 AL 15 DEL 2022</t>
  </si>
  <si>
    <t>LLAVE 1 
SEMIFINAL
 COPA ORO</t>
  </si>
  <si>
    <t>LLAVE 2
SEMIFINAL
 COPA ORO</t>
  </si>
  <si>
    <t>SEMIFINAL Y FINAL</t>
  </si>
  <si>
    <t>GRAN FINAL</t>
  </si>
  <si>
    <t>RECLASIFICACIÒN</t>
  </si>
  <si>
    <t>LUGAR</t>
  </si>
  <si>
    <t>Pts</t>
  </si>
  <si>
    <t>Gan</t>
  </si>
  <si>
    <t>Emp</t>
  </si>
  <si>
    <t>Per</t>
  </si>
  <si>
    <t>Dif</t>
  </si>
  <si>
    <t>FINAL 
COPA BRONCE</t>
  </si>
  <si>
    <t>TERCER LUGAR
COPA BRONCE</t>
  </si>
  <si>
    <t>FINAL 
COPA PLATA</t>
  </si>
  <si>
    <t>TERCER LUGAR
COPA PLATA</t>
  </si>
  <si>
    <t>DECIMO 
TABLA RECLASIFICACION</t>
  </si>
  <si>
    <t>NOVENO 
TABLA RECLASIFICACION</t>
  </si>
  <si>
    <t>DECIMO PRIMERO 
TABLA RECLASIFICACION</t>
  </si>
  <si>
    <t>DECIMO SEGUNDO 
TABLA RECLASIFICACION</t>
  </si>
  <si>
    <t>QUINTO
TABLA RECLASIFICACION</t>
  </si>
  <si>
    <t>SEXTO 
TABLA RECLASIFICACION</t>
  </si>
  <si>
    <t>SEPTIMO
TABLA RECLASIFICACION</t>
  </si>
  <si>
    <t>OCTAVO
TABLA RECLASIFICACION</t>
  </si>
  <si>
    <t>h</t>
  </si>
  <si>
    <t>TERCER LUGAR
COPA ORO</t>
  </si>
  <si>
    <t>FINAL 
COPA ORO</t>
  </si>
  <si>
    <t>DICIEMBRE 4 AL 6 DEL 2024</t>
  </si>
  <si>
    <t>NACIDOS 2010 2011</t>
  </si>
  <si>
    <t>ESTADIO MUNICIPAL SINTETICO NO GUAYOS</t>
  </si>
  <si>
    <t>CANCHA 2 CLUB POLICIA</t>
  </si>
  <si>
    <t>JAGUARES F. C.</t>
  </si>
  <si>
    <t>GOLDEN STEPS</t>
  </si>
  <si>
    <t>JUDERCAR F. C.</t>
  </si>
  <si>
    <t>CLUB DEPORTIVO NASSUAR</t>
  </si>
  <si>
    <t>E.D.F CHOCONTA</t>
  </si>
  <si>
    <t>IMPERIUM FÚTBOL CLUB</t>
  </si>
  <si>
    <t>ACADEMIA F.C SEDE RESTREPO</t>
  </si>
  <si>
    <t>LE MAX TEAM</t>
  </si>
  <si>
    <t>SPORTING CLUB VILLAVICENCIO</t>
  </si>
  <si>
    <t>LIONTA F. C.</t>
  </si>
  <si>
    <t>ATHLETIC MELGAR</t>
  </si>
  <si>
    <t>TROYA F. C.</t>
  </si>
  <si>
    <t>XVIII Campeonato Nacional de Fútbol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</si>
</sst>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36"/>
      <color rgb="FF008000"/>
      <name val="Times New Roman"/>
      <family val="1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48"/>
      <color theme="3" tint="-0.249977111117893"/>
      <name val="Times New Roman"/>
      <family val="1"/>
    </font>
    <font>
      <sz val="48"/>
      <color theme="9" tint="-0.249977111117893"/>
      <name val="Times New Roman"/>
      <family val="1"/>
    </font>
    <font>
      <b/>
      <sz val="20"/>
      <color theme="9" tint="-0.249977111117893"/>
      <name val="Times New Roman"/>
      <family val="1"/>
    </font>
    <font>
      <sz val="11"/>
      <color theme="9" tint="-0.249977111117893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20"/>
      <color rgb="FF00206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32"/>
      <color rgb="FF008000"/>
      <name val="Times New Roman"/>
      <family val="1"/>
    </font>
    <font>
      <b/>
      <sz val="17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color rgb="FF002060"/>
      <name val="Times New Roman"/>
      <family val="1"/>
    </font>
    <font>
      <sz val="20"/>
      <color theme="1"/>
      <name val="Algerian"/>
      <family val="5"/>
    </font>
    <font>
      <b/>
      <sz val="36"/>
      <color rgb="FF006600"/>
      <name val="Calibri"/>
      <family val="2"/>
      <scheme val="minor"/>
    </font>
    <font>
      <b/>
      <sz val="48"/>
      <color rgb="FF006600"/>
      <name val="Times New Roman"/>
      <family val="1"/>
    </font>
    <font>
      <b/>
      <sz val="28"/>
      <color rgb="FF0066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rgb="FF0000FF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520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7" fillId="2" borderId="0" xfId="0" applyFont="1" applyFill="1"/>
    <xf numFmtId="0" fontId="0" fillId="2" borderId="0" xfId="0" applyFill="1" applyAlignment="1">
      <alignment horizontal="center"/>
    </xf>
    <xf numFmtId="0" fontId="0" fillId="6" borderId="12" xfId="0" applyFill="1" applyBorder="1"/>
    <xf numFmtId="0" fontId="0" fillId="6" borderId="5" xfId="0" applyFill="1" applyBorder="1"/>
    <xf numFmtId="0" fontId="0" fillId="6" borderId="0" xfId="0" applyFill="1"/>
    <xf numFmtId="0" fontId="2" fillId="6" borderId="0" xfId="0" applyFont="1" applyFill="1"/>
    <xf numFmtId="0" fontId="0" fillId="6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9" fillId="7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0" fillId="2" borderId="0" xfId="0" applyFont="1" applyFill="1"/>
    <xf numFmtId="0" fontId="13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3" fillId="2" borderId="0" xfId="0" applyFont="1" applyFill="1" applyProtection="1">
      <protection locked="0"/>
    </xf>
    <xf numFmtId="0" fontId="22" fillId="2" borderId="0" xfId="0" applyFont="1" applyFill="1" applyAlignment="1">
      <alignment horizontal="right"/>
    </xf>
    <xf numFmtId="0" fontId="23" fillId="2" borderId="0" xfId="0" applyFont="1" applyFill="1" applyAlignment="1">
      <alignment horizontal="right"/>
    </xf>
    <xf numFmtId="0" fontId="14" fillId="2" borderId="0" xfId="0" applyFont="1" applyFill="1"/>
    <xf numFmtId="0" fontId="1" fillId="2" borderId="0" xfId="0" applyFont="1" applyFill="1"/>
    <xf numFmtId="0" fontId="0" fillId="6" borderId="14" xfId="0" applyFill="1" applyBorder="1"/>
    <xf numFmtId="0" fontId="0" fillId="6" borderId="8" xfId="0" applyFill="1" applyBorder="1"/>
    <xf numFmtId="0" fontId="13" fillId="7" borderId="0" xfId="0" applyFont="1" applyFill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32" fillId="2" borderId="0" xfId="0" applyFont="1" applyFill="1"/>
    <xf numFmtId="49" fontId="27" fillId="6" borderId="0" xfId="0" applyNumberFormat="1" applyFont="1" applyFill="1" applyAlignment="1">
      <alignment horizontal="center"/>
    </xf>
    <xf numFmtId="0" fontId="2" fillId="6" borderId="14" xfId="0" applyFont="1" applyFill="1" applyBorder="1"/>
    <xf numFmtId="0" fontId="0" fillId="6" borderId="8" xfId="0" applyFill="1" applyBorder="1" applyAlignment="1">
      <alignment vertical="center"/>
    </xf>
    <xf numFmtId="0" fontId="0" fillId="10" borderId="0" xfId="0" applyFill="1"/>
    <xf numFmtId="0" fontId="2" fillId="10" borderId="8" xfId="0" applyFont="1" applyFill="1" applyBorder="1"/>
    <xf numFmtId="0" fontId="0" fillId="10" borderId="8" xfId="0" applyFill="1" applyBorder="1"/>
    <xf numFmtId="0" fontId="0" fillId="6" borderId="4" xfId="0" applyFill="1" applyBorder="1"/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vertical="center"/>
    </xf>
    <xf numFmtId="0" fontId="37" fillId="2" borderId="0" xfId="0" applyFont="1" applyFill="1"/>
    <xf numFmtId="164" fontId="2" fillId="3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" fontId="2" fillId="3" borderId="0" xfId="0" applyNumberFormat="1" applyFont="1" applyFill="1" applyAlignment="1">
      <alignment vertical="center"/>
    </xf>
    <xf numFmtId="16" fontId="2" fillId="4" borderId="0" xfId="0" applyNumberFormat="1" applyFont="1" applyFill="1" applyAlignment="1">
      <alignment vertical="center"/>
    </xf>
    <xf numFmtId="0" fontId="42" fillId="2" borderId="0" xfId="0" applyFont="1" applyFill="1"/>
    <xf numFmtId="0" fontId="3" fillId="6" borderId="0" xfId="0" applyFont="1" applyFill="1" applyAlignment="1">
      <alignment horizontal="center"/>
    </xf>
    <xf numFmtId="0" fontId="43" fillId="2" borderId="0" xfId="0" applyFont="1" applyFill="1"/>
    <xf numFmtId="0" fontId="0" fillId="2" borderId="33" xfId="0" applyFill="1" applyBorder="1" applyAlignment="1">
      <alignment horizontal="center"/>
    </xf>
    <xf numFmtId="0" fontId="50" fillId="2" borderId="0" xfId="0" applyFont="1" applyFill="1" applyAlignment="1">
      <alignment horizontal="center"/>
    </xf>
    <xf numFmtId="0" fontId="50" fillId="2" borderId="0" xfId="0" applyFont="1" applyFill="1"/>
    <xf numFmtId="0" fontId="0" fillId="2" borderId="33" xfId="0" applyFill="1" applyBorder="1"/>
    <xf numFmtId="0" fontId="9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32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8" fillId="2" borderId="0" xfId="0" applyFont="1" applyFill="1"/>
    <xf numFmtId="0" fontId="3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55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Protection="1">
      <protection locked="0"/>
    </xf>
    <xf numFmtId="0" fontId="56" fillId="2" borderId="0" xfId="0" applyFont="1" applyFill="1"/>
    <xf numFmtId="0" fontId="57" fillId="2" borderId="0" xfId="0" applyFont="1" applyFill="1"/>
    <xf numFmtId="0" fontId="51" fillId="6" borderId="7" xfId="0" applyFont="1" applyFill="1" applyBorder="1" applyAlignment="1">
      <alignment horizontal="center"/>
    </xf>
    <xf numFmtId="0" fontId="59" fillId="6" borderId="0" xfId="0" applyFont="1" applyFill="1"/>
    <xf numFmtId="0" fontId="51" fillId="2" borderId="0" xfId="0" applyFont="1" applyFill="1"/>
    <xf numFmtId="0" fontId="51" fillId="6" borderId="0" xfId="0" applyFont="1" applyFill="1" applyAlignment="1">
      <alignment horizontal="center" vertical="center"/>
    </xf>
    <xf numFmtId="0" fontId="59" fillId="6" borderId="0" xfId="0" applyFont="1" applyFill="1" applyAlignment="1">
      <alignment horizontal="center"/>
    </xf>
    <xf numFmtId="0" fontId="60" fillId="6" borderId="13" xfId="0" applyFont="1" applyFill="1" applyBorder="1" applyAlignment="1">
      <alignment horizontal="center"/>
    </xf>
    <xf numFmtId="0" fontId="59" fillId="0" borderId="0" xfId="0" applyFont="1" applyAlignment="1">
      <alignment horizontal="left"/>
    </xf>
    <xf numFmtId="0" fontId="59" fillId="6" borderId="0" xfId="0" applyFont="1" applyFill="1" applyAlignment="1">
      <alignment vertical="center"/>
    </xf>
    <xf numFmtId="16" fontId="59" fillId="3" borderId="0" xfId="0" applyNumberFormat="1" applyFont="1" applyFill="1" applyAlignment="1">
      <alignment horizontal="center" vertical="center"/>
    </xf>
    <xf numFmtId="164" fontId="59" fillId="3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16" fontId="59" fillId="4" borderId="0" xfId="0" applyNumberFormat="1" applyFont="1" applyFill="1" applyAlignment="1">
      <alignment horizontal="center" vertical="center"/>
    </xf>
    <xf numFmtId="164" fontId="59" fillId="4" borderId="0" xfId="0" applyNumberFormat="1" applyFont="1" applyFill="1" applyAlignment="1">
      <alignment horizontal="center" vertical="center"/>
    </xf>
    <xf numFmtId="0" fontId="59" fillId="8" borderId="6" xfId="0" applyFont="1" applyFill="1" applyBorder="1" applyAlignment="1" applyProtection="1">
      <alignment horizontal="center" vertical="center"/>
      <protection locked="0"/>
    </xf>
    <xf numFmtId="0" fontId="59" fillId="4" borderId="0" xfId="0" applyFont="1" applyFill="1" applyAlignment="1">
      <alignment horizontal="center" vertical="center"/>
    </xf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44" fillId="2" borderId="0" xfId="0" applyFont="1" applyFill="1" applyAlignment="1">
      <alignment vertical="center"/>
    </xf>
    <xf numFmtId="0" fontId="65" fillId="8" borderId="6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>
      <alignment horizontal="left"/>
    </xf>
    <xf numFmtId="0" fontId="59" fillId="4" borderId="0" xfId="0" applyFont="1" applyFill="1" applyAlignment="1">
      <alignment horizontal="left" vertical="center"/>
    </xf>
    <xf numFmtId="0" fontId="59" fillId="3" borderId="0" xfId="0" applyFont="1" applyFill="1" applyAlignment="1">
      <alignment horizontal="left" vertical="center"/>
    </xf>
    <xf numFmtId="0" fontId="59" fillId="10" borderId="0" xfId="0" applyFont="1" applyFill="1"/>
    <xf numFmtId="0" fontId="59" fillId="6" borderId="0" xfId="0" applyFont="1" applyFill="1" applyAlignment="1">
      <alignment horizontal="right" vertical="center"/>
    </xf>
    <xf numFmtId="16" fontId="59" fillId="4" borderId="0" xfId="0" applyNumberFormat="1" applyFont="1" applyFill="1" applyAlignment="1">
      <alignment horizontal="left" vertical="center"/>
    </xf>
    <xf numFmtId="0" fontId="66" fillId="6" borderId="0" xfId="0" applyFont="1" applyFill="1" applyAlignment="1">
      <alignment horizontal="center"/>
    </xf>
    <xf numFmtId="0" fontId="67" fillId="8" borderId="6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9" fillId="2" borderId="0" xfId="0" applyFont="1" applyFill="1"/>
    <xf numFmtId="0" fontId="59" fillId="3" borderId="0" xfId="0" applyFont="1" applyFill="1" applyAlignment="1">
      <alignment horizontal="center" vertical="center" wrapText="1"/>
    </xf>
    <xf numFmtId="0" fontId="59" fillId="4" borderId="0" xfId="0" applyFont="1" applyFill="1" applyAlignment="1">
      <alignment horizontal="center" vertical="center" wrapText="1"/>
    </xf>
    <xf numFmtId="0" fontId="0" fillId="6" borderId="22" xfId="0" applyFill="1" applyBorder="1"/>
    <xf numFmtId="0" fontId="58" fillId="6" borderId="13" xfId="0" applyFont="1" applyFill="1" applyBorder="1"/>
    <xf numFmtId="0" fontId="51" fillId="6" borderId="22" xfId="0" applyFont="1" applyFill="1" applyBorder="1" applyAlignment="1">
      <alignment horizontal="center" vertical="center"/>
    </xf>
    <xf numFmtId="0" fontId="76" fillId="2" borderId="0" xfId="0" applyFont="1" applyFill="1"/>
    <xf numFmtId="0" fontId="76" fillId="2" borderId="0" xfId="0" applyFont="1" applyFill="1" applyAlignment="1">
      <alignment horizontal="center" vertical="center"/>
    </xf>
    <xf numFmtId="0" fontId="77" fillId="2" borderId="0" xfId="0" applyFont="1" applyFill="1" applyAlignment="1">
      <alignment horizontal="right"/>
    </xf>
    <xf numFmtId="0" fontId="76" fillId="2" borderId="0" xfId="0" applyFont="1" applyFill="1" applyProtection="1">
      <protection locked="0"/>
    </xf>
    <xf numFmtId="0" fontId="68" fillId="2" borderId="3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 wrapText="1"/>
    </xf>
    <xf numFmtId="0" fontId="70" fillId="2" borderId="3" xfId="0" applyFont="1" applyFill="1" applyBorder="1" applyAlignment="1">
      <alignment horizontal="center" vertical="center"/>
    </xf>
    <xf numFmtId="0" fontId="59" fillId="8" borderId="12" xfId="0" applyFont="1" applyFill="1" applyBorder="1" applyAlignment="1" applyProtection="1">
      <alignment horizontal="center" vertical="center"/>
      <protection locked="0"/>
    </xf>
    <xf numFmtId="0" fontId="68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79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/>
    </xf>
    <xf numFmtId="0" fontId="82" fillId="2" borderId="3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91" fillId="2" borderId="0" xfId="0" applyFont="1" applyFill="1" applyAlignment="1">
      <alignment horizontal="left" vertical="center"/>
    </xf>
    <xf numFmtId="0" fontId="31" fillId="0" borderId="0" xfId="0" applyFont="1" applyAlignment="1">
      <alignment vertical="center"/>
    </xf>
    <xf numFmtId="0" fontId="0" fillId="11" borderId="5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92" fillId="11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1" borderId="0" xfId="0" applyFont="1" applyFill="1"/>
    <xf numFmtId="0" fontId="98" fillId="2" borderId="0" xfId="0" applyFont="1" applyFill="1" applyAlignment="1">
      <alignment horizontal="center" vertical="center"/>
    </xf>
    <xf numFmtId="0" fontId="99" fillId="2" borderId="1" xfId="1" applyFont="1" applyFill="1" applyBorder="1" applyAlignment="1">
      <alignment horizontal="center" vertical="center"/>
    </xf>
    <xf numFmtId="0" fontId="100" fillId="2" borderId="0" xfId="1" applyFont="1" applyFill="1" applyBorder="1" applyAlignment="1">
      <alignment horizontal="center" vertical="center"/>
    </xf>
    <xf numFmtId="0" fontId="101" fillId="2" borderId="1" xfId="1" applyFont="1" applyFill="1" applyBorder="1" applyAlignment="1">
      <alignment horizontal="center" vertical="center"/>
    </xf>
    <xf numFmtId="0" fontId="30" fillId="2" borderId="0" xfId="0" applyFont="1" applyFill="1"/>
    <xf numFmtId="0" fontId="100" fillId="2" borderId="1" xfId="1" applyFont="1" applyFill="1" applyBorder="1" applyAlignment="1">
      <alignment horizontal="center" vertical="center"/>
    </xf>
    <xf numFmtId="0" fontId="47" fillId="2" borderId="0" xfId="0" applyFont="1" applyFill="1"/>
    <xf numFmtId="0" fontId="102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60" xfId="0" applyFont="1" applyFill="1" applyBorder="1"/>
    <xf numFmtId="0" fontId="94" fillId="2" borderId="63" xfId="0" applyFont="1" applyFill="1" applyBorder="1" applyAlignment="1">
      <alignment horizontal="center" vertical="center"/>
    </xf>
    <xf numFmtId="0" fontId="94" fillId="2" borderId="0" xfId="0" applyFont="1" applyFill="1"/>
    <xf numFmtId="0" fontId="0" fillId="0" borderId="3" xfId="0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16" fontId="104" fillId="16" borderId="3" xfId="0" applyNumberFormat="1" applyFont="1" applyFill="1" applyBorder="1" applyAlignment="1">
      <alignment horizontal="center" vertical="center"/>
    </xf>
    <xf numFmtId="0" fontId="104" fillId="16" borderId="3" xfId="0" applyFont="1" applyFill="1" applyBorder="1" applyAlignment="1">
      <alignment horizontal="center" vertical="center"/>
    </xf>
    <xf numFmtId="16" fontId="27" fillId="17" borderId="3" xfId="0" applyNumberFormat="1" applyFont="1" applyFill="1" applyBorder="1" applyAlignment="1">
      <alignment horizontal="center" vertical="center"/>
    </xf>
    <xf numFmtId="0" fontId="27" fillId="1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Alignment="1">
      <alignment horizontal="center" vertical="center"/>
    </xf>
    <xf numFmtId="16" fontId="2" fillId="2" borderId="67" xfId="0" applyNumberFormat="1" applyFont="1" applyFill="1" applyBorder="1" applyAlignment="1">
      <alignment vertical="center"/>
    </xf>
    <xf numFmtId="16" fontId="2" fillId="2" borderId="68" xfId="0" applyNumberFormat="1" applyFont="1" applyFill="1" applyBorder="1" applyAlignment="1">
      <alignment vertical="center"/>
    </xf>
    <xf numFmtId="16" fontId="2" fillId="2" borderId="69" xfId="0" applyNumberFormat="1" applyFont="1" applyFill="1" applyBorder="1" applyAlignment="1">
      <alignment vertical="center"/>
    </xf>
    <xf numFmtId="16" fontId="2" fillId="2" borderId="70" xfId="0" applyNumberFormat="1" applyFont="1" applyFill="1" applyBorder="1" applyAlignment="1">
      <alignment vertical="center"/>
    </xf>
    <xf numFmtId="16" fontId="0" fillId="2" borderId="45" xfId="0" applyNumberFormat="1" applyFill="1" applyBorder="1" applyAlignment="1">
      <alignment horizontal="center" vertical="center"/>
    </xf>
    <xf numFmtId="0" fontId="0" fillId="2" borderId="65" xfId="0" applyFill="1" applyBorder="1" applyAlignment="1">
      <alignment horizontal="center" vertical="center"/>
    </xf>
    <xf numFmtId="16" fontId="0" fillId="2" borderId="66" xfId="0" applyNumberForma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vertical="center"/>
    </xf>
    <xf numFmtId="0" fontId="105" fillId="2" borderId="0" xfId="0" applyFont="1" applyFill="1"/>
    <xf numFmtId="0" fontId="106" fillId="2" borderId="0" xfId="0" applyFont="1" applyFill="1"/>
    <xf numFmtId="0" fontId="107" fillId="2" borderId="0" xfId="0" applyFont="1" applyFill="1"/>
    <xf numFmtId="0" fontId="0" fillId="2" borderId="0" xfId="0" applyFill="1" applyAlignment="1">
      <alignment wrapText="1"/>
    </xf>
    <xf numFmtId="16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 vertical="center"/>
    </xf>
    <xf numFmtId="0" fontId="2" fillId="2" borderId="32" xfId="0" applyFont="1" applyFill="1" applyBorder="1"/>
    <xf numFmtId="0" fontId="40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109" fillId="2" borderId="0" xfId="0" applyFont="1" applyFill="1"/>
    <xf numFmtId="0" fontId="38" fillId="0" borderId="0" xfId="0" applyFont="1"/>
    <xf numFmtId="0" fontId="107" fillId="2" borderId="0" xfId="0" applyFont="1" applyFill="1" applyAlignment="1">
      <alignment horizontal="center" vertical="center" wrapText="1"/>
    </xf>
    <xf numFmtId="0" fontId="26" fillId="2" borderId="72" xfId="1" applyFont="1" applyFill="1" applyBorder="1" applyAlignment="1">
      <alignment horizontal="center" vertical="center"/>
    </xf>
    <xf numFmtId="0" fontId="6" fillId="2" borderId="72" xfId="1" applyFont="1" applyFill="1" applyBorder="1" applyAlignment="1">
      <alignment horizontal="center" vertical="center"/>
    </xf>
    <xf numFmtId="0" fontId="93" fillId="2" borderId="72" xfId="1" applyFont="1" applyFill="1" applyBorder="1" applyAlignment="1">
      <alignment horizontal="center" vertical="center"/>
    </xf>
    <xf numFmtId="0" fontId="75" fillId="2" borderId="72" xfId="1" applyFont="1" applyFill="1" applyBorder="1" applyAlignment="1">
      <alignment horizontal="center" vertical="center"/>
    </xf>
    <xf numFmtId="0" fontId="103" fillId="2" borderId="0" xfId="0" applyFont="1" applyFill="1"/>
    <xf numFmtId="0" fontId="39" fillId="2" borderId="0" xfId="0" applyFont="1" applyFill="1"/>
    <xf numFmtId="0" fontId="16" fillId="2" borderId="0" xfId="0" applyFont="1" applyFill="1"/>
    <xf numFmtId="0" fontId="118" fillId="2" borderId="32" xfId="0" applyFont="1" applyFill="1" applyBorder="1" applyAlignment="1">
      <alignment horizontal="center" vertical="center" wrapText="1"/>
    </xf>
    <xf numFmtId="0" fontId="69" fillId="0" borderId="0" xfId="0" applyFont="1"/>
    <xf numFmtId="0" fontId="119" fillId="14" borderId="3" xfId="0" applyFont="1" applyFill="1" applyBorder="1" applyAlignment="1">
      <alignment horizontal="center" vertical="center"/>
    </xf>
    <xf numFmtId="0" fontId="119" fillId="3" borderId="3" xfId="0" applyFont="1" applyFill="1" applyBorder="1" applyAlignment="1">
      <alignment horizontal="center" vertical="center"/>
    </xf>
    <xf numFmtId="0" fontId="119" fillId="10" borderId="3" xfId="0" applyFont="1" applyFill="1" applyBorder="1" applyAlignment="1">
      <alignment horizontal="left" vertical="center" wrapText="1"/>
    </xf>
    <xf numFmtId="0" fontId="119" fillId="10" borderId="3" xfId="0" applyFont="1" applyFill="1" applyBorder="1" applyAlignment="1">
      <alignment horizontal="center" vertical="center"/>
    </xf>
    <xf numFmtId="16" fontId="119" fillId="10" borderId="3" xfId="0" applyNumberFormat="1" applyFont="1" applyFill="1" applyBorder="1" applyAlignment="1">
      <alignment horizontal="center" vertical="center" wrapText="1"/>
    </xf>
    <xf numFmtId="0" fontId="119" fillId="10" borderId="3" xfId="0" applyFont="1" applyFill="1" applyBorder="1" applyAlignment="1">
      <alignment horizontal="center" vertical="center" wrapText="1"/>
    </xf>
    <xf numFmtId="18" fontId="119" fillId="10" borderId="3" xfId="0" applyNumberFormat="1" applyFont="1" applyFill="1" applyBorder="1" applyAlignment="1">
      <alignment horizontal="center" vertical="center" wrapText="1"/>
    </xf>
    <xf numFmtId="0" fontId="69" fillId="2" borderId="0" xfId="0" applyFont="1" applyFill="1" applyAlignment="1">
      <alignment wrapText="1"/>
    </xf>
    <xf numFmtId="0" fontId="119" fillId="15" borderId="3" xfId="0" applyFont="1" applyFill="1" applyBorder="1" applyAlignment="1">
      <alignment horizontal="center" vertical="center" wrapText="1"/>
    </xf>
    <xf numFmtId="0" fontId="119" fillId="3" borderId="3" xfId="0" applyFont="1" applyFill="1" applyBorder="1" applyAlignment="1">
      <alignment horizontal="center" vertical="center" wrapText="1"/>
    </xf>
    <xf numFmtId="16" fontId="120" fillId="16" borderId="3" xfId="0" applyNumberFormat="1" applyFont="1" applyFill="1" applyBorder="1" applyAlignment="1">
      <alignment horizontal="center" vertical="center" wrapText="1"/>
    </xf>
    <xf numFmtId="0" fontId="120" fillId="16" borderId="3" xfId="0" applyFont="1" applyFill="1" applyBorder="1" applyAlignment="1">
      <alignment horizontal="center" vertical="center" wrapText="1"/>
    </xf>
    <xf numFmtId="16" fontId="121" fillId="17" borderId="3" xfId="0" applyNumberFormat="1" applyFont="1" applyFill="1" applyBorder="1" applyAlignment="1">
      <alignment horizontal="center" vertical="center" wrapText="1"/>
    </xf>
    <xf numFmtId="0" fontId="121" fillId="17" borderId="3" xfId="0" applyFont="1" applyFill="1" applyBorder="1" applyAlignment="1">
      <alignment horizontal="center" vertical="center" wrapText="1"/>
    </xf>
    <xf numFmtId="0" fontId="119" fillId="12" borderId="3" xfId="0" applyFont="1" applyFill="1" applyBorder="1" applyAlignment="1">
      <alignment horizontal="center" vertical="center" wrapText="1"/>
    </xf>
    <xf numFmtId="0" fontId="119" fillId="3" borderId="69" xfId="0" applyFont="1" applyFill="1" applyBorder="1" applyAlignment="1">
      <alignment horizontal="center" vertical="center"/>
    </xf>
    <xf numFmtId="0" fontId="119" fillId="2" borderId="2" xfId="0" applyFont="1" applyFill="1" applyBorder="1" applyAlignment="1">
      <alignment horizontal="center" vertical="center" wrapText="1"/>
    </xf>
    <xf numFmtId="0" fontId="119" fillId="2" borderId="0" xfId="0" applyFont="1" applyFill="1"/>
    <xf numFmtId="0" fontId="119" fillId="2" borderId="73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wrapText="1"/>
    </xf>
    <xf numFmtId="0" fontId="4" fillId="20" borderId="23" xfId="0" applyFont="1" applyFill="1" applyBorder="1" applyAlignment="1">
      <alignment horizontal="center" vertical="center"/>
    </xf>
    <xf numFmtId="0" fontId="4" fillId="20" borderId="24" xfId="0" applyFont="1" applyFill="1" applyBorder="1" applyAlignment="1">
      <alignment horizontal="center" vertical="center"/>
    </xf>
    <xf numFmtId="0" fontId="4" fillId="20" borderId="25" xfId="0" applyFont="1" applyFill="1" applyBorder="1" applyAlignment="1">
      <alignment horizontal="center" vertical="center"/>
    </xf>
    <xf numFmtId="0" fontId="123" fillId="12" borderId="26" xfId="0" applyFont="1" applyFill="1" applyBorder="1" applyAlignment="1">
      <alignment horizontal="center" vertical="center"/>
    </xf>
    <xf numFmtId="0" fontId="52" fillId="12" borderId="3" xfId="0" applyFont="1" applyFill="1" applyBorder="1" applyAlignment="1">
      <alignment wrapText="1"/>
    </xf>
    <xf numFmtId="0" fontId="123" fillId="4" borderId="26" xfId="0" applyFont="1" applyFill="1" applyBorder="1" applyAlignment="1">
      <alignment horizontal="center" vertical="center" wrapText="1"/>
    </xf>
    <xf numFmtId="0" fontId="52" fillId="17" borderId="3" xfId="0" applyFont="1" applyFill="1" applyBorder="1" applyAlignment="1">
      <alignment wrapText="1"/>
    </xf>
    <xf numFmtId="0" fontId="123" fillId="21" borderId="26" xfId="0" applyFont="1" applyFill="1" applyBorder="1" applyAlignment="1">
      <alignment horizontal="center" vertical="center" wrapText="1"/>
    </xf>
    <xf numFmtId="0" fontId="52" fillId="4" borderId="3" xfId="0" applyFont="1" applyFill="1" applyBorder="1"/>
    <xf numFmtId="0" fontId="123" fillId="22" borderId="26" xfId="0" applyFont="1" applyFill="1" applyBorder="1" applyAlignment="1">
      <alignment horizontal="center" vertical="center" wrapText="1"/>
    </xf>
    <xf numFmtId="0" fontId="52" fillId="22" borderId="3" xfId="0" applyFont="1" applyFill="1" applyBorder="1"/>
    <xf numFmtId="0" fontId="123" fillId="23" borderId="26" xfId="0" applyFont="1" applyFill="1" applyBorder="1" applyAlignment="1">
      <alignment horizontal="center" vertical="center" wrapText="1"/>
    </xf>
    <xf numFmtId="0" fontId="52" fillId="23" borderId="3" xfId="0" applyFont="1" applyFill="1" applyBorder="1"/>
    <xf numFmtId="0" fontId="107" fillId="12" borderId="3" xfId="0" applyFont="1" applyFill="1" applyBorder="1" applyAlignment="1">
      <alignment horizontal="center" vertical="center" wrapText="1"/>
    </xf>
    <xf numFmtId="18" fontId="121" fillId="10" borderId="3" xfId="0" applyNumberFormat="1" applyFont="1" applyFill="1" applyBorder="1" applyAlignment="1">
      <alignment horizontal="center" vertical="center" wrapText="1"/>
    </xf>
    <xf numFmtId="0" fontId="119" fillId="12" borderId="2" xfId="0" applyFont="1" applyFill="1" applyBorder="1" applyAlignment="1">
      <alignment horizontal="center" vertical="center" wrapText="1"/>
    </xf>
    <xf numFmtId="0" fontId="126" fillId="2" borderId="0" xfId="0" applyFont="1" applyFill="1"/>
    <xf numFmtId="0" fontId="127" fillId="2" borderId="0" xfId="0" applyFont="1" applyFill="1"/>
    <xf numFmtId="0" fontId="128" fillId="2" borderId="0" xfId="0" applyFont="1" applyFill="1"/>
    <xf numFmtId="0" fontId="61" fillId="10" borderId="3" xfId="0" applyFont="1" applyFill="1" applyBorder="1" applyAlignment="1">
      <alignment horizontal="center" vertical="center" wrapText="1"/>
    </xf>
    <xf numFmtId="16" fontId="57" fillId="10" borderId="3" xfId="0" applyNumberFormat="1" applyFont="1" applyFill="1" applyBorder="1" applyAlignment="1">
      <alignment horizontal="center" vertical="center" wrapText="1"/>
    </xf>
    <xf numFmtId="0" fontId="130" fillId="10" borderId="3" xfId="0" applyFont="1" applyFill="1" applyBorder="1" applyAlignment="1">
      <alignment horizontal="center" vertical="center" wrapText="1"/>
    </xf>
    <xf numFmtId="18" fontId="57" fillId="10" borderId="3" xfId="0" applyNumberFormat="1" applyFont="1" applyFill="1" applyBorder="1" applyAlignment="1">
      <alignment horizontal="center" vertical="center" wrapText="1"/>
    </xf>
    <xf numFmtId="18" fontId="131" fillId="10" borderId="3" xfId="0" applyNumberFormat="1" applyFont="1" applyFill="1" applyBorder="1" applyAlignment="1">
      <alignment horizontal="center" vertical="center" wrapText="1"/>
    </xf>
    <xf numFmtId="18" fontId="57" fillId="10" borderId="3" xfId="0" applyNumberFormat="1" applyFont="1" applyFill="1" applyBorder="1" applyAlignment="1">
      <alignment horizontal="center" vertical="center"/>
    </xf>
    <xf numFmtId="0" fontId="63" fillId="2" borderId="0" xfId="0" applyFont="1" applyFill="1" applyAlignment="1">
      <alignment horizontal="center" vertical="center"/>
    </xf>
    <xf numFmtId="0" fontId="117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19" fillId="2" borderId="0" xfId="0" applyFont="1" applyFill="1" applyAlignment="1">
      <alignment horizontal="center"/>
    </xf>
    <xf numFmtId="0" fontId="122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6" borderId="22" xfId="0" applyFont="1" applyFill="1" applyBorder="1" applyAlignment="1">
      <alignment horizontal="center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2" fillId="8" borderId="14" xfId="0" applyFont="1" applyFill="1" applyBorder="1" applyAlignment="1" applyProtection="1">
      <alignment horizontal="center" vertical="center"/>
      <protection locked="0"/>
    </xf>
    <xf numFmtId="0" fontId="0" fillId="6" borderId="13" xfId="0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164" fontId="2" fillId="4" borderId="0" xfId="0" applyNumberFormat="1" applyFont="1" applyFill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1" fontId="14" fillId="2" borderId="18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5" borderId="12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11" fillId="6" borderId="12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/>
    </xf>
    <xf numFmtId="0" fontId="14" fillId="2" borderId="36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35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8" fillId="2" borderId="12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14" fillId="2" borderId="0" xfId="0" applyFont="1" applyFill="1" applyAlignment="1" applyProtection="1">
      <alignment horizontal="center"/>
      <protection locked="0"/>
    </xf>
    <xf numFmtId="0" fontId="29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2" fillId="2" borderId="0" xfId="0" applyFont="1" applyFill="1" applyAlignment="1">
      <alignment horizontal="right"/>
    </xf>
    <xf numFmtId="0" fontId="19" fillId="7" borderId="22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9" fillId="7" borderId="9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/>
      <protection locked="0"/>
    </xf>
    <xf numFmtId="0" fontId="10" fillId="5" borderId="12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1" fontId="14" fillId="2" borderId="15" xfId="0" applyNumberFormat="1" applyFont="1" applyFill="1" applyBorder="1" applyAlignment="1">
      <alignment horizontal="center" vertical="center"/>
    </xf>
    <xf numFmtId="0" fontId="71" fillId="2" borderId="0" xfId="0" applyFont="1" applyFill="1" applyAlignment="1">
      <alignment horizontal="right"/>
    </xf>
    <xf numFmtId="0" fontId="25" fillId="2" borderId="0" xfId="0" applyFont="1" applyFill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73" fillId="2" borderId="0" xfId="0" applyFont="1" applyFill="1" applyAlignment="1">
      <alignment horizontal="center" vertical="center"/>
    </xf>
    <xf numFmtId="0" fontId="73" fillId="2" borderId="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74" fillId="2" borderId="0" xfId="0" applyFont="1" applyFill="1" applyAlignment="1">
      <alignment horizontal="center" vertical="center"/>
    </xf>
    <xf numFmtId="0" fontId="74" fillId="2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16" fontId="2" fillId="11" borderId="48" xfId="0" applyNumberFormat="1" applyFont="1" applyFill="1" applyBorder="1" applyAlignment="1">
      <alignment horizontal="center" vertical="center"/>
    </xf>
    <xf numFmtId="16" fontId="2" fillId="11" borderId="51" xfId="0" applyNumberFormat="1" applyFont="1" applyFill="1" applyBorder="1" applyAlignment="1">
      <alignment horizontal="center" vertical="center"/>
    </xf>
    <xf numFmtId="0" fontId="2" fillId="11" borderId="49" xfId="0" applyFont="1" applyFill="1" applyBorder="1" applyAlignment="1">
      <alignment horizontal="center" vertical="center"/>
    </xf>
    <xf numFmtId="0" fontId="2" fillId="11" borderId="52" xfId="0" applyFont="1" applyFill="1" applyBorder="1" applyAlignment="1">
      <alignment horizontal="center" vertical="center"/>
    </xf>
    <xf numFmtId="164" fontId="2" fillId="11" borderId="50" xfId="0" applyNumberFormat="1" applyFont="1" applyFill="1" applyBorder="1" applyAlignment="1">
      <alignment horizontal="center" vertical="center"/>
    </xf>
    <xf numFmtId="164" fontId="2" fillId="11" borderId="53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16" fontId="2" fillId="11" borderId="54" xfId="0" applyNumberFormat="1" applyFont="1" applyFill="1" applyBorder="1" applyAlignment="1">
      <alignment horizontal="center" vertical="center"/>
    </xf>
    <xf numFmtId="16" fontId="2" fillId="11" borderId="57" xfId="0" applyNumberFormat="1" applyFont="1" applyFill="1" applyBorder="1" applyAlignment="1">
      <alignment horizontal="center" vertical="center"/>
    </xf>
    <xf numFmtId="0" fontId="2" fillId="11" borderId="55" xfId="0" applyFont="1" applyFill="1" applyBorder="1" applyAlignment="1">
      <alignment horizontal="center" vertical="center"/>
    </xf>
    <xf numFmtId="0" fontId="2" fillId="11" borderId="58" xfId="0" applyFont="1" applyFill="1" applyBorder="1" applyAlignment="1">
      <alignment horizontal="center" vertical="center"/>
    </xf>
    <xf numFmtId="164" fontId="2" fillId="11" borderId="56" xfId="0" applyNumberFormat="1" applyFont="1" applyFill="1" applyBorder="1" applyAlignment="1">
      <alignment horizontal="center" vertical="center"/>
    </xf>
    <xf numFmtId="164" fontId="2" fillId="11" borderId="59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17" fillId="6" borderId="0" xfId="0" applyFont="1" applyFill="1" applyAlignment="1" applyProtection="1">
      <alignment horizontal="center" vertical="center"/>
      <protection locked="0"/>
    </xf>
    <xf numFmtId="0" fontId="54" fillId="2" borderId="0" xfId="0" applyFont="1" applyFill="1" applyAlignment="1">
      <alignment horizontal="center"/>
    </xf>
    <xf numFmtId="0" fontId="53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19" fillId="7" borderId="11" xfId="0" applyFont="1" applyFill="1" applyBorder="1" applyAlignment="1">
      <alignment horizontal="center" vertical="center"/>
    </xf>
    <xf numFmtId="0" fontId="33" fillId="9" borderId="9" xfId="0" applyFont="1" applyFill="1" applyBorder="1" applyAlignment="1">
      <alignment horizontal="center" vertical="center"/>
    </xf>
    <xf numFmtId="0" fontId="33" fillId="9" borderId="10" xfId="0" applyFont="1" applyFill="1" applyBorder="1" applyAlignment="1">
      <alignment horizontal="center" vertical="center"/>
    </xf>
    <xf numFmtId="0" fontId="33" fillId="9" borderId="11" xfId="0" applyFont="1" applyFill="1" applyBorder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4" fillId="8" borderId="19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18" fillId="2" borderId="0" xfId="1" applyFill="1" applyAlignment="1">
      <alignment horizontal="center" vertical="center"/>
    </xf>
    <xf numFmtId="0" fontId="78" fillId="2" borderId="0" xfId="0" applyFont="1" applyFill="1" applyAlignment="1">
      <alignment horizontal="center" vertical="center" wrapText="1"/>
    </xf>
    <xf numFmtId="16" fontId="85" fillId="2" borderId="0" xfId="0" applyNumberFormat="1" applyFont="1" applyFill="1" applyAlignment="1">
      <alignment horizontal="center" vertical="center"/>
    </xf>
    <xf numFmtId="0" fontId="85" fillId="2" borderId="0" xfId="0" applyFont="1" applyFill="1" applyAlignment="1">
      <alignment horizontal="center" vertical="center"/>
    </xf>
    <xf numFmtId="0" fontId="85" fillId="2" borderId="8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 wrapText="1"/>
    </xf>
    <xf numFmtId="0" fontId="59" fillId="4" borderId="0" xfId="0" applyFont="1" applyFill="1" applyAlignment="1">
      <alignment horizontal="center" vertical="center" wrapText="1"/>
    </xf>
    <xf numFmtId="0" fontId="42" fillId="2" borderId="0" xfId="0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86" fillId="2" borderId="0" xfId="0" applyFont="1" applyFill="1" applyAlignment="1">
      <alignment horizontal="center" vertical="center"/>
    </xf>
    <xf numFmtId="0" fontId="86" fillId="2" borderId="8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center"/>
    </xf>
    <xf numFmtId="0" fontId="84" fillId="2" borderId="0" xfId="0" applyFont="1" applyFill="1" applyAlignment="1">
      <alignment horizontal="center" vertical="center"/>
    </xf>
    <xf numFmtId="0" fontId="84" fillId="2" borderId="8" xfId="0" applyFont="1" applyFill="1" applyBorder="1" applyAlignment="1">
      <alignment horizontal="center" vertical="center"/>
    </xf>
    <xf numFmtId="0" fontId="64" fillId="2" borderId="0" xfId="0" applyFont="1" applyFill="1" applyAlignment="1">
      <alignment horizontal="right" vertical="center"/>
    </xf>
    <xf numFmtId="0" fontId="83" fillId="2" borderId="0" xfId="0" applyFont="1" applyFill="1" applyAlignment="1">
      <alignment horizontal="center" vertical="center"/>
    </xf>
    <xf numFmtId="0" fontId="51" fillId="2" borderId="3" xfId="0" applyFont="1" applyFill="1" applyBorder="1" applyAlignment="1">
      <alignment horizontal="center" vertical="center"/>
    </xf>
    <xf numFmtId="0" fontId="51" fillId="2" borderId="26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59" fillId="3" borderId="22" xfId="0" applyFont="1" applyFill="1" applyBorder="1" applyAlignment="1">
      <alignment horizontal="center" vertical="center" wrapText="1"/>
    </xf>
    <xf numFmtId="0" fontId="59" fillId="4" borderId="22" xfId="0" applyFont="1" applyFill="1" applyBorder="1" applyAlignment="1">
      <alignment horizontal="center" vertical="center" wrapText="1"/>
    </xf>
    <xf numFmtId="0" fontId="19" fillId="7" borderId="22" xfId="0" applyFont="1" applyFill="1" applyBorder="1" applyAlignment="1">
      <alignment horizontal="center" vertical="center"/>
    </xf>
    <xf numFmtId="0" fontId="51" fillId="2" borderId="27" xfId="0" applyFont="1" applyFill="1" applyBorder="1" applyAlignment="1">
      <alignment horizontal="center" vertical="center"/>
    </xf>
    <xf numFmtId="0" fontId="52" fillId="2" borderId="34" xfId="0" applyFont="1" applyFill="1" applyBorder="1" applyAlignment="1">
      <alignment horizontal="left" vertical="center" wrapText="1"/>
    </xf>
    <xf numFmtId="0" fontId="52" fillId="2" borderId="44" xfId="0" applyFont="1" applyFill="1" applyBorder="1" applyAlignment="1">
      <alignment horizontal="left" vertical="center" wrapText="1"/>
    </xf>
    <xf numFmtId="0" fontId="52" fillId="2" borderId="26" xfId="0" applyFont="1" applyFill="1" applyBorder="1" applyAlignment="1">
      <alignment horizontal="left" vertical="center" wrapText="1"/>
    </xf>
    <xf numFmtId="0" fontId="52" fillId="2" borderId="45" xfId="0" applyFont="1" applyFill="1" applyBorder="1" applyAlignment="1">
      <alignment horizontal="left" vertical="center" wrapText="1"/>
    </xf>
    <xf numFmtId="0" fontId="90" fillId="2" borderId="0" xfId="0" applyFont="1" applyFill="1" applyAlignment="1">
      <alignment horizontal="center"/>
    </xf>
    <xf numFmtId="0" fontId="90" fillId="2" borderId="32" xfId="0" applyFont="1" applyFill="1" applyBorder="1" applyAlignment="1">
      <alignment horizontal="center"/>
    </xf>
    <xf numFmtId="0" fontId="90" fillId="2" borderId="33" xfId="0" applyFont="1" applyFill="1" applyBorder="1" applyAlignment="1">
      <alignment horizontal="center"/>
    </xf>
    <xf numFmtId="0" fontId="90" fillId="2" borderId="31" xfId="0" applyFont="1" applyFill="1" applyBorder="1" applyAlignment="1">
      <alignment horizontal="center"/>
    </xf>
    <xf numFmtId="0" fontId="51" fillId="2" borderId="29" xfId="0" applyFont="1" applyFill="1" applyBorder="1" applyAlignment="1">
      <alignment horizontal="center" vertical="center"/>
    </xf>
    <xf numFmtId="0" fontId="52" fillId="2" borderId="23" xfId="0" applyFont="1" applyFill="1" applyBorder="1" applyAlignment="1">
      <alignment horizontal="left" vertical="center" wrapText="1"/>
    </xf>
    <xf numFmtId="0" fontId="52" fillId="2" borderId="46" xfId="0" applyFont="1" applyFill="1" applyBorder="1" applyAlignment="1">
      <alignment horizontal="left" vertical="center" wrapText="1"/>
    </xf>
    <xf numFmtId="0" fontId="52" fillId="2" borderId="28" xfId="0" applyFont="1" applyFill="1" applyBorder="1" applyAlignment="1">
      <alignment horizontal="left" vertical="center" wrapText="1"/>
    </xf>
    <xf numFmtId="0" fontId="52" fillId="2" borderId="47" xfId="0" applyFont="1" applyFill="1" applyBorder="1" applyAlignment="1">
      <alignment horizontal="left" vertical="center" wrapText="1"/>
    </xf>
    <xf numFmtId="0" fontId="51" fillId="2" borderId="28" xfId="0" applyFont="1" applyFill="1" applyBorder="1" applyAlignment="1">
      <alignment horizontal="center" vertical="center"/>
    </xf>
    <xf numFmtId="0" fontId="51" fillId="2" borderId="24" xfId="0" applyFont="1" applyFill="1" applyBorder="1" applyAlignment="1">
      <alignment horizontal="center" vertical="center"/>
    </xf>
    <xf numFmtId="0" fontId="51" fillId="2" borderId="23" xfId="0" applyFont="1" applyFill="1" applyBorder="1" applyAlignment="1">
      <alignment horizontal="center" vertical="center"/>
    </xf>
    <xf numFmtId="0" fontId="88" fillId="2" borderId="0" xfId="0" applyFont="1" applyFill="1" applyAlignment="1">
      <alignment horizontal="center"/>
    </xf>
    <xf numFmtId="0" fontId="88" fillId="2" borderId="32" xfId="0" applyFont="1" applyFill="1" applyBorder="1" applyAlignment="1">
      <alignment horizontal="center"/>
    </xf>
    <xf numFmtId="0" fontId="88" fillId="2" borderId="33" xfId="0" applyFont="1" applyFill="1" applyBorder="1" applyAlignment="1">
      <alignment horizontal="center"/>
    </xf>
    <xf numFmtId="0" fontId="88" fillId="2" borderId="31" xfId="0" applyFont="1" applyFill="1" applyBorder="1" applyAlignment="1">
      <alignment horizontal="center"/>
    </xf>
    <xf numFmtId="0" fontId="52" fillId="2" borderId="3" xfId="0" applyFont="1" applyFill="1" applyBorder="1" applyAlignment="1">
      <alignment horizontal="left" vertical="center" wrapText="1"/>
    </xf>
    <xf numFmtId="0" fontId="51" fillId="2" borderId="25" xfId="0" applyFont="1" applyFill="1" applyBorder="1" applyAlignment="1">
      <alignment horizontal="center" vertical="center"/>
    </xf>
    <xf numFmtId="0" fontId="51" fillId="2" borderId="30" xfId="0" applyFont="1" applyFill="1" applyBorder="1" applyAlignment="1">
      <alignment horizontal="center" vertical="center"/>
    </xf>
    <xf numFmtId="0" fontId="51" fillId="2" borderId="37" xfId="0" applyFont="1" applyFill="1" applyBorder="1" applyAlignment="1">
      <alignment horizontal="center" vertical="center"/>
    </xf>
    <xf numFmtId="0" fontId="51" fillId="2" borderId="38" xfId="0" applyFont="1" applyFill="1" applyBorder="1" applyAlignment="1">
      <alignment horizontal="center" vertical="center"/>
    </xf>
    <xf numFmtId="0" fontId="51" fillId="2" borderId="39" xfId="0" applyFont="1" applyFill="1" applyBorder="1" applyAlignment="1">
      <alignment horizontal="center" vertical="center"/>
    </xf>
    <xf numFmtId="0" fontId="52" fillId="2" borderId="24" xfId="0" applyFont="1" applyFill="1" applyBorder="1" applyAlignment="1">
      <alignment horizontal="left" vertical="center" wrapText="1"/>
    </xf>
    <xf numFmtId="0" fontId="89" fillId="2" borderId="0" xfId="0" applyFont="1" applyFill="1" applyAlignment="1">
      <alignment horizontal="center"/>
    </xf>
    <xf numFmtId="0" fontId="89" fillId="2" borderId="32" xfId="0" applyFont="1" applyFill="1" applyBorder="1" applyAlignment="1">
      <alignment horizontal="center"/>
    </xf>
    <xf numFmtId="0" fontId="89" fillId="2" borderId="33" xfId="0" applyFont="1" applyFill="1" applyBorder="1" applyAlignment="1">
      <alignment horizontal="center"/>
    </xf>
    <xf numFmtId="0" fontId="89" fillId="2" borderId="31" xfId="0" applyFont="1" applyFill="1" applyBorder="1" applyAlignment="1">
      <alignment horizontal="center"/>
    </xf>
    <xf numFmtId="0" fontId="51" fillId="2" borderId="42" xfId="0" applyFont="1" applyFill="1" applyBorder="1" applyAlignment="1">
      <alignment horizontal="center" vertical="center"/>
    </xf>
    <xf numFmtId="0" fontId="51" fillId="2" borderId="43" xfId="0" applyFont="1" applyFill="1" applyBorder="1" applyAlignment="1">
      <alignment horizontal="center" vertical="center"/>
    </xf>
    <xf numFmtId="0" fontId="51" fillId="2" borderId="40" xfId="0" applyFont="1" applyFill="1" applyBorder="1" applyAlignment="1">
      <alignment horizontal="center" vertical="center"/>
    </xf>
    <xf numFmtId="0" fontId="51" fillId="2" borderId="41" xfId="0" applyFont="1" applyFill="1" applyBorder="1" applyAlignment="1">
      <alignment horizontal="center" vertical="center"/>
    </xf>
    <xf numFmtId="0" fontId="87" fillId="2" borderId="0" xfId="0" applyFont="1" applyFill="1" applyAlignment="1">
      <alignment horizontal="center"/>
    </xf>
    <xf numFmtId="0" fontId="87" fillId="2" borderId="33" xfId="0" applyFont="1" applyFill="1" applyBorder="1" applyAlignment="1">
      <alignment horizontal="center"/>
    </xf>
    <xf numFmtId="0" fontId="52" fillId="2" borderId="29" xfId="0" applyFont="1" applyFill="1" applyBorder="1" applyAlignment="1">
      <alignment horizontal="left" vertical="center" wrapText="1"/>
    </xf>
    <xf numFmtId="0" fontId="59" fillId="8" borderId="12" xfId="0" applyFont="1" applyFill="1" applyBorder="1" applyAlignment="1" applyProtection="1">
      <alignment horizontal="center" vertical="center"/>
      <protection locked="0"/>
    </xf>
    <xf numFmtId="0" fontId="59" fillId="8" borderId="14" xfId="0" applyFont="1" applyFill="1" applyBorder="1" applyAlignment="1" applyProtection="1">
      <alignment horizontal="center" vertical="center"/>
      <protection locked="0"/>
    </xf>
    <xf numFmtId="0" fontId="51" fillId="6" borderId="0" xfId="0" applyFont="1" applyFill="1" applyAlignment="1">
      <alignment horizontal="center"/>
    </xf>
    <xf numFmtId="0" fontId="59" fillId="10" borderId="0" xfId="0" applyFont="1" applyFill="1" applyAlignment="1">
      <alignment horizontal="center" vertical="center" wrapText="1"/>
    </xf>
    <xf numFmtId="0" fontId="60" fillId="6" borderId="13" xfId="0" applyFont="1" applyFill="1" applyBorder="1" applyAlignment="1" applyProtection="1">
      <alignment horizontal="center" vertical="center"/>
      <protection locked="0"/>
    </xf>
    <xf numFmtId="0" fontId="59" fillId="5" borderId="0" xfId="0" applyFont="1" applyFill="1" applyAlignment="1">
      <alignment horizontal="center" vertical="center" wrapText="1"/>
    </xf>
    <xf numFmtId="16" fontId="58" fillId="6" borderId="13" xfId="0" applyNumberFormat="1" applyFont="1" applyFill="1" applyBorder="1" applyAlignment="1" applyProtection="1">
      <alignment horizontal="center" vertical="center"/>
      <protection locked="0"/>
    </xf>
    <xf numFmtId="16" fontId="58" fillId="6" borderId="0" xfId="0" applyNumberFormat="1" applyFont="1" applyFill="1" applyAlignment="1" applyProtection="1">
      <alignment horizontal="center" vertical="center"/>
      <protection locked="0"/>
    </xf>
    <xf numFmtId="0" fontId="51" fillId="10" borderId="0" xfId="0" applyFont="1" applyFill="1" applyAlignment="1">
      <alignment horizontal="center"/>
    </xf>
    <xf numFmtId="0" fontId="51" fillId="6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16" fontId="58" fillId="6" borderId="22" xfId="0" applyNumberFormat="1" applyFont="1" applyFill="1" applyBorder="1" applyAlignment="1" applyProtection="1">
      <alignment horizontal="center" vertical="center"/>
      <protection locked="0"/>
    </xf>
    <xf numFmtId="164" fontId="58" fillId="6" borderId="0" xfId="0" applyNumberFormat="1" applyFont="1" applyFill="1" applyAlignment="1" applyProtection="1">
      <alignment horizontal="center" vertical="center"/>
      <protection locked="0"/>
    </xf>
    <xf numFmtId="0" fontId="59" fillId="6" borderId="0" xfId="0" applyFont="1" applyFill="1" applyAlignment="1">
      <alignment horizontal="center" vertical="center" wrapText="1"/>
    </xf>
    <xf numFmtId="0" fontId="51" fillId="6" borderId="13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59" fillId="6" borderId="0" xfId="0" applyFont="1" applyFill="1" applyAlignment="1">
      <alignment horizontal="left"/>
    </xf>
    <xf numFmtId="0" fontId="2" fillId="2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95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 vertical="center"/>
    </xf>
    <xf numFmtId="0" fontId="97" fillId="2" borderId="0" xfId="0" applyFont="1" applyFill="1" applyAlignment="1">
      <alignment horizontal="center" vertical="center"/>
    </xf>
    <xf numFmtId="0" fontId="10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9" fillId="13" borderId="45" xfId="0" applyFont="1" applyFill="1" applyBorder="1" applyAlignment="1">
      <alignment horizontal="center" vertical="center"/>
    </xf>
    <xf numFmtId="0" fontId="59" fillId="13" borderId="65" xfId="0" applyFont="1" applyFill="1" applyBorder="1" applyAlignment="1">
      <alignment horizontal="center" vertical="center"/>
    </xf>
    <xf numFmtId="0" fontId="59" fillId="13" borderId="66" xfId="0" applyFont="1" applyFill="1" applyBorder="1" applyAlignment="1">
      <alignment horizontal="center" vertical="center"/>
    </xf>
    <xf numFmtId="0" fontId="105" fillId="2" borderId="0" xfId="0" applyFont="1" applyFill="1" applyAlignment="1">
      <alignment horizontal="center"/>
    </xf>
    <xf numFmtId="0" fontId="106" fillId="2" borderId="0" xfId="0" applyFont="1" applyFill="1" applyAlignment="1">
      <alignment horizontal="center"/>
    </xf>
    <xf numFmtId="0" fontId="107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9" fillId="12" borderId="45" xfId="0" applyFont="1" applyFill="1" applyBorder="1" applyAlignment="1">
      <alignment horizontal="center" vertical="center"/>
    </xf>
    <xf numFmtId="0" fontId="59" fillId="12" borderId="65" xfId="0" applyFont="1" applyFill="1" applyBorder="1" applyAlignment="1">
      <alignment horizontal="center" vertical="center"/>
    </xf>
    <xf numFmtId="0" fontId="59" fillId="12" borderId="66" xfId="0" applyFont="1" applyFill="1" applyBorder="1" applyAlignment="1">
      <alignment horizontal="center" vertical="center"/>
    </xf>
    <xf numFmtId="0" fontId="57" fillId="15" borderId="45" xfId="0" applyFont="1" applyFill="1" applyBorder="1" applyAlignment="1">
      <alignment horizontal="center" vertical="center"/>
    </xf>
    <xf numFmtId="0" fontId="57" fillId="15" borderId="65" xfId="0" applyFont="1" applyFill="1" applyBorder="1" applyAlignment="1">
      <alignment horizontal="center" vertical="center"/>
    </xf>
    <xf numFmtId="0" fontId="57" fillId="15" borderId="66" xfId="0" applyFont="1" applyFill="1" applyBorder="1" applyAlignment="1">
      <alignment horizontal="center" vertical="center"/>
    </xf>
    <xf numFmtId="0" fontId="57" fillId="3" borderId="45" xfId="0" applyFont="1" applyFill="1" applyBorder="1" applyAlignment="1">
      <alignment horizontal="center" vertical="center"/>
    </xf>
    <xf numFmtId="0" fontId="57" fillId="3" borderId="65" xfId="0" applyFont="1" applyFill="1" applyBorder="1" applyAlignment="1">
      <alignment horizontal="center" vertical="center"/>
    </xf>
    <xf numFmtId="0" fontId="57" fillId="3" borderId="66" xfId="0" applyFont="1" applyFill="1" applyBorder="1" applyAlignment="1">
      <alignment horizontal="center" vertical="center"/>
    </xf>
    <xf numFmtId="0" fontId="112" fillId="16" borderId="45" xfId="0" applyFont="1" applyFill="1" applyBorder="1" applyAlignment="1">
      <alignment horizontal="center" vertical="center"/>
    </xf>
    <xf numFmtId="0" fontId="112" fillId="16" borderId="65" xfId="0" applyFont="1" applyFill="1" applyBorder="1" applyAlignment="1">
      <alignment horizontal="center" vertical="center"/>
    </xf>
    <xf numFmtId="0" fontId="112" fillId="16" borderId="66" xfId="0" applyFont="1" applyFill="1" applyBorder="1" applyAlignment="1">
      <alignment horizontal="center" vertical="center"/>
    </xf>
    <xf numFmtId="0" fontId="57" fillId="12" borderId="45" xfId="0" applyFont="1" applyFill="1" applyBorder="1" applyAlignment="1">
      <alignment horizontal="center" vertical="center"/>
    </xf>
    <xf numFmtId="0" fontId="57" fillId="12" borderId="65" xfId="0" applyFont="1" applyFill="1" applyBorder="1" applyAlignment="1">
      <alignment horizontal="center" vertical="center"/>
    </xf>
    <xf numFmtId="0" fontId="57" fillId="12" borderId="66" xfId="0" applyFont="1" applyFill="1" applyBorder="1" applyAlignment="1">
      <alignment horizontal="center" vertical="center"/>
    </xf>
    <xf numFmtId="0" fontId="108" fillId="2" borderId="71" xfId="0" applyFont="1" applyFill="1" applyBorder="1" applyAlignment="1">
      <alignment horizontal="center" vertical="center"/>
    </xf>
    <xf numFmtId="0" fontId="108" fillId="2" borderId="0" xfId="0" applyFont="1" applyFill="1" applyAlignment="1">
      <alignment horizontal="center" vertical="center"/>
    </xf>
    <xf numFmtId="0" fontId="110" fillId="19" borderId="45" xfId="0" applyFont="1" applyFill="1" applyBorder="1" applyAlignment="1">
      <alignment horizontal="center" vertical="center"/>
    </xf>
    <xf numFmtId="0" fontId="110" fillId="19" borderId="65" xfId="0" applyFont="1" applyFill="1" applyBorder="1" applyAlignment="1">
      <alignment horizontal="center" vertical="center"/>
    </xf>
    <xf numFmtId="0" fontId="110" fillId="19" borderId="66" xfId="0" applyFont="1" applyFill="1" applyBorder="1" applyAlignment="1">
      <alignment horizontal="center" vertical="center"/>
    </xf>
    <xf numFmtId="0" fontId="111" fillId="18" borderId="45" xfId="0" applyFont="1" applyFill="1" applyBorder="1" applyAlignment="1">
      <alignment horizontal="center" vertical="center"/>
    </xf>
    <xf numFmtId="0" fontId="111" fillId="18" borderId="65" xfId="0" applyFont="1" applyFill="1" applyBorder="1" applyAlignment="1">
      <alignment horizontal="center" vertical="center"/>
    </xf>
    <xf numFmtId="0" fontId="111" fillId="18" borderId="66" xfId="0" applyFont="1" applyFill="1" applyBorder="1" applyAlignment="1">
      <alignment horizontal="center" vertical="center"/>
    </xf>
    <xf numFmtId="0" fontId="109" fillId="17" borderId="45" xfId="0" applyFont="1" applyFill="1" applyBorder="1" applyAlignment="1">
      <alignment horizontal="center" vertical="center"/>
    </xf>
    <xf numFmtId="0" fontId="109" fillId="17" borderId="65" xfId="0" applyFont="1" applyFill="1" applyBorder="1" applyAlignment="1">
      <alignment horizontal="center" vertical="center"/>
    </xf>
    <xf numFmtId="0" fontId="109" fillId="17" borderId="66" xfId="0" applyFont="1" applyFill="1" applyBorder="1" applyAlignment="1">
      <alignment horizontal="center" vertical="center"/>
    </xf>
    <xf numFmtId="0" fontId="119" fillId="20" borderId="33" xfId="0" applyFont="1" applyFill="1" applyBorder="1" applyAlignment="1">
      <alignment horizontal="center" vertical="center" wrapText="1"/>
    </xf>
    <xf numFmtId="0" fontId="71" fillId="20" borderId="61" xfId="0" applyFont="1" applyFill="1" applyBorder="1" applyAlignment="1">
      <alignment horizontal="center" vertical="center" wrapText="1"/>
    </xf>
    <xf numFmtId="0" fontId="71" fillId="20" borderId="62" xfId="0" applyFont="1" applyFill="1" applyBorder="1" applyAlignment="1">
      <alignment horizontal="center" vertical="center" wrapText="1"/>
    </xf>
    <xf numFmtId="0" fontId="71" fillId="20" borderId="64" xfId="0" applyFont="1" applyFill="1" applyBorder="1" applyAlignment="1">
      <alignment horizontal="center" vertical="center" wrapText="1"/>
    </xf>
    <xf numFmtId="0" fontId="125" fillId="2" borderId="0" xfId="0" applyFont="1" applyFill="1" applyAlignment="1">
      <alignment horizontal="center" vertical="center"/>
    </xf>
    <xf numFmtId="0" fontId="124" fillId="2" borderId="0" xfId="0" applyFont="1" applyFill="1" applyAlignment="1">
      <alignment horizontal="center" vertical="center"/>
    </xf>
    <xf numFmtId="0" fontId="126" fillId="12" borderId="0" xfId="0" applyFont="1" applyFill="1" applyAlignment="1">
      <alignment horizontal="center" vertical="center"/>
    </xf>
    <xf numFmtId="0" fontId="129" fillId="24" borderId="0" xfId="0" applyFont="1" applyFill="1" applyAlignment="1">
      <alignment horizontal="center" vertical="center"/>
    </xf>
    <xf numFmtId="0" fontId="116" fillId="2" borderId="0" xfId="0" applyFont="1" applyFill="1" applyAlignment="1">
      <alignment horizontal="center" vertical="center"/>
    </xf>
    <xf numFmtId="0" fontId="107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1" fillId="12" borderId="61" xfId="0" applyFont="1" applyFill="1" applyBorder="1" applyAlignment="1">
      <alignment horizontal="center" vertical="center" wrapText="1"/>
    </xf>
    <xf numFmtId="0" fontId="71" fillId="12" borderId="62" xfId="0" applyFont="1" applyFill="1" applyBorder="1" applyAlignment="1">
      <alignment horizontal="center" vertical="center" wrapText="1"/>
    </xf>
    <xf numFmtId="0" fontId="71" fillId="12" borderId="64" xfId="0" applyFont="1" applyFill="1" applyBorder="1" applyAlignment="1">
      <alignment horizontal="center" vertical="center" wrapText="1"/>
    </xf>
    <xf numFmtId="0" fontId="4" fillId="3" borderId="69" xfId="0" applyFont="1" applyFill="1" applyBorder="1" applyAlignment="1">
      <alignment horizontal="center" vertical="center"/>
    </xf>
    <xf numFmtId="0" fontId="71" fillId="1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1" fillId="12" borderId="3" xfId="0" applyFont="1" applyFill="1" applyBorder="1" applyAlignment="1">
      <alignment horizontal="center" vertical="center" wrapText="1"/>
    </xf>
    <xf numFmtId="0" fontId="114" fillId="2" borderId="0" xfId="0" applyFont="1" applyFill="1" applyAlignment="1">
      <alignment horizontal="center" vertical="center"/>
    </xf>
    <xf numFmtId="0" fontId="11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13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384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FF"/>
      <color rgb="FF003300"/>
      <color rgb="FF0066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png"/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509139</xdr:colOff>
      <xdr:row>1</xdr:row>
      <xdr:rowOff>31845</xdr:rowOff>
    </xdr:from>
    <xdr:to>
      <xdr:col>2</xdr:col>
      <xdr:colOff>1472515</xdr:colOff>
      <xdr:row>3</xdr:row>
      <xdr:rowOff>340880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210006" y="607578"/>
          <a:ext cx="963376" cy="1071035"/>
        </a:xfrm>
        <a:prstGeom prst="rect">
          <a:avLst/>
        </a:prstGeom>
      </xdr:spPr>
    </xdr:pic>
    <xdr:clientData/>
  </xdr:twoCellAnchor>
  <xdr:twoCellAnchor editAs="oneCell">
    <xdr:from>
      <xdr:col>8</xdr:col>
      <xdr:colOff>465289</xdr:colOff>
      <xdr:row>0</xdr:row>
      <xdr:rowOff>521501</xdr:rowOff>
    </xdr:from>
    <xdr:to>
      <xdr:col>8</xdr:col>
      <xdr:colOff>1630680</xdr:colOff>
      <xdr:row>5</xdr:row>
      <xdr:rowOff>38721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7513789" y="521501"/>
          <a:ext cx="1165391" cy="1391740"/>
        </a:xfrm>
        <a:prstGeom prst="rect">
          <a:avLst/>
        </a:prstGeom>
      </xdr:spPr>
    </xdr:pic>
    <xdr:clientData/>
  </xdr:twoCellAnchor>
  <xdr:twoCellAnchor editAs="oneCell">
    <xdr:from>
      <xdr:col>2</xdr:col>
      <xdr:colOff>509139</xdr:colOff>
      <xdr:row>1</xdr:row>
      <xdr:rowOff>31845</xdr:rowOff>
    </xdr:from>
    <xdr:to>
      <xdr:col>2</xdr:col>
      <xdr:colOff>1472515</xdr:colOff>
      <xdr:row>3</xdr:row>
      <xdr:rowOff>340880</xdr:rowOff>
    </xdr:to>
    <xdr:pic>
      <xdr:nvPicPr>
        <xdr:cNvPr id="8" name="4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019679" y="603345"/>
          <a:ext cx="963376" cy="1071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317517</xdr:colOff>
      <xdr:row>30</xdr:row>
      <xdr:rowOff>222307</xdr:rowOff>
    </xdr:from>
    <xdr:to>
      <xdr:col>23</xdr:col>
      <xdr:colOff>317514</xdr:colOff>
      <xdr:row>35</xdr:row>
      <xdr:rowOff>10640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2934" y="4191057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317483</xdr:colOff>
      <xdr:row>30</xdr:row>
      <xdr:rowOff>211687</xdr:rowOff>
    </xdr:from>
    <xdr:to>
      <xdr:col>23</xdr:col>
      <xdr:colOff>317505</xdr:colOff>
      <xdr:row>35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2900" y="4191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317492</xdr:colOff>
      <xdr:row>30</xdr:row>
      <xdr:rowOff>211670</xdr:rowOff>
    </xdr:from>
    <xdr:to>
      <xdr:col>23</xdr:col>
      <xdr:colOff>317514</xdr:colOff>
      <xdr:row>35</xdr:row>
      <xdr:rowOff>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2909" y="4191003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1710270</xdr:colOff>
      <xdr:row>0</xdr:row>
      <xdr:rowOff>194734</xdr:rowOff>
    </xdr:from>
    <xdr:to>
      <xdr:col>13</xdr:col>
      <xdr:colOff>32213</xdr:colOff>
      <xdr:row>4</xdr:row>
      <xdr:rowOff>48479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70" y="194734"/>
          <a:ext cx="1386876" cy="14285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1710271</xdr:colOff>
      <xdr:row>0</xdr:row>
      <xdr:rowOff>194732</xdr:rowOff>
    </xdr:from>
    <xdr:to>
      <xdr:col>13</xdr:col>
      <xdr:colOff>32214</xdr:colOff>
      <xdr:row>4</xdr:row>
      <xdr:rowOff>48477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71" y="194732"/>
          <a:ext cx="1386876" cy="14285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362969</xdr:colOff>
      <xdr:row>0</xdr:row>
      <xdr:rowOff>745329</xdr:rowOff>
    </xdr:from>
    <xdr:to>
      <xdr:col>1</xdr:col>
      <xdr:colOff>2024743</xdr:colOff>
      <xdr:row>4</xdr:row>
      <xdr:rowOff>194871</xdr:rowOff>
    </xdr:to>
    <xdr:pic>
      <xdr:nvPicPr>
        <xdr:cNvPr id="2" name="2 Imagen" descr="Un dibujo de un personaje animado&#10;&#10;Descripción generada automáticamente con confianza baja">
          <a:extLst>
            <a:ext uri="{FF2B5EF4-FFF2-40B4-BE49-F238E27FC236}">
              <a16:creationId xmlns:a16="http://schemas.microsoft.com/office/drawing/2014/main" id="{7C55EA66-FE80-4DA5-9A17-9989195017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269749" y="745329"/>
          <a:ext cx="1661774" cy="1849842"/>
        </a:xfrm>
        <a:prstGeom prst="rect">
          <a:avLst/>
        </a:prstGeom>
      </xdr:spPr>
    </xdr:pic>
    <xdr:clientData/>
  </xdr:twoCellAnchor>
  <xdr:twoCellAnchor editAs="oneCell">
    <xdr:from>
      <xdr:col>7</xdr:col>
      <xdr:colOff>1502228</xdr:colOff>
      <xdr:row>0</xdr:row>
      <xdr:rowOff>204106</xdr:rowOff>
    </xdr:from>
    <xdr:to>
      <xdr:col>10</xdr:col>
      <xdr:colOff>143233</xdr:colOff>
      <xdr:row>4</xdr:row>
      <xdr:rowOff>195942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79359448-024A-4F28-881B-CE6F891E1D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13458008" y="204106"/>
          <a:ext cx="2031905" cy="2392136"/>
        </a:xfrm>
        <a:prstGeom prst="rect">
          <a:avLst/>
        </a:prstGeom>
      </xdr:spPr>
    </xdr:pic>
    <xdr:clientData/>
  </xdr:twoCellAnchor>
  <xdr:twoCellAnchor editAs="oneCell">
    <xdr:from>
      <xdr:col>10</xdr:col>
      <xdr:colOff>568036</xdr:colOff>
      <xdr:row>0</xdr:row>
      <xdr:rowOff>0</xdr:rowOff>
    </xdr:from>
    <xdr:to>
      <xdr:col>20</xdr:col>
      <xdr:colOff>554182</xdr:colOff>
      <xdr:row>6</xdr:row>
      <xdr:rowOff>13855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94F572D-E128-4B02-8860-79B11DC562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8806"/>
        <a:stretch/>
      </xdr:blipFill>
      <xdr:spPr>
        <a:xfrm>
          <a:off x="15914716" y="0"/>
          <a:ext cx="8086206" cy="294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ccermelgar@outlook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occermelgar@outlook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soccermelgar@outlook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N14"/>
  <sheetViews>
    <sheetView tabSelected="1" zoomScaleNormal="100" workbookViewId="0">
      <selection activeCell="C2" sqref="C2:I2"/>
    </sheetView>
  </sheetViews>
  <sheetFormatPr baseColWidth="10" defaultColWidth="11.44140625" defaultRowHeight="14.4" x14ac:dyDescent="0.3"/>
  <cols>
    <col min="1" max="1" width="3.88671875" style="3" customWidth="1"/>
    <col min="2" max="2" width="3.5546875" style="3" customWidth="1"/>
    <col min="3" max="3" width="37.33203125" style="3" customWidth="1"/>
    <col min="4" max="4" width="2.88671875" style="3" customWidth="1"/>
    <col min="5" max="5" width="37.33203125" style="3" customWidth="1"/>
    <col min="6" max="6" width="2.88671875" style="3" customWidth="1"/>
    <col min="7" max="7" width="37.33203125" style="3" customWidth="1"/>
    <col min="8" max="8" width="2.88671875" style="3" customWidth="1"/>
    <col min="9" max="9" width="37.33203125" style="3" customWidth="1"/>
    <col min="10" max="10" width="3.77734375" style="3" customWidth="1"/>
    <col min="11" max="11" width="12.44140625" style="3" bestFit="1" customWidth="1"/>
    <col min="12" max="12" width="15.6640625" style="3" customWidth="1"/>
    <col min="13" max="13" width="7.109375" style="3" customWidth="1"/>
    <col min="14" max="14" width="3.33203125" style="3" bestFit="1" customWidth="1"/>
    <col min="15" max="15" width="7.109375" style="3" customWidth="1"/>
    <col min="16" max="16" width="15.6640625" style="3" customWidth="1"/>
    <col min="17" max="17" width="13.6640625" style="3" customWidth="1"/>
    <col min="18" max="18" width="7.88671875" style="3" customWidth="1"/>
    <col min="19" max="19" width="8.6640625" style="3" customWidth="1"/>
    <col min="20" max="21" width="12.88671875" style="3" customWidth="1"/>
    <col min="22" max="22" width="17.88671875" style="3" bestFit="1" customWidth="1"/>
    <col min="23" max="23" width="3.33203125" style="3" bestFit="1" customWidth="1"/>
    <col min="24" max="24" width="17.88671875" style="3" customWidth="1"/>
    <col min="25" max="16384" width="11.44140625" style="3"/>
  </cols>
  <sheetData>
    <row r="1" spans="2:14" ht="45" customHeight="1" x14ac:dyDescent="0.3">
      <c r="B1" s="192"/>
      <c r="C1" s="252" t="s">
        <v>164</v>
      </c>
      <c r="D1" s="252"/>
      <c r="E1" s="252"/>
      <c r="F1" s="252"/>
      <c r="G1" s="252"/>
      <c r="H1" s="252"/>
      <c r="I1" s="252"/>
      <c r="K1" s="65"/>
      <c r="L1" s="65"/>
    </row>
    <row r="2" spans="2:14" ht="30" customHeight="1" x14ac:dyDescent="0.3">
      <c r="B2" s="193"/>
      <c r="C2" s="253" t="s">
        <v>120</v>
      </c>
      <c r="D2" s="253"/>
      <c r="E2" s="253"/>
      <c r="F2" s="253"/>
      <c r="G2" s="253"/>
      <c r="H2" s="253"/>
      <c r="I2" s="253"/>
      <c r="J2" s="65"/>
      <c r="K2" s="65"/>
      <c r="L2" s="65"/>
    </row>
    <row r="3" spans="2:14" ht="30" customHeight="1" x14ac:dyDescent="0.7">
      <c r="B3" s="194"/>
      <c r="C3" s="254" t="s">
        <v>148</v>
      </c>
      <c r="D3" s="254"/>
      <c r="E3" s="254"/>
      <c r="F3" s="254"/>
      <c r="G3" s="254"/>
      <c r="H3" s="254"/>
      <c r="I3" s="254"/>
      <c r="J3" s="65"/>
      <c r="K3" s="65"/>
      <c r="L3" s="65"/>
    </row>
    <row r="4" spans="2:14" ht="30" customHeight="1" x14ac:dyDescent="0.5">
      <c r="B4" s="195"/>
      <c r="C4" s="255" t="s">
        <v>149</v>
      </c>
      <c r="D4" s="255"/>
      <c r="E4" s="255"/>
      <c r="F4" s="255"/>
      <c r="G4" s="255"/>
      <c r="H4" s="255"/>
      <c r="I4" s="255"/>
      <c r="J4" s="65"/>
      <c r="K4" s="65"/>
      <c r="L4" s="65"/>
    </row>
    <row r="5" spans="2:14" ht="12.75" customHeight="1" thickBot="1" x14ac:dyDescent="0.4">
      <c r="C5" s="2"/>
      <c r="D5" s="2"/>
      <c r="E5" s="203" t="s">
        <v>117</v>
      </c>
      <c r="F5" s="2"/>
      <c r="G5" s="2"/>
      <c r="H5" s="2"/>
      <c r="I5" s="2"/>
      <c r="J5" s="2"/>
      <c r="K5" s="2"/>
    </row>
    <row r="6" spans="2:14" ht="25.8" thickTop="1" x14ac:dyDescent="0.45">
      <c r="C6" s="197" t="s">
        <v>0</v>
      </c>
      <c r="E6" s="198" t="s">
        <v>1</v>
      </c>
      <c r="F6" s="4"/>
      <c r="G6" s="199" t="s">
        <v>38</v>
      </c>
      <c r="H6" s="5"/>
      <c r="I6" s="200" t="s">
        <v>39</v>
      </c>
    </row>
    <row r="7" spans="2:14" ht="77.400000000000006" customHeight="1" x14ac:dyDescent="0.5">
      <c r="C7" s="222" t="s">
        <v>152</v>
      </c>
      <c r="D7" s="111"/>
      <c r="E7" s="222" t="s">
        <v>153</v>
      </c>
      <c r="F7" s="223"/>
      <c r="G7" s="222" t="s">
        <v>159</v>
      </c>
      <c r="H7" s="223"/>
      <c r="I7" s="241" t="s">
        <v>157</v>
      </c>
    </row>
    <row r="8" spans="2:14" ht="77.400000000000006" customHeight="1" x14ac:dyDescent="0.5">
      <c r="B8" s="204"/>
      <c r="C8" s="222" t="s">
        <v>163</v>
      </c>
      <c r="D8" s="111"/>
      <c r="E8" s="222" t="s">
        <v>162</v>
      </c>
      <c r="F8" s="223"/>
      <c r="G8" s="222" t="s">
        <v>155</v>
      </c>
      <c r="H8" s="223"/>
      <c r="I8" s="222" t="s">
        <v>156</v>
      </c>
      <c r="J8" s="66"/>
      <c r="K8" s="31"/>
    </row>
    <row r="9" spans="2:14" ht="77.400000000000006" customHeight="1" x14ac:dyDescent="0.5">
      <c r="C9" s="222" t="s">
        <v>154</v>
      </c>
      <c r="D9" s="111"/>
      <c r="E9" s="222" t="s">
        <v>161</v>
      </c>
      <c r="F9" s="224"/>
      <c r="G9" s="222" t="s">
        <v>160</v>
      </c>
      <c r="H9" s="223"/>
      <c r="I9" s="222" t="s">
        <v>158</v>
      </c>
      <c r="K9" s="31"/>
    </row>
    <row r="10" spans="2:14" ht="60" customHeight="1" x14ac:dyDescent="1.05">
      <c r="C10" s="256"/>
      <c r="D10" s="256"/>
      <c r="E10" s="256"/>
      <c r="F10" s="202"/>
      <c r="G10" s="202"/>
      <c r="H10" s="180"/>
      <c r="I10" s="196"/>
      <c r="K10" s="31"/>
    </row>
    <row r="11" spans="2:14" ht="25.2" customHeight="1" x14ac:dyDescent="0.35">
      <c r="C11" s="2"/>
      <c r="D11" s="251" t="s">
        <v>121</v>
      </c>
      <c r="E11" s="251"/>
      <c r="F11" s="251"/>
      <c r="G11" s="251"/>
      <c r="H11" s="251"/>
      <c r="I11" s="2"/>
      <c r="J11" s="2"/>
      <c r="K11" s="2"/>
      <c r="L11" s="1"/>
      <c r="M11" s="1"/>
    </row>
    <row r="12" spans="2:14" ht="47.25" customHeight="1" x14ac:dyDescent="0.35">
      <c r="D12" s="1"/>
      <c r="H12" s="2"/>
      <c r="I12" s="2"/>
      <c r="J12" s="2"/>
      <c r="K12" s="2"/>
      <c r="L12" s="1"/>
      <c r="M12" s="1"/>
    </row>
    <row r="13" spans="2:14" ht="33.75" customHeight="1" x14ac:dyDescent="0.85">
      <c r="D13" s="43"/>
      <c r="K13" s="2"/>
    </row>
    <row r="14" spans="2:14" x14ac:dyDescent="0.3">
      <c r="L14" s="1"/>
      <c r="M14" s="1"/>
      <c r="N14" s="1"/>
    </row>
  </sheetData>
  <mergeCells count="6">
    <mergeCell ref="D11:H11"/>
    <mergeCell ref="C1:I1"/>
    <mergeCell ref="C2:I2"/>
    <mergeCell ref="C3:I3"/>
    <mergeCell ref="C4:I4"/>
    <mergeCell ref="C10:E10"/>
  </mergeCells>
  <hyperlinks>
    <hyperlink ref="C6" location="'GRUPO A'!A1" display="GRUPO A" xr:uid="{00000000-0004-0000-0000-000000000000}"/>
    <hyperlink ref="G6" location="'GRUPO C'!A1" display="GRUPO C" xr:uid="{00000000-0004-0000-0000-000001000000}"/>
    <hyperlink ref="E6" location="'GRUPO B'!A1" display="GRUPO B" xr:uid="{00000000-0004-0000-0000-000002000000}"/>
    <hyperlink ref="I6" location="'GRUPO D'!A1" display="GRUPO D" xr:uid="{00000000-0004-0000-0000-000003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60"/>
  <sheetViews>
    <sheetView zoomScale="90" zoomScaleNormal="90" workbookViewId="0">
      <selection activeCell="I16" sqref="I16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2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10" t="str">
        <f>+'PRE INFANTIL GRUPOS'!C1</f>
        <v>XVIII Campeonato Nacional de Fútbol Infantil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</row>
    <row r="2" spans="1:38" s="3" customFormat="1" ht="24.6" x14ac:dyDescent="0.3">
      <c r="A2" s="311" t="s">
        <v>6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</row>
    <row r="3" spans="1:38" s="3" customFormat="1" ht="34.799999999999997" x14ac:dyDescent="0.65">
      <c r="B3" s="312" t="str">
        <f>+'PRE INFANTIL GRUPOS'!C3</f>
        <v>DICIEMBRE 4 AL 6 DEL 2024</v>
      </c>
      <c r="C3" s="312"/>
      <c r="D3" s="312"/>
      <c r="E3" s="312"/>
      <c r="F3" s="297" t="str">
        <f>+'PRE INFANTIL GRUPOS'!C4</f>
        <v>NACIDOS 2010 2011</v>
      </c>
      <c r="G3" s="297"/>
      <c r="H3" s="297"/>
      <c r="I3" s="297"/>
      <c r="J3" s="297"/>
      <c r="K3" s="297"/>
      <c r="Y3" s="39"/>
    </row>
    <row r="4" spans="1:38" s="3" customFormat="1" ht="30.75" customHeight="1" x14ac:dyDescent="0.3">
      <c r="B4" s="298" t="str">
        <f>+'PRE INFANTIL GRUPOS'!C6</f>
        <v>GRUPO A</v>
      </c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Y4" s="40"/>
    </row>
    <row r="5" spans="1:38" s="3" customFormat="1" ht="15" customHeight="1" x14ac:dyDescent="0.3">
      <c r="B5" s="299"/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13"/>
      <c r="O5" s="13"/>
      <c r="S5" s="1"/>
    </row>
    <row r="6" spans="1:38" ht="21.75" customHeight="1" x14ac:dyDescent="0.45">
      <c r="A6" s="1"/>
      <c r="B6" s="316" t="s">
        <v>4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16"/>
      <c r="O6" s="16"/>
      <c r="P6" s="313" t="s">
        <v>14</v>
      </c>
      <c r="Q6" s="314"/>
      <c r="R6" s="314"/>
      <c r="S6" s="314"/>
      <c r="T6" s="314"/>
      <c r="U6" s="314"/>
      <c r="V6" s="314"/>
      <c r="W6" s="314"/>
      <c r="X6" s="314"/>
      <c r="Y6" s="314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1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1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6"/>
      <c r="B8" s="48">
        <v>42966</v>
      </c>
      <c r="C8" s="44" t="s">
        <v>110</v>
      </c>
      <c r="D8" s="274"/>
      <c r="E8" s="275" t="str">
        <f>+'PRE INFANTIL GRUPOS'!C7</f>
        <v>JAGUARES F. C.</v>
      </c>
      <c r="F8" s="276" t="str">
        <f>IF(AND(G8&lt;&gt;"",I8&lt;&gt;""),IF(G8=I8,"E",IF(G8&gt;I8,"G","P")),"")</f>
        <v>E</v>
      </c>
      <c r="G8" s="260">
        <v>0</v>
      </c>
      <c r="H8" s="277" t="s">
        <v>15</v>
      </c>
      <c r="I8" s="260">
        <v>0</v>
      </c>
      <c r="J8" s="276" t="str">
        <f>IF(AND(I8&lt;&gt;"",G8&lt;&gt;""),IF(I8=G8,"E",IF(I8&gt;G8,"G","P")),"")</f>
        <v>E</v>
      </c>
      <c r="K8" s="275" t="str">
        <f>+'PRE INFANTIL GRUPOS'!E7</f>
        <v>GOLDEN STEPS</v>
      </c>
      <c r="L8" s="278"/>
      <c r="M8" s="104" t="s">
        <v>106</v>
      </c>
      <c r="N8" s="108"/>
      <c r="O8" s="60"/>
      <c r="P8" s="291"/>
      <c r="Q8" s="293" t="s">
        <v>7</v>
      </c>
      <c r="R8" s="295" t="s">
        <v>16</v>
      </c>
      <c r="S8" s="285" t="s">
        <v>8</v>
      </c>
      <c r="T8" s="285" t="s">
        <v>9</v>
      </c>
      <c r="U8" s="285" t="s">
        <v>10</v>
      </c>
      <c r="V8" s="285" t="s">
        <v>11</v>
      </c>
      <c r="W8" s="285" t="s">
        <v>12</v>
      </c>
      <c r="X8" s="285" t="s">
        <v>13</v>
      </c>
      <c r="Y8" s="285" t="s">
        <v>35</v>
      </c>
      <c r="Z8" s="287"/>
      <c r="AA8" s="25"/>
      <c r="AB8" s="289"/>
      <c r="AC8" s="289"/>
      <c r="AD8" s="289"/>
      <c r="AE8" s="289"/>
      <c r="AF8" s="289"/>
      <c r="AG8" s="289"/>
      <c r="AH8" s="289"/>
      <c r="AI8" s="25"/>
      <c r="AJ8" s="289" t="e">
        <f>IF(AJ6=12,IF(INDEX(Z22:AK29,MATCH(2,Z22:Z29,0),11)=INDEX(Z22:AK29,MATCH(1,Z22:Z29,0),11),1,0),0)</f>
        <v>#N/A</v>
      </c>
      <c r="AK8" s="3"/>
      <c r="AL8" s="3"/>
    </row>
    <row r="9" spans="1:38" ht="15" customHeight="1" x14ac:dyDescent="0.3">
      <c r="A9" s="58"/>
      <c r="B9" s="48"/>
      <c r="C9" s="44"/>
      <c r="D9" s="274"/>
      <c r="E9" s="275"/>
      <c r="F9" s="276"/>
      <c r="G9" s="261"/>
      <c r="H9" s="277"/>
      <c r="I9" s="261"/>
      <c r="J9" s="276"/>
      <c r="K9" s="275"/>
      <c r="L9" s="278"/>
      <c r="M9" s="46"/>
      <c r="N9" s="59"/>
      <c r="O9" s="59"/>
      <c r="P9" s="292"/>
      <c r="Q9" s="294"/>
      <c r="R9" s="296"/>
      <c r="S9" s="286"/>
      <c r="T9" s="286"/>
      <c r="U9" s="286"/>
      <c r="V9" s="286"/>
      <c r="W9" s="286"/>
      <c r="X9" s="286"/>
      <c r="Y9" s="286"/>
      <c r="Z9" s="288"/>
      <c r="AA9" s="25"/>
      <c r="AB9" s="290"/>
      <c r="AC9" s="290"/>
      <c r="AD9" s="290"/>
      <c r="AE9" s="290"/>
      <c r="AF9" s="290"/>
      <c r="AG9" s="290"/>
      <c r="AH9" s="290"/>
      <c r="AI9" s="25"/>
      <c r="AJ9" s="289"/>
      <c r="AK9" s="3"/>
      <c r="AL9" s="3"/>
    </row>
    <row r="10" spans="1:38" ht="22.5" customHeight="1" x14ac:dyDescent="0.3">
      <c r="A10" s="5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9"/>
      <c r="P10" s="279" t="str">
        <f>"  1)  " &amp; VLOOKUP(1,$Z$10:$AI$17,2,0)</f>
        <v xml:space="preserve">  1)  JUDERCAR F. C.</v>
      </c>
      <c r="Q10" s="281">
        <f>VLOOKUP(1,$Z$10:$AI$17,3,0)</f>
        <v>6</v>
      </c>
      <c r="R10" s="283">
        <f>+SUM(S10:U11)</f>
        <v>3</v>
      </c>
      <c r="S10" s="270">
        <f>VLOOKUP(1,$Z$10:$AI$17,4,0)</f>
        <v>2</v>
      </c>
      <c r="T10" s="270">
        <f>VLOOKUP(1,$Z$10:$AI$17,5,0)</f>
        <v>0</v>
      </c>
      <c r="U10" s="270">
        <f>VLOOKUP(1,$Z$10:$AI$17,6,0)</f>
        <v>1</v>
      </c>
      <c r="V10" s="270">
        <f>VLOOKUP(1,$Z$10:$AI$17,7,0)</f>
        <v>9</v>
      </c>
      <c r="W10" s="270">
        <f>VLOOKUP(1,$Z$10:$AI$17,8,0)</f>
        <v>1</v>
      </c>
      <c r="X10" s="270">
        <f>VLOOKUP(1,$Z$10:$AH$17,9,0)</f>
        <v>8</v>
      </c>
      <c r="Y10" s="270">
        <f>VLOOKUP(1,$Z$10:$AI$17,10,0)</f>
        <v>0</v>
      </c>
      <c r="Z10" s="272">
        <f>RANK(AJ10,$AJ$10:$AJ$17,0)</f>
        <v>3</v>
      </c>
      <c r="AA10" s="265" t="str">
        <f>+'PRE INFANTIL GRUPOS'!C7</f>
        <v>JAGUARES F. C.</v>
      </c>
      <c r="AB10" s="265">
        <f>(AC10*3)+AD10</f>
        <v>4</v>
      </c>
      <c r="AC10" s="265">
        <f>COUNTIF(Q58:T58,"G")</f>
        <v>1</v>
      </c>
      <c r="AD10" s="265">
        <f>COUNTIF(Q58:T58,"E")</f>
        <v>1</v>
      </c>
      <c r="AE10" s="265">
        <f>COUNTIF(Q58:T58,"P")</f>
        <v>1</v>
      </c>
      <c r="AF10" s="265">
        <f>+G8+G20+G17+G29</f>
        <v>3</v>
      </c>
      <c r="AG10" s="265">
        <f>+I8+I20+I17+I29</f>
        <v>5</v>
      </c>
      <c r="AH10" s="265">
        <f>AF10-AG10</f>
        <v>-2</v>
      </c>
      <c r="AI10" s="267">
        <f>+A8+A20+A29+A17</f>
        <v>0</v>
      </c>
      <c r="AJ10" s="265">
        <f>(AB10*1000)+(AH10*100)+(AF10*10)-AI10+0.1</f>
        <v>3830.1</v>
      </c>
      <c r="AK10" s="268">
        <f>AJ10+X10</f>
        <v>3838.1</v>
      </c>
      <c r="AL10" s="3"/>
    </row>
    <row r="11" spans="1:38" ht="15.75" customHeight="1" x14ac:dyDescent="0.3">
      <c r="A11" s="107"/>
      <c r="B11" s="49">
        <v>42965</v>
      </c>
      <c r="C11" s="45" t="s">
        <v>103</v>
      </c>
      <c r="D11" s="264"/>
      <c r="E11" s="258" t="str">
        <f>+'PRE INFANTIL GRUPOS'!C8</f>
        <v>TROYA F. C.</v>
      </c>
      <c r="F11" s="276" t="str">
        <f>IF(AND(G11&lt;&gt;"",I11&lt;&gt;""),IF(G11=I11,"E",IF(G11&gt;I11,"G","P")),"")</f>
        <v>G</v>
      </c>
      <c r="G11" s="260">
        <v>1</v>
      </c>
      <c r="H11" s="277" t="s">
        <v>15</v>
      </c>
      <c r="I11" s="260">
        <v>0</v>
      </c>
      <c r="J11" s="276" t="str">
        <f>IF(AND(I11&lt;&gt;"",G11&lt;&gt;""),IF(I11=G11,"E",IF(I11&gt;G11,"G","P")),"")</f>
        <v>P</v>
      </c>
      <c r="K11" s="258" t="str">
        <f>+'PRE INFANTIL GRUPOS'!E8</f>
        <v>ATHLETIC MELGAR</v>
      </c>
      <c r="L11" s="257"/>
      <c r="M11" s="105" t="s">
        <v>104</v>
      </c>
      <c r="N11" s="109"/>
      <c r="O11" s="60"/>
      <c r="P11" s="280"/>
      <c r="Q11" s="282"/>
      <c r="R11" s="284"/>
      <c r="S11" s="271"/>
      <c r="T11" s="271"/>
      <c r="U11" s="271"/>
      <c r="V11" s="271"/>
      <c r="W11" s="271"/>
      <c r="X11" s="271"/>
      <c r="Y11" s="271"/>
      <c r="Z11" s="273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9"/>
      <c r="AL11" s="3"/>
    </row>
    <row r="12" spans="1:38" ht="15.75" customHeight="1" x14ac:dyDescent="0.3">
      <c r="A12" s="58"/>
      <c r="B12" s="49"/>
      <c r="C12" s="45"/>
      <c r="D12" s="264"/>
      <c r="E12" s="258"/>
      <c r="F12" s="276"/>
      <c r="G12" s="261"/>
      <c r="H12" s="277"/>
      <c r="I12" s="261"/>
      <c r="J12" s="276"/>
      <c r="K12" s="258"/>
      <c r="L12" s="257"/>
      <c r="M12" s="47"/>
      <c r="N12" s="59"/>
      <c r="O12" s="59"/>
      <c r="P12" s="279" t="str">
        <f>"  2)  " &amp; VLOOKUP(2,$Z$10:$AI$17,2,0)</f>
        <v xml:space="preserve">  2)  TROYA F. C.</v>
      </c>
      <c r="Q12" s="281">
        <f>VLOOKUP(2,$Z$10:$AI$17,3,0)</f>
        <v>6</v>
      </c>
      <c r="R12" s="283">
        <f>+SUM(S12:U13)</f>
        <v>3</v>
      </c>
      <c r="S12" s="270">
        <f>VLOOKUP(2,$Z$10:$AI$17,4,0)</f>
        <v>2</v>
      </c>
      <c r="T12" s="270">
        <f>VLOOKUP(2,$Z$10:$AI$17,5,0)</f>
        <v>0</v>
      </c>
      <c r="U12" s="270">
        <f>VLOOKUP(2,$Z$10:$AI$17,6,0)</f>
        <v>1</v>
      </c>
      <c r="V12" s="270">
        <f>VLOOKUP(2,$Z$10:$AI$17,7,0)</f>
        <v>4</v>
      </c>
      <c r="W12" s="270">
        <f>VLOOKUP(2,$Z$10:$AI$17,8,0)</f>
        <v>3</v>
      </c>
      <c r="X12" s="270">
        <f>VLOOKUP(2,$Z$10:$AH$17,9,0)</f>
        <v>1</v>
      </c>
      <c r="Y12" s="270">
        <f>VLOOKUP(2,$Z$10:$AI$17,10,0)</f>
        <v>0</v>
      </c>
      <c r="Z12" s="272">
        <f>RANK(AJ12,$AJ$10:$AJ$17,0)</f>
        <v>2</v>
      </c>
      <c r="AA12" s="265" t="str">
        <f>+'PRE INFANTIL GRUPOS'!C8</f>
        <v>TROYA F. C.</v>
      </c>
      <c r="AB12" s="265">
        <f>(AC12*3)+AD12</f>
        <v>6</v>
      </c>
      <c r="AC12" s="265">
        <f>COUNTIF(Q59:T59,"G")</f>
        <v>2</v>
      </c>
      <c r="AD12" s="265">
        <f>COUNTIF(Q59:T59,"E")</f>
        <v>0</v>
      </c>
      <c r="AE12" s="265">
        <f>COUNTIF(Q59:T59,"P")</f>
        <v>1</v>
      </c>
      <c r="AF12" s="265">
        <f>+G11+I17+G23+G32</f>
        <v>4</v>
      </c>
      <c r="AG12" s="265">
        <f>+I11+I23+G17+I32</f>
        <v>3</v>
      </c>
      <c r="AH12" s="265">
        <f>AF12-AG12</f>
        <v>1</v>
      </c>
      <c r="AI12" s="267">
        <f>+A23+A11+N17+A32</f>
        <v>0</v>
      </c>
      <c r="AJ12" s="265">
        <f>(AB12*1000)+(AH12*100)+(AF12*10)-AI12+0.2</f>
        <v>6140.2</v>
      </c>
      <c r="AK12" s="268">
        <f>AJ12+X12</f>
        <v>6141.2</v>
      </c>
      <c r="AL12" s="3"/>
    </row>
    <row r="13" spans="1:38" ht="22.5" customHeight="1" x14ac:dyDescent="0.3">
      <c r="A13" s="5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9"/>
      <c r="P13" s="280"/>
      <c r="Q13" s="282"/>
      <c r="R13" s="284"/>
      <c r="S13" s="271"/>
      <c r="T13" s="271"/>
      <c r="U13" s="271"/>
      <c r="V13" s="271"/>
      <c r="W13" s="271"/>
      <c r="X13" s="271"/>
      <c r="Y13" s="271"/>
      <c r="Z13" s="273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9"/>
      <c r="AL13" s="3"/>
    </row>
    <row r="14" spans="1:38" ht="15" customHeight="1" x14ac:dyDescent="0.3">
      <c r="A14" s="106"/>
      <c r="B14" s="48">
        <v>42967</v>
      </c>
      <c r="C14" s="44" t="s">
        <v>115</v>
      </c>
      <c r="D14" s="274"/>
      <c r="E14" s="275" t="str">
        <f>+'PRE INFANTIL GRUPOS'!C9</f>
        <v>JUDERCAR F. C.</v>
      </c>
      <c r="F14" s="276" t="str">
        <f>IF(AND(G14&lt;&gt;"",I14&lt;&gt;""),IF(G14=I14,"E",IF(G14&gt;I14,"G","P")),"")</f>
        <v>G</v>
      </c>
      <c r="G14" s="260">
        <v>6</v>
      </c>
      <c r="H14" s="277" t="s">
        <v>15</v>
      </c>
      <c r="I14" s="260">
        <v>0</v>
      </c>
      <c r="J14" s="276" t="str">
        <f>IF(AND(I14&lt;&gt;"",G14&lt;&gt;""),IF(I14=G14,"E",IF(I14&gt;G14,"G","P")),"")</f>
        <v>P</v>
      </c>
      <c r="K14" s="275" t="str">
        <f>+'PRE INFANTIL GRUPOS'!E9</f>
        <v>LIONTA F. C.</v>
      </c>
      <c r="L14" s="278"/>
      <c r="M14" s="104" t="s">
        <v>108</v>
      </c>
      <c r="N14" s="108"/>
      <c r="O14" s="60"/>
      <c r="P14" s="279" t="str">
        <f>"  3)  " &amp; VLOOKUP(3,$Z$10:$AI$17,2,0)</f>
        <v xml:space="preserve">  3)  JAGUARES F. C.</v>
      </c>
      <c r="Q14" s="281">
        <f>VLOOKUP(3,$Z$10:$AI$17,3,0)</f>
        <v>4</v>
      </c>
      <c r="R14" s="283">
        <f>+SUM(S14:U15)</f>
        <v>3</v>
      </c>
      <c r="S14" s="270">
        <f>VLOOKUP(3,$Z$10:$AI$17,4,0)</f>
        <v>1</v>
      </c>
      <c r="T14" s="270">
        <f>VLOOKUP(3,$Z$10:$AI$17,5,0)</f>
        <v>1</v>
      </c>
      <c r="U14" s="270">
        <f>VLOOKUP(3,$Z$10:$AI$17,6,0)</f>
        <v>1</v>
      </c>
      <c r="V14" s="270">
        <f>VLOOKUP(3,$Z$10:$AI$17,7,0)</f>
        <v>3</v>
      </c>
      <c r="W14" s="270">
        <f>VLOOKUP(3,$Z$10:$AI$17,8,0)</f>
        <v>5</v>
      </c>
      <c r="X14" s="270">
        <f>VLOOKUP(3,$Z$10:$AI$17,9,0)</f>
        <v>-2</v>
      </c>
      <c r="Y14" s="270">
        <f>VLOOKUP(3,$Z$10:$AI$17,10,0)</f>
        <v>0</v>
      </c>
      <c r="Z14" s="272">
        <f>RANK(AJ14,$AJ$10:$AJ$17,0)</f>
        <v>1</v>
      </c>
      <c r="AA14" s="265" t="str">
        <f>+'PRE INFANTIL GRUPOS'!C9</f>
        <v>JUDERCAR F. C.</v>
      </c>
      <c r="AB14" s="265">
        <f>(AC14*3)+AD14</f>
        <v>6</v>
      </c>
      <c r="AC14" s="265">
        <f>COUNTIF(Q60:T60,"G")</f>
        <v>2</v>
      </c>
      <c r="AD14" s="265">
        <f>COUNTIF(Q60:T60,"E")</f>
        <v>0</v>
      </c>
      <c r="AE14" s="265">
        <f>COUNTIF(Q60:T60,"P")</f>
        <v>1</v>
      </c>
      <c r="AF14" s="265">
        <f>+G14+I29+G26+I32</f>
        <v>9</v>
      </c>
      <c r="AG14" s="265">
        <f>+G29+I14+I26+G32</f>
        <v>1</v>
      </c>
      <c r="AH14" s="265">
        <f>AF14-AG14</f>
        <v>8</v>
      </c>
      <c r="AI14" s="267">
        <f>+A14+A26+N29+N32</f>
        <v>0</v>
      </c>
      <c r="AJ14" s="265">
        <f>(AB14*1000)+(AH14*100)+(AF14*10)-AI14+0.3</f>
        <v>6890.3</v>
      </c>
      <c r="AK14" s="268">
        <f>+X14</f>
        <v>-2</v>
      </c>
      <c r="AL14" s="3"/>
    </row>
    <row r="15" spans="1:38" ht="15" customHeight="1" x14ac:dyDescent="0.3">
      <c r="A15" s="58"/>
      <c r="B15" s="48"/>
      <c r="C15" s="44"/>
      <c r="D15" s="274"/>
      <c r="E15" s="275"/>
      <c r="F15" s="276"/>
      <c r="G15" s="261"/>
      <c r="H15" s="277"/>
      <c r="I15" s="261"/>
      <c r="J15" s="276"/>
      <c r="K15" s="275"/>
      <c r="L15" s="278"/>
      <c r="M15" s="46"/>
      <c r="N15" s="59"/>
      <c r="O15" s="59"/>
      <c r="P15" s="280"/>
      <c r="Q15" s="282"/>
      <c r="R15" s="284"/>
      <c r="S15" s="271"/>
      <c r="T15" s="271"/>
      <c r="U15" s="271"/>
      <c r="V15" s="271"/>
      <c r="W15" s="271"/>
      <c r="X15" s="271"/>
      <c r="Y15" s="271"/>
      <c r="Z15" s="273"/>
      <c r="AA15" s="266"/>
      <c r="AB15" s="266"/>
      <c r="AC15" s="266"/>
      <c r="AD15" s="266"/>
      <c r="AE15" s="266"/>
      <c r="AF15" s="266"/>
      <c r="AG15" s="266"/>
      <c r="AH15" s="266"/>
      <c r="AI15" s="266"/>
      <c r="AJ15" s="266"/>
      <c r="AK15" s="269"/>
      <c r="AL15" s="3"/>
    </row>
    <row r="16" spans="1:38" ht="21.75" customHeight="1" x14ac:dyDescent="0.3">
      <c r="A16" s="5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9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</row>
    <row r="17" spans="1:38" ht="15" customHeight="1" x14ac:dyDescent="0.3">
      <c r="A17" s="107"/>
      <c r="B17" s="49">
        <v>42967</v>
      </c>
      <c r="C17" s="45" t="s">
        <v>113</v>
      </c>
      <c r="D17" s="264"/>
      <c r="E17" s="258" t="str">
        <f>+'PRE INFANTIL GRUPOS'!C7</f>
        <v>JAGUARES F. C.</v>
      </c>
      <c r="F17" s="263" t="str">
        <f>IF(AND(G17&lt;&gt;"",I17&lt;&gt;""),IF(G17=I17,"E",IF(G17&gt;I17,"G","P")),"")</f>
        <v>G</v>
      </c>
      <c r="G17" s="260">
        <v>3</v>
      </c>
      <c r="H17" s="262" t="s">
        <v>15</v>
      </c>
      <c r="I17" s="260">
        <v>2</v>
      </c>
      <c r="J17" s="259" t="str">
        <f>IF(AND(I17&lt;&gt;"",G17&lt;&gt;""),IF(I17=G17,"E",IF(I17&gt;G17,"G","P")),"")</f>
        <v>P</v>
      </c>
      <c r="K17" s="258" t="str">
        <f>+'PRE INFANTIL GRUPOS'!C8</f>
        <v>TROYA F. C.</v>
      </c>
      <c r="L17" s="257"/>
      <c r="M17" s="105" t="s">
        <v>104</v>
      </c>
      <c r="N17" s="109"/>
      <c r="O17" s="60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</row>
    <row r="18" spans="1:38" ht="15" customHeight="1" x14ac:dyDescent="0.3">
      <c r="A18" s="58"/>
      <c r="B18" s="49"/>
      <c r="C18" s="45"/>
      <c r="D18" s="264"/>
      <c r="E18" s="258"/>
      <c r="F18" s="263"/>
      <c r="G18" s="261"/>
      <c r="H18" s="262"/>
      <c r="I18" s="261"/>
      <c r="J18" s="259"/>
      <c r="K18" s="258"/>
      <c r="L18" s="257"/>
      <c r="M18" s="47"/>
      <c r="N18" s="59"/>
      <c r="O18" s="59"/>
      <c r="P18" s="71"/>
      <c r="Q18" s="68"/>
      <c r="R18" s="68"/>
      <c r="S18" s="69"/>
      <c r="T18" s="69"/>
      <c r="U18" s="69"/>
      <c r="V18" s="69"/>
      <c r="W18" s="69"/>
      <c r="X18" s="69"/>
      <c r="Y18" s="69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25"/>
    </row>
    <row r="19" spans="1:38" s="3" customFormat="1" ht="15" customHeight="1" x14ac:dyDescent="0.3">
      <c r="A19" s="58"/>
      <c r="B19" s="182"/>
      <c r="C19" s="183"/>
      <c r="D19" s="184"/>
      <c r="E19" s="185"/>
      <c r="F19" s="186"/>
      <c r="J19" s="186"/>
      <c r="K19" s="185"/>
      <c r="L19" s="187"/>
      <c r="M19" s="167"/>
      <c r="N19" s="59"/>
      <c r="O19" s="59"/>
      <c r="P19" s="71"/>
      <c r="Q19" s="68"/>
      <c r="R19" s="68"/>
      <c r="S19" s="69"/>
      <c r="T19" s="69"/>
      <c r="U19" s="69"/>
      <c r="V19" s="69"/>
      <c r="W19" s="69"/>
      <c r="X19" s="69"/>
      <c r="Y19" s="69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25"/>
    </row>
    <row r="20" spans="1:38" ht="15" customHeight="1" x14ac:dyDescent="0.3">
      <c r="A20" s="106"/>
      <c r="B20" s="48"/>
      <c r="C20" s="44"/>
      <c r="D20" s="274"/>
      <c r="E20" s="275"/>
      <c r="F20" s="276" t="str">
        <f>IF(AND(G20&lt;&gt;"",I20&lt;&gt;""),IF(G20=I20,"E",IF(G20&gt;I20,"G","P")),"")</f>
        <v/>
      </c>
      <c r="G20" s="260"/>
      <c r="H20" s="277" t="s">
        <v>15</v>
      </c>
      <c r="I20" s="260"/>
      <c r="J20" s="276" t="str">
        <f>IF(AND(I20&lt;&gt;"",G20&lt;&gt;""),IF(I20=G20,"E",IF(I20&gt;G20,"G","P")),"")</f>
        <v/>
      </c>
      <c r="K20" s="275"/>
      <c r="L20" s="278"/>
      <c r="M20" s="104"/>
      <c r="N20" s="108"/>
      <c r="O20" s="60"/>
      <c r="P20" s="309"/>
      <c r="Q20" s="308"/>
      <c r="R20" s="301"/>
      <c r="S20" s="307"/>
      <c r="T20" s="307"/>
      <c r="U20" s="307"/>
      <c r="V20" s="307"/>
      <c r="W20" s="307"/>
      <c r="X20" s="307"/>
      <c r="Y20" s="307"/>
      <c r="Z20" s="289"/>
      <c r="AA20" s="25"/>
      <c r="AB20" s="289"/>
      <c r="AC20" s="289"/>
      <c r="AD20" s="289"/>
      <c r="AE20" s="289"/>
      <c r="AF20" s="289"/>
      <c r="AG20" s="289"/>
      <c r="AH20" s="289"/>
      <c r="AI20" s="25"/>
      <c r="AJ20" s="3"/>
      <c r="AK20" s="3"/>
      <c r="AL20" s="3"/>
    </row>
    <row r="21" spans="1:38" ht="15" customHeight="1" x14ac:dyDescent="0.3">
      <c r="A21" s="58"/>
      <c r="B21" s="48"/>
      <c r="C21" s="44"/>
      <c r="D21" s="274"/>
      <c r="E21" s="275"/>
      <c r="F21" s="276"/>
      <c r="G21" s="261"/>
      <c r="H21" s="277"/>
      <c r="I21" s="261"/>
      <c r="J21" s="276"/>
      <c r="K21" s="275"/>
      <c r="L21" s="278"/>
      <c r="M21" s="46"/>
      <c r="N21" s="59"/>
      <c r="O21" s="59"/>
      <c r="P21" s="309"/>
      <c r="Q21" s="308"/>
      <c r="R21" s="301"/>
      <c r="S21" s="307"/>
      <c r="T21" s="307"/>
      <c r="U21" s="307"/>
      <c r="V21" s="307"/>
      <c r="W21" s="307"/>
      <c r="X21" s="307"/>
      <c r="Y21" s="307"/>
      <c r="Z21" s="289"/>
      <c r="AA21" s="25"/>
      <c r="AB21" s="289"/>
      <c r="AC21" s="289"/>
      <c r="AD21" s="289"/>
      <c r="AE21" s="289"/>
      <c r="AF21" s="289"/>
      <c r="AG21" s="289"/>
      <c r="AH21" s="289"/>
      <c r="AI21" s="25"/>
      <c r="AJ21" s="3"/>
      <c r="AK21" s="3"/>
      <c r="AL21" s="3"/>
    </row>
    <row r="22" spans="1:38" ht="22.5" customHeight="1" x14ac:dyDescent="0.3">
      <c r="A22" s="5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9"/>
      <c r="P22" s="303"/>
      <c r="Q22" s="304"/>
      <c r="R22" s="302"/>
      <c r="S22" s="305"/>
      <c r="T22" s="305"/>
      <c r="U22" s="305"/>
      <c r="V22" s="305"/>
      <c r="W22" s="305"/>
      <c r="X22" s="305"/>
      <c r="Y22" s="305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15"/>
      <c r="AL22" s="3"/>
    </row>
    <row r="23" spans="1:38" ht="15.75" customHeight="1" x14ac:dyDescent="0.3">
      <c r="A23" s="107"/>
      <c r="B23" s="49"/>
      <c r="C23" s="45"/>
      <c r="D23" s="264"/>
      <c r="E23" s="258"/>
      <c r="F23" s="276" t="str">
        <f>IF(AND(G23&lt;&gt;"",I23&lt;&gt;""),IF(G23=I23,"E",IF(G23&gt;I23,"G","P")),"")</f>
        <v/>
      </c>
      <c r="G23" s="260"/>
      <c r="H23" s="277" t="s">
        <v>15</v>
      </c>
      <c r="I23" s="260"/>
      <c r="J23" s="276" t="str">
        <f>IF(AND(I23&lt;&gt;"",G23&lt;&gt;""),IF(I23=G23,"E",IF(I23&gt;G23,"G","P")),"")</f>
        <v/>
      </c>
      <c r="K23" s="258"/>
      <c r="L23" s="257"/>
      <c r="M23" s="105"/>
      <c r="N23" s="109"/>
      <c r="O23" s="60"/>
      <c r="P23" s="303"/>
      <c r="Q23" s="304"/>
      <c r="R23" s="302"/>
      <c r="S23" s="305"/>
      <c r="T23" s="305"/>
      <c r="U23" s="305"/>
      <c r="V23" s="305"/>
      <c r="W23" s="305"/>
      <c r="X23" s="305"/>
      <c r="Y23" s="305"/>
      <c r="Z23" s="306"/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  <c r="AK23" s="315"/>
      <c r="AL23" s="3"/>
    </row>
    <row r="24" spans="1:38" ht="15.75" customHeight="1" x14ac:dyDescent="0.3">
      <c r="A24" s="58"/>
      <c r="B24" s="49"/>
      <c r="C24" s="45"/>
      <c r="D24" s="264"/>
      <c r="E24" s="258"/>
      <c r="F24" s="276"/>
      <c r="G24" s="261"/>
      <c r="H24" s="277"/>
      <c r="I24" s="261"/>
      <c r="J24" s="276"/>
      <c r="K24" s="258"/>
      <c r="L24" s="257"/>
      <c r="M24" s="47"/>
      <c r="N24" s="59"/>
      <c r="O24" s="59"/>
      <c r="P24" s="303"/>
      <c r="Q24" s="304"/>
      <c r="R24" s="302"/>
      <c r="S24" s="305"/>
      <c r="T24" s="305"/>
      <c r="U24" s="305"/>
      <c r="V24" s="305"/>
      <c r="W24" s="305"/>
      <c r="X24" s="305"/>
      <c r="Y24" s="305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J24" s="306"/>
      <c r="AK24" s="315"/>
      <c r="AL24" s="3"/>
    </row>
    <row r="25" spans="1:38" ht="22.5" customHeight="1" x14ac:dyDescent="0.3">
      <c r="A25" s="5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9"/>
      <c r="P25" s="303"/>
      <c r="Q25" s="304"/>
      <c r="R25" s="302"/>
      <c r="S25" s="305"/>
      <c r="T25" s="305"/>
      <c r="U25" s="305"/>
      <c r="V25" s="305"/>
      <c r="W25" s="305"/>
      <c r="X25" s="305"/>
      <c r="Y25" s="305"/>
      <c r="Z25" s="306"/>
      <c r="AA25" s="306"/>
      <c r="AB25" s="306"/>
      <c r="AC25" s="306"/>
      <c r="AD25" s="306"/>
      <c r="AE25" s="306"/>
      <c r="AF25" s="306"/>
      <c r="AG25" s="306"/>
      <c r="AH25" s="306"/>
      <c r="AI25" s="306"/>
      <c r="AJ25" s="306"/>
      <c r="AK25" s="315"/>
      <c r="AL25" s="3"/>
    </row>
    <row r="26" spans="1:38" ht="15" customHeight="1" x14ac:dyDescent="0.3">
      <c r="A26" s="106"/>
      <c r="B26" s="48"/>
      <c r="C26" s="44"/>
      <c r="D26" s="274"/>
      <c r="E26" s="275"/>
      <c r="F26" s="276" t="str">
        <f>IF(AND(G26&lt;&gt;"",I26&lt;&gt;""),IF(G26=I26,"E",IF(G26&gt;I26,"G","P")),"")</f>
        <v/>
      </c>
      <c r="G26" s="260"/>
      <c r="H26" s="277" t="s">
        <v>15</v>
      </c>
      <c r="I26" s="260"/>
      <c r="J26" s="276" t="str">
        <f>IF(AND(I26&lt;&gt;"",G26&lt;&gt;""),IF(I26=G26,"E",IF(I26&gt;G26,"G","P")),"")</f>
        <v/>
      </c>
      <c r="K26" s="275"/>
      <c r="L26" s="278"/>
      <c r="M26" s="104"/>
      <c r="N26" s="108"/>
      <c r="O26" s="60"/>
      <c r="P26" s="303"/>
      <c r="Q26" s="304"/>
      <c r="R26" s="302"/>
      <c r="S26" s="305"/>
      <c r="T26" s="305"/>
      <c r="U26" s="305"/>
      <c r="V26" s="305"/>
      <c r="W26" s="305"/>
      <c r="X26" s="305"/>
      <c r="Y26" s="305"/>
      <c r="Z26" s="306"/>
      <c r="AA26" s="306"/>
      <c r="AB26" s="306"/>
      <c r="AC26" s="306"/>
      <c r="AD26" s="306"/>
      <c r="AE26" s="306"/>
      <c r="AF26" s="306"/>
      <c r="AG26" s="306"/>
      <c r="AH26" s="306"/>
      <c r="AI26" s="306"/>
      <c r="AJ26" s="306"/>
      <c r="AK26" s="315"/>
      <c r="AL26" s="3"/>
    </row>
    <row r="27" spans="1:38" ht="15" customHeight="1" x14ac:dyDescent="0.3">
      <c r="A27" s="58"/>
      <c r="B27" s="48"/>
      <c r="C27" s="44"/>
      <c r="D27" s="274"/>
      <c r="E27" s="275"/>
      <c r="F27" s="276"/>
      <c r="G27" s="261"/>
      <c r="H27" s="277"/>
      <c r="I27" s="261"/>
      <c r="J27" s="276"/>
      <c r="K27" s="275"/>
      <c r="L27" s="278"/>
      <c r="M27" s="46"/>
      <c r="N27" s="59"/>
      <c r="O27" s="59"/>
      <c r="P27" s="303"/>
      <c r="Q27" s="304"/>
      <c r="R27" s="302"/>
      <c r="S27" s="305"/>
      <c r="T27" s="305"/>
      <c r="U27" s="305"/>
      <c r="V27" s="305"/>
      <c r="W27" s="305"/>
      <c r="X27" s="305"/>
      <c r="Y27" s="305"/>
      <c r="Z27" s="306"/>
      <c r="AA27" s="306"/>
      <c r="AB27" s="306"/>
      <c r="AC27" s="306"/>
      <c r="AD27" s="306"/>
      <c r="AE27" s="306"/>
      <c r="AF27" s="306"/>
      <c r="AG27" s="306"/>
      <c r="AH27" s="306"/>
      <c r="AI27" s="306"/>
      <c r="AJ27" s="306"/>
      <c r="AK27" s="315"/>
      <c r="AL27" s="3"/>
    </row>
    <row r="28" spans="1:38" ht="21.75" customHeight="1" x14ac:dyDescent="0.3">
      <c r="A28" s="5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9"/>
      <c r="P28" s="303"/>
      <c r="Q28" s="304"/>
      <c r="R28" s="302"/>
      <c r="S28" s="305"/>
      <c r="T28" s="305"/>
      <c r="U28" s="305"/>
      <c r="V28" s="305"/>
      <c r="W28" s="305"/>
      <c r="X28" s="305"/>
      <c r="Y28" s="305"/>
      <c r="Z28" s="306"/>
      <c r="AA28" s="306"/>
      <c r="AB28" s="306"/>
      <c r="AC28" s="306"/>
      <c r="AD28" s="306"/>
      <c r="AE28" s="306"/>
      <c r="AF28" s="306"/>
      <c r="AG28" s="306"/>
      <c r="AH28" s="306"/>
      <c r="AI28" s="306"/>
      <c r="AJ28" s="306"/>
      <c r="AK28" s="315"/>
      <c r="AL28" s="3"/>
    </row>
    <row r="29" spans="1:38" ht="15" customHeight="1" x14ac:dyDescent="0.3">
      <c r="A29" s="107"/>
      <c r="B29" s="49">
        <v>42965</v>
      </c>
      <c r="C29" s="45" t="s">
        <v>105</v>
      </c>
      <c r="D29" s="264"/>
      <c r="E29" s="258" t="str">
        <f>+'PRE INFANTIL GRUPOS'!C7</f>
        <v>JAGUARES F. C.</v>
      </c>
      <c r="F29" s="276" t="str">
        <f>IF(AND(G29&lt;&gt;"",I29&lt;&gt;""),IF(G29=I29,"E",IF(G29&gt;I29,"G","P")),"")</f>
        <v>P</v>
      </c>
      <c r="G29" s="260">
        <v>0</v>
      </c>
      <c r="H29" s="277" t="s">
        <v>15</v>
      </c>
      <c r="I29" s="260">
        <v>3</v>
      </c>
      <c r="J29" s="276" t="str">
        <f>IF(AND(I29&lt;&gt;"",G29&lt;&gt;""),IF(I29=G29,"E",IF(I29&gt;G29,"G","P")),"")</f>
        <v>G</v>
      </c>
      <c r="K29" s="258" t="str">
        <f>+'PRE INFANTIL GRUPOS'!C9</f>
        <v>JUDERCAR F. C.</v>
      </c>
      <c r="L29" s="257"/>
      <c r="M29" s="105" t="s">
        <v>106</v>
      </c>
      <c r="N29" s="109"/>
      <c r="O29" s="60"/>
      <c r="P29" s="303"/>
      <c r="Q29" s="304"/>
      <c r="R29" s="302"/>
      <c r="S29" s="305"/>
      <c r="T29" s="305"/>
      <c r="U29" s="305"/>
      <c r="V29" s="305"/>
      <c r="W29" s="305"/>
      <c r="X29" s="305"/>
      <c r="Y29" s="305"/>
      <c r="Z29" s="306"/>
      <c r="AA29" s="306"/>
      <c r="AB29" s="306"/>
      <c r="AC29" s="306"/>
      <c r="AD29" s="306"/>
      <c r="AE29" s="306"/>
      <c r="AF29" s="306"/>
      <c r="AG29" s="306"/>
      <c r="AH29" s="306"/>
      <c r="AI29" s="306"/>
      <c r="AJ29" s="306"/>
      <c r="AK29" s="315"/>
      <c r="AL29" s="3"/>
    </row>
    <row r="30" spans="1:38" ht="15" customHeight="1" x14ac:dyDescent="0.3">
      <c r="A30" s="58"/>
      <c r="B30" s="49"/>
      <c r="C30" s="45"/>
      <c r="D30" s="264"/>
      <c r="E30" s="258"/>
      <c r="F30" s="276"/>
      <c r="G30" s="261"/>
      <c r="H30" s="277"/>
      <c r="I30" s="261"/>
      <c r="J30" s="276"/>
      <c r="K30" s="258"/>
      <c r="L30" s="257"/>
      <c r="M30" s="47"/>
      <c r="N30" s="59"/>
      <c r="O30" s="59"/>
      <c r="P30" s="71"/>
      <c r="Q30" s="68"/>
      <c r="R30" s="68"/>
      <c r="S30" s="69"/>
      <c r="T30" s="69"/>
      <c r="U30" s="69"/>
      <c r="V30" s="69"/>
      <c r="W30" s="69"/>
      <c r="X30" s="69"/>
      <c r="Y30" s="69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25"/>
    </row>
    <row r="31" spans="1:38" ht="22.5" customHeight="1" x14ac:dyDescent="0.3">
      <c r="A31" s="5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9"/>
      <c r="P31" s="67"/>
      <c r="Q31" s="68"/>
      <c r="R31" s="68"/>
      <c r="S31" s="69"/>
      <c r="T31" s="69"/>
      <c r="U31" s="69"/>
      <c r="V31" s="69"/>
      <c r="W31" s="69"/>
      <c r="X31" s="69"/>
      <c r="Y31" s="69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25"/>
    </row>
    <row r="32" spans="1:38" ht="15" customHeight="1" x14ac:dyDescent="0.3">
      <c r="A32" s="106"/>
      <c r="B32" s="48">
        <v>42967</v>
      </c>
      <c r="C32" s="44" t="s">
        <v>112</v>
      </c>
      <c r="D32" s="274"/>
      <c r="E32" s="275" t="str">
        <f>+'PRE INFANTIL GRUPOS'!C8</f>
        <v>TROYA F. C.</v>
      </c>
      <c r="F32" s="276" t="str">
        <f>IF(AND(G32&lt;&gt;"",I32&lt;&gt;""),IF(G32=I32,"E",IF(G32&gt;I32,"G","P")),"")</f>
        <v>G</v>
      </c>
      <c r="G32" s="260">
        <v>1</v>
      </c>
      <c r="H32" s="277" t="s">
        <v>15</v>
      </c>
      <c r="I32" s="260">
        <v>0</v>
      </c>
      <c r="J32" s="276" t="str">
        <f>IF(AND(I32&lt;&gt;"",G32&lt;&gt;""),IF(I32=G32,"E",IF(I32&gt;G32,"G","P")),"")</f>
        <v>P</v>
      </c>
      <c r="K32" s="275" t="str">
        <f>+'PRE INFANTIL GRUPOS'!C9</f>
        <v>JUDERCAR F. C.</v>
      </c>
      <c r="L32" s="278"/>
      <c r="M32" s="104" t="s">
        <v>104</v>
      </c>
      <c r="N32" s="108"/>
      <c r="O32" s="60"/>
      <c r="P32" s="71"/>
      <c r="Q32" s="68"/>
      <c r="R32" s="68"/>
      <c r="S32" s="69"/>
      <c r="T32" s="69"/>
      <c r="U32" s="69"/>
      <c r="V32" s="69"/>
      <c r="W32" s="69"/>
      <c r="X32" s="69"/>
      <c r="Y32" s="69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25"/>
    </row>
    <row r="33" spans="1:38" ht="15" customHeight="1" x14ac:dyDescent="0.3">
      <c r="A33" s="58"/>
      <c r="B33" s="48"/>
      <c r="C33" s="44"/>
      <c r="D33" s="274"/>
      <c r="E33" s="275"/>
      <c r="F33" s="276"/>
      <c r="G33" s="261"/>
      <c r="H33" s="277"/>
      <c r="I33" s="261"/>
      <c r="J33" s="276"/>
      <c r="K33" s="275"/>
      <c r="L33" s="278"/>
      <c r="M33" s="46"/>
      <c r="N33" s="59"/>
      <c r="O33" s="59"/>
      <c r="P33" s="300"/>
      <c r="Q33" s="300"/>
      <c r="R33" s="300"/>
      <c r="S33" s="300"/>
      <c r="T33" s="300"/>
      <c r="U33" s="25"/>
      <c r="V33" s="25"/>
      <c r="W33" s="25"/>
      <c r="X33" s="25"/>
      <c r="Y33" s="25"/>
      <c r="Z33" s="70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 spans="1:38" ht="22.5" customHeight="1" x14ac:dyDescent="0.3">
      <c r="A34" s="5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8"/>
      <c r="P34" s="25"/>
      <c r="Q34" s="25"/>
      <c r="R34" s="25"/>
      <c r="S34" s="25"/>
      <c r="T34" s="25"/>
      <c r="U34" s="25"/>
      <c r="V34" s="25"/>
      <c r="W34" s="25" t="e">
        <f>IF(AJ8=1,IF(P33="","",P33),IF(SUM(Q10:Q17)&gt;0,VLOOKUP(1,Z10:AA17,2,0),""))</f>
        <v>#N/A</v>
      </c>
      <c r="X34" s="25"/>
      <c r="Y34" s="25"/>
      <c r="Z34" s="70"/>
      <c r="AA34" s="25"/>
      <c r="AB34" s="25"/>
      <c r="AC34" s="70"/>
      <c r="AD34" s="70"/>
      <c r="AE34" s="70"/>
      <c r="AF34" s="70"/>
      <c r="AG34" s="70"/>
      <c r="AH34" s="70"/>
      <c r="AI34" s="25"/>
      <c r="AJ34" s="70"/>
      <c r="AK34" s="70"/>
      <c r="AL34" s="25"/>
    </row>
    <row r="35" spans="1:38" ht="15" customHeight="1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60"/>
      <c r="P35" s="25"/>
      <c r="Q35" s="25"/>
      <c r="R35" s="25"/>
      <c r="S35" s="25"/>
      <c r="T35" s="25"/>
      <c r="U35" s="25"/>
      <c r="V35" s="25"/>
      <c r="W35" s="25" t="e">
        <f>IF(AJ8=1,IF(P36="","",P36),IF(SUM(Q22:Q29)&gt;0,VLOOKUP(2,Z22:AA29,2,0),""))</f>
        <v>#N/A</v>
      </c>
      <c r="X35" s="25"/>
      <c r="Y35" s="25"/>
      <c r="Z35" s="70"/>
      <c r="AA35" s="25"/>
      <c r="AB35" s="25"/>
      <c r="AC35" s="70"/>
      <c r="AD35" s="70"/>
      <c r="AE35" s="70"/>
      <c r="AF35" s="70"/>
      <c r="AG35" s="70"/>
      <c r="AH35" s="70"/>
      <c r="AI35" s="25"/>
      <c r="AJ35" s="70"/>
      <c r="AK35" s="70"/>
      <c r="AL35" s="25"/>
    </row>
    <row r="36" spans="1:38" ht="15" customHeight="1" x14ac:dyDescent="0.3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300"/>
      <c r="Q36" s="300"/>
      <c r="R36" s="300"/>
      <c r="S36" s="300"/>
      <c r="T36" s="300"/>
      <c r="U36" s="25"/>
      <c r="V36" s="25"/>
      <c r="W36" s="25"/>
      <c r="X36" s="25"/>
      <c r="Y36" s="25"/>
      <c r="Z36" s="70"/>
      <c r="AA36" s="25"/>
      <c r="AB36" s="25"/>
      <c r="AC36" s="70"/>
      <c r="AD36" s="70"/>
      <c r="AE36" s="70"/>
      <c r="AF36" s="70"/>
      <c r="AG36" s="70"/>
      <c r="AH36" s="70"/>
      <c r="AI36" s="25"/>
      <c r="AJ36" s="70"/>
      <c r="AK36" s="70"/>
      <c r="AL36" s="25"/>
    </row>
    <row r="37" spans="1:38" x14ac:dyDescent="0.3">
      <c r="A37" s="5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2"/>
      <c r="O37" s="13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70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 spans="1:38" x14ac:dyDescent="0.3">
      <c r="A38" s="5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 spans="1:3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25"/>
      <c r="Q39" s="72"/>
      <c r="R39" s="72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 spans="1:3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13"/>
      <c r="AD40" s="13"/>
      <c r="AE40" s="13"/>
      <c r="AF40" s="13"/>
      <c r="AG40" s="13"/>
      <c r="AH40" s="13"/>
      <c r="AI40" s="13"/>
      <c r="AJ40" s="13"/>
      <c r="AK40" s="13"/>
      <c r="AL40" s="26"/>
    </row>
    <row r="41" spans="1:3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13"/>
      <c r="AD41" s="13"/>
      <c r="AE41" s="13"/>
      <c r="AF41" s="13"/>
      <c r="AG41" s="13"/>
      <c r="AH41" s="13"/>
      <c r="AI41" s="13"/>
      <c r="AJ41" s="13"/>
      <c r="AK41" s="13"/>
      <c r="AL41" s="26"/>
    </row>
    <row r="42" spans="1:3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13"/>
      <c r="AD42" s="13"/>
      <c r="AE42" s="13"/>
      <c r="AF42" s="13"/>
      <c r="AG42" s="13"/>
      <c r="AH42" s="13"/>
      <c r="AI42" s="13"/>
      <c r="AJ42" s="13"/>
      <c r="AK42" s="13"/>
      <c r="AL42" s="26"/>
    </row>
    <row r="43" spans="1:38" x14ac:dyDescent="0.3">
      <c r="B43" s="13"/>
      <c r="C43" s="13"/>
      <c r="D43" s="13"/>
      <c r="E43" s="13"/>
      <c r="F43" s="13"/>
      <c r="G43" s="13"/>
      <c r="H43" s="13"/>
      <c r="I43" s="13"/>
      <c r="J43" s="23" t="str">
        <f>IF(AG20=1,"Indique el primero y segundo equipos clasificados de la serie:","")</f>
        <v/>
      </c>
      <c r="K43" s="13"/>
      <c r="L43" s="23" t="str">
        <f>IF(AG20=1,"Primero:","")</f>
        <v/>
      </c>
      <c r="M43" s="13"/>
      <c r="N43" s="22"/>
      <c r="O43" s="22"/>
      <c r="P43" s="73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13"/>
      <c r="AD43" s="13"/>
      <c r="AE43" s="13"/>
      <c r="AF43" s="13"/>
      <c r="AG43" s="13"/>
      <c r="AH43" s="13"/>
      <c r="AI43" s="13"/>
      <c r="AJ43" s="13"/>
      <c r="AK43" s="13"/>
      <c r="AL43" s="26"/>
    </row>
    <row r="44" spans="1:3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2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26"/>
    </row>
    <row r="45" spans="1:3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2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26"/>
    </row>
    <row r="46" spans="1:38" x14ac:dyDescent="0.3">
      <c r="B46" s="13"/>
      <c r="C46" s="13"/>
      <c r="D46" s="13"/>
      <c r="E46" s="13"/>
      <c r="F46" s="13"/>
      <c r="G46" s="13"/>
      <c r="H46" s="13"/>
      <c r="I46" s="13"/>
      <c r="J46" s="24" t="str">
        <f>IF(AG20=1,"(Debido a la paridad de los resultados, no pueden deducirse de forma automática.)","")</f>
        <v/>
      </c>
      <c r="K46" s="13"/>
      <c r="L46" s="23" t="str">
        <f>IF(AG20=1,"Segundo:","")</f>
        <v/>
      </c>
      <c r="M46" s="13"/>
      <c r="N46" s="22"/>
      <c r="O46" s="22"/>
      <c r="P46" s="2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26"/>
    </row>
    <row r="58" spans="16:20" x14ac:dyDescent="0.3">
      <c r="P58" s="118" t="str">
        <f>+'PRE INFANTIL GRUPOS'!C7</f>
        <v>JAGUARES F. C.</v>
      </c>
      <c r="Q58" s="117" t="str">
        <f>+F8</f>
        <v>E</v>
      </c>
      <c r="R58" s="117" t="str">
        <f>+F17</f>
        <v>G</v>
      </c>
      <c r="S58" s="117" t="str">
        <f>+F20</f>
        <v/>
      </c>
      <c r="T58" s="117" t="str">
        <f>+F29</f>
        <v>P</v>
      </c>
    </row>
    <row r="59" spans="16:20" x14ac:dyDescent="0.3">
      <c r="P59" s="118" t="str">
        <f>+'PRE INFANTIL GRUPOS'!C8</f>
        <v>TROYA F. C.</v>
      </c>
      <c r="Q59" s="117" t="str">
        <f>+F11</f>
        <v>G</v>
      </c>
      <c r="R59" s="117" t="str">
        <f>+J17</f>
        <v>P</v>
      </c>
      <c r="S59" s="117" t="str">
        <f>+F23</f>
        <v/>
      </c>
      <c r="T59" s="117" t="str">
        <f>+F32</f>
        <v>G</v>
      </c>
    </row>
    <row r="60" spans="16:20" x14ac:dyDescent="0.3">
      <c r="P60" s="118" t="str">
        <f>+'PRE INFANTIL GRUPOS'!C9</f>
        <v>JUDERCAR F. C.</v>
      </c>
      <c r="Q60" s="117" t="str">
        <f>+F14</f>
        <v>G</v>
      </c>
      <c r="R60" s="117" t="str">
        <f>+F26</f>
        <v/>
      </c>
      <c r="S60" s="117" t="str">
        <f>+J29</f>
        <v>G</v>
      </c>
      <c r="T60" s="117" t="str">
        <f>+J32</f>
        <v>P</v>
      </c>
    </row>
  </sheetData>
  <mergeCells count="281">
    <mergeCell ref="A1:N1"/>
    <mergeCell ref="A2:N2"/>
    <mergeCell ref="B3:E3"/>
    <mergeCell ref="P6:Y6"/>
    <mergeCell ref="AJ28:AJ29"/>
    <mergeCell ref="AK28:AK29"/>
    <mergeCell ref="E20:E21"/>
    <mergeCell ref="E23:E24"/>
    <mergeCell ref="E26:E27"/>
    <mergeCell ref="E29:E30"/>
    <mergeCell ref="Z20:Z21"/>
    <mergeCell ref="AJ8:AJ9"/>
    <mergeCell ref="AJ22:AJ23"/>
    <mergeCell ref="AK22:AK23"/>
    <mergeCell ref="AJ24:AJ25"/>
    <mergeCell ref="AK24:AK25"/>
    <mergeCell ref="AJ26:AJ27"/>
    <mergeCell ref="AK26:AK27"/>
    <mergeCell ref="AG20:AG21"/>
    <mergeCell ref="W26:W27"/>
    <mergeCell ref="B6:M6"/>
    <mergeCell ref="D20:D21"/>
    <mergeCell ref="U22:U23"/>
    <mergeCell ref="AH20:AH21"/>
    <mergeCell ref="K20:K21"/>
    <mergeCell ref="K23:K24"/>
    <mergeCell ref="K26:K27"/>
    <mergeCell ref="K29:K30"/>
    <mergeCell ref="K32:K33"/>
    <mergeCell ref="P20:P21"/>
    <mergeCell ref="J32:J33"/>
    <mergeCell ref="L32:L33"/>
    <mergeCell ref="L26:L27"/>
    <mergeCell ref="J26:J27"/>
    <mergeCell ref="J23:J24"/>
    <mergeCell ref="L23:L24"/>
    <mergeCell ref="J29:J30"/>
    <mergeCell ref="L29:L30"/>
    <mergeCell ref="W20:W21"/>
    <mergeCell ref="X20:X21"/>
    <mergeCell ref="Y20:Y21"/>
    <mergeCell ref="AB20:AB21"/>
    <mergeCell ref="Q20:Q21"/>
    <mergeCell ref="S20:S21"/>
    <mergeCell ref="T20:T21"/>
    <mergeCell ref="U20:U21"/>
    <mergeCell ref="AB22:AB23"/>
    <mergeCell ref="V20:V21"/>
    <mergeCell ref="AD20:AD21"/>
    <mergeCell ref="AE20:AE21"/>
    <mergeCell ref="AF20:AF21"/>
    <mergeCell ref="AC26:AC27"/>
    <mergeCell ref="AD26:AD27"/>
    <mergeCell ref="AE26:AE27"/>
    <mergeCell ref="AD24:AD25"/>
    <mergeCell ref="AE24:AE25"/>
    <mergeCell ref="AF24:AF25"/>
    <mergeCell ref="D32:D33"/>
    <mergeCell ref="F32:F33"/>
    <mergeCell ref="G32:G33"/>
    <mergeCell ref="H32:H33"/>
    <mergeCell ref="I32:I33"/>
    <mergeCell ref="E32:E33"/>
    <mergeCell ref="AG28:AG29"/>
    <mergeCell ref="F20:F21"/>
    <mergeCell ref="G20:G21"/>
    <mergeCell ref="H20:H21"/>
    <mergeCell ref="I20:I21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2:AC23"/>
    <mergeCell ref="AD22:AD23"/>
    <mergeCell ref="AE22:AE23"/>
    <mergeCell ref="AC20:AC21"/>
    <mergeCell ref="H29:H30"/>
    <mergeCell ref="I29:I30"/>
    <mergeCell ref="I26:I27"/>
    <mergeCell ref="G26:G27"/>
    <mergeCell ref="H26:H27"/>
    <mergeCell ref="G23:G24"/>
    <mergeCell ref="H23:H24"/>
    <mergeCell ref="I23:I24"/>
    <mergeCell ref="AH22:AH23"/>
    <mergeCell ref="AH28:AH29"/>
    <mergeCell ref="AI22:AI23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Y22:Y23"/>
    <mergeCell ref="Z22:Z23"/>
    <mergeCell ref="AA22:AA23"/>
    <mergeCell ref="P22:P23"/>
    <mergeCell ref="Q22:Q23"/>
    <mergeCell ref="S22:S23"/>
    <mergeCell ref="T22:T23"/>
    <mergeCell ref="AH24:AH25"/>
    <mergeCell ref="W24:W25"/>
    <mergeCell ref="X24:X25"/>
    <mergeCell ref="AF22:AF23"/>
    <mergeCell ref="AG22:AG23"/>
    <mergeCell ref="AG24:AG25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F23:F24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AF14:AF15"/>
    <mergeCell ref="AG14:AG15"/>
    <mergeCell ref="AH14:AH15"/>
    <mergeCell ref="AI14:AI15"/>
    <mergeCell ref="AJ14:AJ15"/>
    <mergeCell ref="AK14:AK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L17:L18"/>
    <mergeCell ref="K17:K18"/>
    <mergeCell ref="J17:J18"/>
    <mergeCell ref="I17:I18"/>
    <mergeCell ref="H17:H18"/>
    <mergeCell ref="G17:G18"/>
    <mergeCell ref="F17:F18"/>
    <mergeCell ref="E17:E18"/>
    <mergeCell ref="D17:D18"/>
  </mergeCells>
  <conditionalFormatting sqref="G8:G9">
    <cfRule type="expression" dxfId="383" priority="22" stopIfTrue="1">
      <formula>F8="P"</formula>
    </cfRule>
    <cfRule type="expression" dxfId="382" priority="23" stopIfTrue="1">
      <formula>F8="E"</formula>
    </cfRule>
    <cfRule type="expression" dxfId="381" priority="24" stopIfTrue="1">
      <formula>F8="G"</formula>
    </cfRule>
  </conditionalFormatting>
  <conditionalFormatting sqref="G11:G12">
    <cfRule type="expression" dxfId="380" priority="7" stopIfTrue="1">
      <formula>F11="P"</formula>
    </cfRule>
    <cfRule type="expression" dxfId="379" priority="8" stopIfTrue="1">
      <formula>F11="E"</formula>
    </cfRule>
    <cfRule type="expression" dxfId="378" priority="9" stopIfTrue="1">
      <formula>F11="G"</formula>
    </cfRule>
  </conditionalFormatting>
  <conditionalFormatting sqref="G14:G15">
    <cfRule type="expression" dxfId="377" priority="4" stopIfTrue="1">
      <formula>F14="P"</formula>
    </cfRule>
    <cfRule type="expression" dxfId="376" priority="5" stopIfTrue="1">
      <formula>F14="E"</formula>
    </cfRule>
    <cfRule type="expression" dxfId="375" priority="6" stopIfTrue="1">
      <formula>F14="G"</formula>
    </cfRule>
  </conditionalFormatting>
  <conditionalFormatting sqref="G17:G18">
    <cfRule type="expression" dxfId="374" priority="2" stopIfTrue="1">
      <formula>F17="E"</formula>
    </cfRule>
    <cfRule type="expression" dxfId="373" priority="3" stopIfTrue="1">
      <formula>F17="G"</formula>
    </cfRule>
    <cfRule type="expression" dxfId="372" priority="1" stopIfTrue="1">
      <formula>F17="P"</formula>
    </cfRule>
  </conditionalFormatting>
  <conditionalFormatting sqref="G20:G21">
    <cfRule type="expression" dxfId="371" priority="59" stopIfTrue="1">
      <formula>F20="E"</formula>
    </cfRule>
    <cfRule type="expression" dxfId="370" priority="58" stopIfTrue="1">
      <formula>F20="P"</formula>
    </cfRule>
    <cfRule type="expression" dxfId="369" priority="60" stopIfTrue="1">
      <formula>F20="G"</formula>
    </cfRule>
  </conditionalFormatting>
  <conditionalFormatting sqref="G23:G24">
    <cfRule type="expression" dxfId="368" priority="37" stopIfTrue="1">
      <formula>F23="P"</formula>
    </cfRule>
    <cfRule type="expression" dxfId="367" priority="38" stopIfTrue="1">
      <formula>F23="E"</formula>
    </cfRule>
    <cfRule type="expression" dxfId="366" priority="39" stopIfTrue="1">
      <formula>F23="G"</formula>
    </cfRule>
  </conditionalFormatting>
  <conditionalFormatting sqref="G26:G27">
    <cfRule type="expression" dxfId="365" priority="34" stopIfTrue="1">
      <formula>F26="P"</formula>
    </cfRule>
    <cfRule type="expression" dxfId="364" priority="35" stopIfTrue="1">
      <formula>F26="E"</formula>
    </cfRule>
    <cfRule type="expression" dxfId="363" priority="36" stopIfTrue="1">
      <formula>F26="G"</formula>
    </cfRule>
  </conditionalFormatting>
  <conditionalFormatting sqref="G29:G30">
    <cfRule type="expression" dxfId="362" priority="31" stopIfTrue="1">
      <formula>F29="P"</formula>
    </cfRule>
    <cfRule type="expression" dxfId="361" priority="32" stopIfTrue="1">
      <formula>F29="E"</formula>
    </cfRule>
    <cfRule type="expression" dxfId="360" priority="33" stopIfTrue="1">
      <formula>F29="G"</formula>
    </cfRule>
  </conditionalFormatting>
  <conditionalFormatting sqref="G32:G33">
    <cfRule type="expression" dxfId="359" priority="30" stopIfTrue="1">
      <formula>F32="G"</formula>
    </cfRule>
    <cfRule type="expression" dxfId="358" priority="29" stopIfTrue="1">
      <formula>F32="E"</formula>
    </cfRule>
    <cfRule type="expression" dxfId="357" priority="28" stopIfTrue="1">
      <formula>F32="P"</formula>
    </cfRule>
  </conditionalFormatting>
  <conditionalFormatting sqref="I8:I9">
    <cfRule type="expression" dxfId="356" priority="10" stopIfTrue="1">
      <formula>J8="P"</formula>
    </cfRule>
    <cfRule type="expression" dxfId="355" priority="11" stopIfTrue="1">
      <formula>J8="E"</formula>
    </cfRule>
    <cfRule type="expression" dxfId="354" priority="12" stopIfTrue="1">
      <formula>J8="G"</formula>
    </cfRule>
  </conditionalFormatting>
  <conditionalFormatting sqref="I11:I12">
    <cfRule type="expression" dxfId="353" priority="13" stopIfTrue="1">
      <formula>J11="P"</formula>
    </cfRule>
    <cfRule type="expression" dxfId="352" priority="14" stopIfTrue="1">
      <formula>J11="E"</formula>
    </cfRule>
    <cfRule type="expression" dxfId="351" priority="15" stopIfTrue="1">
      <formula>J11="G"</formula>
    </cfRule>
  </conditionalFormatting>
  <conditionalFormatting sqref="I14:I15">
    <cfRule type="expression" dxfId="350" priority="16" stopIfTrue="1">
      <formula>J14="P"</formula>
    </cfRule>
    <cfRule type="expression" dxfId="349" priority="17" stopIfTrue="1">
      <formula>J14="E"</formula>
    </cfRule>
    <cfRule type="expression" dxfId="348" priority="18" stopIfTrue="1">
      <formula>J14="G"</formula>
    </cfRule>
  </conditionalFormatting>
  <conditionalFormatting sqref="I17:I18">
    <cfRule type="expression" dxfId="347" priority="19" stopIfTrue="1">
      <formula>J17="P"</formula>
    </cfRule>
    <cfRule type="expression" dxfId="346" priority="20" stopIfTrue="1">
      <formula>J17="E"</formula>
    </cfRule>
    <cfRule type="expression" dxfId="345" priority="21" stopIfTrue="1">
      <formula>J17="G"</formula>
    </cfRule>
  </conditionalFormatting>
  <conditionalFormatting sqref="I20:I21">
    <cfRule type="expression" dxfId="344" priority="43" stopIfTrue="1">
      <formula>J20="P"</formula>
    </cfRule>
    <cfRule type="expression" dxfId="343" priority="44" stopIfTrue="1">
      <formula>J20="E"</formula>
    </cfRule>
    <cfRule type="expression" dxfId="342" priority="45" stopIfTrue="1">
      <formula>J20="G"</formula>
    </cfRule>
  </conditionalFormatting>
  <conditionalFormatting sqref="I23:I24">
    <cfRule type="expression" dxfId="341" priority="48" stopIfTrue="1">
      <formula>J23="G"</formula>
    </cfRule>
    <cfRule type="expression" dxfId="340" priority="47" stopIfTrue="1">
      <formula>J23="E"</formula>
    </cfRule>
    <cfRule type="expression" dxfId="339" priority="46" stopIfTrue="1">
      <formula>J23="P"</formula>
    </cfRule>
  </conditionalFormatting>
  <conditionalFormatting sqref="I26:I27">
    <cfRule type="expression" dxfId="338" priority="49" stopIfTrue="1">
      <formula>J26="P"</formula>
    </cfRule>
    <cfRule type="expression" dxfId="337" priority="50" stopIfTrue="1">
      <formula>J26="E"</formula>
    </cfRule>
    <cfRule type="expression" dxfId="336" priority="51" stopIfTrue="1">
      <formula>J26="G"</formula>
    </cfRule>
  </conditionalFormatting>
  <conditionalFormatting sqref="I29:I30">
    <cfRule type="expression" dxfId="335" priority="52" stopIfTrue="1">
      <formula>J29="P"</formula>
    </cfRule>
    <cfRule type="expression" dxfId="334" priority="53" stopIfTrue="1">
      <formula>J29="E"</formula>
    </cfRule>
    <cfRule type="expression" dxfId="333" priority="54" stopIfTrue="1">
      <formula>J29="G"</formula>
    </cfRule>
  </conditionalFormatting>
  <conditionalFormatting sqref="I32:I33">
    <cfRule type="expression" dxfId="332" priority="55" stopIfTrue="1">
      <formula>J32="P"</formula>
    </cfRule>
    <cfRule type="expression" dxfId="331" priority="56" stopIfTrue="1">
      <formula>J32="E"</formula>
    </cfRule>
    <cfRule type="expression" dxfId="330" priority="57" stopIfTrue="1">
      <formula>J32="G"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60"/>
  <sheetViews>
    <sheetView topLeftCell="A10" zoomScale="90" zoomScaleNormal="90" workbookViewId="0">
      <selection activeCell="I19" sqref="I19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2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10" t="str">
        <f>+'PRE INFANTIL GRUPOS'!C1</f>
        <v>XVIII Campeonato Nacional de Fútbol Infantil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</row>
    <row r="2" spans="1:38" s="3" customFormat="1" ht="24.6" x14ac:dyDescent="0.3">
      <c r="A2" s="311" t="s">
        <v>6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</row>
    <row r="3" spans="1:38" s="3" customFormat="1" ht="34.5" customHeight="1" x14ac:dyDescent="0.65">
      <c r="B3" s="324" t="str">
        <f>+'PRE INFANTIL GRUPOS'!C3</f>
        <v>DICIEMBRE 4 AL 6 DEL 2024</v>
      </c>
      <c r="C3" s="324"/>
      <c r="D3" s="324"/>
      <c r="E3" s="324"/>
      <c r="F3" s="297" t="str">
        <f>+'PRE INFANTIL GRUPOS'!C4</f>
        <v>NACIDOS 2010 2011</v>
      </c>
      <c r="G3" s="297"/>
      <c r="H3" s="297"/>
      <c r="I3" s="297"/>
      <c r="J3" s="297"/>
      <c r="K3" s="297"/>
      <c r="Y3" s="57"/>
      <c r="Z3" s="39"/>
    </row>
    <row r="4" spans="1:38" s="3" customFormat="1" ht="30.6" customHeight="1" x14ac:dyDescent="0.3">
      <c r="B4" s="325" t="str">
        <f>+'PRE INFANTIL GRUPOS'!E6</f>
        <v>GRUPO B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Y4" s="41"/>
      <c r="Z4" s="40"/>
    </row>
    <row r="5" spans="1:38" s="3" customFormat="1" ht="15" customHeight="1" x14ac:dyDescent="0.3"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S5" s="1"/>
    </row>
    <row r="6" spans="1:38" ht="21.75" customHeight="1" x14ac:dyDescent="0.45">
      <c r="A6" s="1"/>
      <c r="B6" s="316" t="s">
        <v>4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16"/>
      <c r="O6" s="16"/>
      <c r="P6" s="313" t="s">
        <v>14</v>
      </c>
      <c r="Q6" s="314"/>
      <c r="R6" s="314"/>
      <c r="S6" s="314"/>
      <c r="T6" s="314"/>
      <c r="U6" s="314"/>
      <c r="V6" s="314"/>
      <c r="W6" s="314"/>
      <c r="X6" s="314"/>
      <c r="Y6" s="314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1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1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6"/>
      <c r="B8" s="48">
        <f>+'GRUPO A'!B8</f>
        <v>42966</v>
      </c>
      <c r="C8" s="44" t="str">
        <f>+'GRUPO A'!C8</f>
        <v>04:40. p.m.</v>
      </c>
      <c r="D8" s="274"/>
      <c r="E8" s="275" t="str">
        <f>+'GRUPO A'!E8:E9</f>
        <v>JAGUARES F. C.</v>
      </c>
      <c r="F8" s="276" t="str">
        <f>IF(AND(G8&lt;&gt;"",I8&lt;&gt;""),IF(G8=I8,"E",IF(G8&gt;I8,"G","P")),"")</f>
        <v>E</v>
      </c>
      <c r="G8" s="318">
        <v>0</v>
      </c>
      <c r="H8" s="277" t="s">
        <v>15</v>
      </c>
      <c r="I8" s="318">
        <v>0</v>
      </c>
      <c r="J8" s="276" t="str">
        <f>IF(AND(I8&lt;&gt;"",G8&lt;&gt;""),IF(I8=G8,"E",IF(I8&gt;G8,"G","P")),"")</f>
        <v>E</v>
      </c>
      <c r="K8" s="275" t="str">
        <f>+'GRUPO A'!K8:K9</f>
        <v>GOLDEN STEPS</v>
      </c>
      <c r="L8" s="278"/>
      <c r="M8" s="104" t="str">
        <f>+'GRUPO A'!M8</f>
        <v>CANCHA 1 C</v>
      </c>
      <c r="N8" s="108"/>
      <c r="O8" s="60"/>
      <c r="P8" s="291"/>
      <c r="Q8" s="293" t="s">
        <v>7</v>
      </c>
      <c r="R8" s="295" t="s">
        <v>16</v>
      </c>
      <c r="S8" s="285" t="s">
        <v>8</v>
      </c>
      <c r="T8" s="285" t="s">
        <v>9</v>
      </c>
      <c r="U8" s="285" t="s">
        <v>10</v>
      </c>
      <c r="V8" s="285" t="s">
        <v>11</v>
      </c>
      <c r="W8" s="285" t="s">
        <v>12</v>
      </c>
      <c r="X8" s="285" t="s">
        <v>13</v>
      </c>
      <c r="Y8" s="285" t="s">
        <v>35</v>
      </c>
      <c r="Z8" s="287"/>
      <c r="AA8" s="25"/>
      <c r="AB8" s="289"/>
      <c r="AC8" s="289"/>
      <c r="AD8" s="289"/>
      <c r="AE8" s="289"/>
      <c r="AF8" s="289"/>
      <c r="AG8" s="289"/>
      <c r="AH8" s="289"/>
      <c r="AI8" s="25"/>
      <c r="AJ8" s="289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58"/>
      <c r="B9" s="48"/>
      <c r="C9" s="44"/>
      <c r="D9" s="274"/>
      <c r="E9" s="275"/>
      <c r="F9" s="276"/>
      <c r="G9" s="319"/>
      <c r="H9" s="277"/>
      <c r="I9" s="319"/>
      <c r="J9" s="276"/>
      <c r="K9" s="275"/>
      <c r="L9" s="278"/>
      <c r="M9" s="46"/>
      <c r="N9" s="59"/>
      <c r="O9" s="59"/>
      <c r="P9" s="292"/>
      <c r="Q9" s="294"/>
      <c r="R9" s="296"/>
      <c r="S9" s="286"/>
      <c r="T9" s="286"/>
      <c r="U9" s="286"/>
      <c r="V9" s="286"/>
      <c r="W9" s="286"/>
      <c r="X9" s="286"/>
      <c r="Y9" s="286"/>
      <c r="Z9" s="288"/>
      <c r="AA9" s="25"/>
      <c r="AB9" s="290"/>
      <c r="AC9" s="290"/>
      <c r="AD9" s="290"/>
      <c r="AE9" s="290"/>
      <c r="AF9" s="290"/>
      <c r="AG9" s="290"/>
      <c r="AH9" s="290"/>
      <c r="AI9" s="25"/>
      <c r="AJ9" s="290"/>
      <c r="AK9" s="3"/>
      <c r="AL9" s="3"/>
    </row>
    <row r="10" spans="1:38" ht="22.5" customHeight="1" x14ac:dyDescent="0.3">
      <c r="A10" s="5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9"/>
      <c r="P10" s="321" t="str">
        <f>"  1)  " &amp; VLOOKUP(1,$Z$10:$AI$17,2,0)</f>
        <v xml:space="preserve">  1)  ATHLETIC MELGAR</v>
      </c>
      <c r="Q10" s="281">
        <f>VLOOKUP(1,$Z$10:$AI$17,3,0)</f>
        <v>6</v>
      </c>
      <c r="R10" s="283">
        <f>+SUM(S10:U11)</f>
        <v>3</v>
      </c>
      <c r="S10" s="270">
        <f>VLOOKUP(1,$Z$10:$AI$17,4,0)</f>
        <v>2</v>
      </c>
      <c r="T10" s="270">
        <f>VLOOKUP(1,$Z$10:$AI$17,5,0)</f>
        <v>0</v>
      </c>
      <c r="U10" s="270">
        <f>VLOOKUP(1,$Z$10:$AI$17,6,0)</f>
        <v>1</v>
      </c>
      <c r="V10" s="270">
        <f>VLOOKUP(1,$Z$10:$AI$17,7,0)</f>
        <v>9</v>
      </c>
      <c r="W10" s="270">
        <f>VLOOKUP(1,$Z$10:$AI$17,8,0)</f>
        <v>2</v>
      </c>
      <c r="X10" s="270">
        <f>VLOOKUP(1,$Z$10:$AH$17,9,0)</f>
        <v>7</v>
      </c>
      <c r="Y10" s="270">
        <f>VLOOKUP(1,$Z$10:$AI$17,10,0)</f>
        <v>0</v>
      </c>
      <c r="Z10" s="272">
        <f>RANK(AJ10,$AJ$10:$AJ$17,0)</f>
        <v>2</v>
      </c>
      <c r="AA10" s="265" t="str">
        <f>+'PRE INFANTIL GRUPOS'!E7</f>
        <v>GOLDEN STEPS</v>
      </c>
      <c r="AB10" s="265">
        <f>(AC10*3)+AD10</f>
        <v>4</v>
      </c>
      <c r="AC10" s="265">
        <f>COUNTIF(Q58:T58,"G")</f>
        <v>1</v>
      </c>
      <c r="AD10" s="265">
        <f>COUNTIF(Q58:T58,"E")</f>
        <v>1</v>
      </c>
      <c r="AE10" s="265">
        <f>COUNTIF(Q58:T58,"P")</f>
        <v>1</v>
      </c>
      <c r="AF10" s="265">
        <f>+I8+G20+G29+G17</f>
        <v>4</v>
      </c>
      <c r="AG10" s="265">
        <f>+I17+I20+I29+G8</f>
        <v>5</v>
      </c>
      <c r="AH10" s="265">
        <f>AF10-AG10</f>
        <v>-1</v>
      </c>
      <c r="AI10" s="267">
        <f>+A17+A20+A29+N8</f>
        <v>0</v>
      </c>
      <c r="AJ10" s="265">
        <f>(AB10*1000)+(AH10*100)+(AF10*10)-AI10+0.1</f>
        <v>3940.1</v>
      </c>
      <c r="AK10" s="268">
        <f>AJ10+X10</f>
        <v>3947.1</v>
      </c>
      <c r="AL10" s="3"/>
    </row>
    <row r="11" spans="1:38" ht="15.75" customHeight="1" x14ac:dyDescent="0.3">
      <c r="A11" s="107"/>
      <c r="B11" s="49">
        <f>+'GRUPO A'!B11</f>
        <v>42965</v>
      </c>
      <c r="C11" s="45" t="str">
        <f>+'GRUPO A'!C11</f>
        <v>11:55. a.m.</v>
      </c>
      <c r="D11" s="264"/>
      <c r="E11" s="258" t="str">
        <f>+'GRUPO A'!E11:E12</f>
        <v>TROYA F. C.</v>
      </c>
      <c r="F11" s="276" t="str">
        <f>IF(AND(G11&lt;&gt;"",I11&lt;&gt;""),IF(G11=I11,"E",IF(G11&gt;I11,"G","P")),"")</f>
        <v>G</v>
      </c>
      <c r="G11" s="318">
        <v>1</v>
      </c>
      <c r="H11" s="277" t="s">
        <v>15</v>
      </c>
      <c r="I11" s="318">
        <v>0</v>
      </c>
      <c r="J11" s="276" t="str">
        <f>IF(AND(I11&lt;&gt;"",G11&lt;&gt;""),IF(I11=G11,"E",IF(I11&gt;G11,"G","P")),"")</f>
        <v>P</v>
      </c>
      <c r="K11" s="258" t="str">
        <f>+'GRUPO A'!K11:K12</f>
        <v>ATHLETIC MELGAR</v>
      </c>
      <c r="L11" s="257"/>
      <c r="M11" s="105" t="str">
        <f>+'GRUPO A'!M11</f>
        <v>CANCHA 1 A</v>
      </c>
      <c r="N11" s="109"/>
      <c r="O11" s="60"/>
      <c r="P11" s="322"/>
      <c r="Q11" s="282"/>
      <c r="R11" s="284"/>
      <c r="S11" s="271"/>
      <c r="T11" s="271"/>
      <c r="U11" s="271"/>
      <c r="V11" s="271"/>
      <c r="W11" s="271"/>
      <c r="X11" s="271"/>
      <c r="Y11" s="271"/>
      <c r="Z11" s="273"/>
      <c r="AA11" s="266"/>
      <c r="AB11" s="266"/>
      <c r="AC11" s="266"/>
      <c r="AD11" s="266"/>
      <c r="AE11" s="266"/>
      <c r="AF11" s="266"/>
      <c r="AG11" s="266"/>
      <c r="AH11" s="266"/>
      <c r="AI11" s="323"/>
      <c r="AJ11" s="266"/>
      <c r="AK11" s="269"/>
      <c r="AL11" s="3"/>
    </row>
    <row r="12" spans="1:38" ht="15.75" customHeight="1" x14ac:dyDescent="0.3">
      <c r="A12" s="58"/>
      <c r="B12" s="49"/>
      <c r="C12" s="45"/>
      <c r="D12" s="264"/>
      <c r="E12" s="258"/>
      <c r="F12" s="276"/>
      <c r="G12" s="319"/>
      <c r="H12" s="277"/>
      <c r="I12" s="319"/>
      <c r="J12" s="276"/>
      <c r="K12" s="258"/>
      <c r="L12" s="257"/>
      <c r="M12" s="47"/>
      <c r="N12" s="59"/>
      <c r="O12" s="59"/>
      <c r="P12" s="321" t="str">
        <f>"  2)  " &amp; VLOOKUP(2,$Z$10:$AI$17,2,0)</f>
        <v xml:space="preserve">  2)  GOLDEN STEPS</v>
      </c>
      <c r="Q12" s="281">
        <f>VLOOKUP(2,$Z$10:$AI$17,3,0)</f>
        <v>4</v>
      </c>
      <c r="R12" s="283">
        <f>+SUM(S12:U13)</f>
        <v>3</v>
      </c>
      <c r="S12" s="270">
        <f>VLOOKUP(2,$Z$10:$AI$17,4,0)</f>
        <v>1</v>
      </c>
      <c r="T12" s="270">
        <f>VLOOKUP(2,$Z$10:$AI$17,5,0)</f>
        <v>1</v>
      </c>
      <c r="U12" s="270">
        <f>VLOOKUP(2,$Z$10:$AI$17,6,0)</f>
        <v>1</v>
      </c>
      <c r="V12" s="270">
        <f>VLOOKUP(2,$Z$10:$AI$17,7,0)</f>
        <v>4</v>
      </c>
      <c r="W12" s="270">
        <f>VLOOKUP(2,$Z$10:$AI$17,8,0)</f>
        <v>5</v>
      </c>
      <c r="X12" s="270">
        <f>VLOOKUP(2,$Z$10:$AH$17,9,0)</f>
        <v>-1</v>
      </c>
      <c r="Y12" s="270">
        <f>VLOOKUP(2,$Z$10:$AI$17,10,0)</f>
        <v>0</v>
      </c>
      <c r="Z12" s="272">
        <f>RANK(AJ12,$AJ$10:$AJ$17,0)</f>
        <v>1</v>
      </c>
      <c r="AA12" s="265" t="str">
        <f>+'PRE INFANTIL GRUPOS'!E8</f>
        <v>ATHLETIC MELGAR</v>
      </c>
      <c r="AB12" s="265">
        <f>(AC12*3)+AD12</f>
        <v>6</v>
      </c>
      <c r="AC12" s="265">
        <f>COUNTIF(Q59:T59,"G")</f>
        <v>2</v>
      </c>
      <c r="AD12" s="265">
        <f>COUNTIF(Q59:T59,"E")</f>
        <v>0</v>
      </c>
      <c r="AE12" s="265">
        <f>COUNTIF(Q59:T59,"P")</f>
        <v>1</v>
      </c>
      <c r="AF12" s="265">
        <f>+G23+I17+G32+I11</f>
        <v>9</v>
      </c>
      <c r="AG12" s="265">
        <f>+G17+I23+I32+G11</f>
        <v>2</v>
      </c>
      <c r="AH12" s="265">
        <f>AF12-AG12</f>
        <v>7</v>
      </c>
      <c r="AI12" s="267">
        <f>+N17+A23+A32+N11</f>
        <v>0</v>
      </c>
      <c r="AJ12" s="265">
        <f>(AB12*1000)+(AH12*100)+(AF12*10)-AI12+0.2</f>
        <v>6790.2</v>
      </c>
      <c r="AK12" s="268">
        <f>AJ12+X12</f>
        <v>6789.2</v>
      </c>
      <c r="AL12" s="3"/>
    </row>
    <row r="13" spans="1:38" ht="22.5" customHeight="1" x14ac:dyDescent="0.3">
      <c r="A13" s="5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9"/>
      <c r="P13" s="322"/>
      <c r="Q13" s="282"/>
      <c r="R13" s="284"/>
      <c r="S13" s="271"/>
      <c r="T13" s="271"/>
      <c r="U13" s="271"/>
      <c r="V13" s="271"/>
      <c r="W13" s="271"/>
      <c r="X13" s="271"/>
      <c r="Y13" s="271"/>
      <c r="Z13" s="273"/>
      <c r="AA13" s="266"/>
      <c r="AB13" s="266"/>
      <c r="AC13" s="266"/>
      <c r="AD13" s="266"/>
      <c r="AE13" s="266"/>
      <c r="AF13" s="266"/>
      <c r="AG13" s="266"/>
      <c r="AH13" s="266"/>
      <c r="AI13" s="323"/>
      <c r="AJ13" s="266"/>
      <c r="AK13" s="269"/>
      <c r="AL13" s="3"/>
    </row>
    <row r="14" spans="1:38" ht="15" customHeight="1" x14ac:dyDescent="0.3">
      <c r="A14" s="106"/>
      <c r="B14" s="48">
        <f>+'GRUPO A'!B14</f>
        <v>42967</v>
      </c>
      <c r="C14" s="44" t="str">
        <f>+'GRUPO A'!C14</f>
        <v>02:55. p.m.</v>
      </c>
      <c r="D14" s="274"/>
      <c r="E14" s="275" t="str">
        <f>+'GRUPO A'!E14:E15</f>
        <v>JUDERCAR F. C.</v>
      </c>
      <c r="F14" s="276" t="str">
        <f>IF(AND(G14&lt;&gt;"",I14&lt;&gt;""),IF(G14=I14,"E",IF(G14&gt;I14,"G","P")),"")</f>
        <v>G</v>
      </c>
      <c r="G14" s="318">
        <v>6</v>
      </c>
      <c r="H14" s="277" t="s">
        <v>15</v>
      </c>
      <c r="I14" s="318">
        <v>0</v>
      </c>
      <c r="J14" s="276" t="str">
        <f>IF(AND(I14&lt;&gt;"",G14&lt;&gt;""),IF(I14=G14,"E",IF(I14&gt;G14,"G","P")),"")</f>
        <v>P</v>
      </c>
      <c r="K14" s="275" t="str">
        <f>+'GRUPO A'!K14:K15</f>
        <v>LIONTA F. C.</v>
      </c>
      <c r="L14" s="278"/>
      <c r="M14" s="104" t="str">
        <f>+'GRUPO A'!M14</f>
        <v>CANCHA 1 B</v>
      </c>
      <c r="N14" s="108"/>
      <c r="O14" s="60"/>
      <c r="P14" s="321" t="str">
        <f>"  3)  " &amp; VLOOKUP(3,$Z$10:$AI$17,2,0)</f>
        <v xml:space="preserve">  3)  LIONTA F. C.</v>
      </c>
      <c r="Q14" s="281">
        <f>VLOOKUP(3,$Z$10:$AI$17,3,0)</f>
        <v>0</v>
      </c>
      <c r="R14" s="283">
        <f>+SUM(S14:U15)</f>
        <v>3</v>
      </c>
      <c r="S14" s="270">
        <f>VLOOKUP(3,$Z$10:$AI$17,4,0)</f>
        <v>0</v>
      </c>
      <c r="T14" s="270">
        <f>VLOOKUP(3,$Z$10:$AI$17,5,0)</f>
        <v>0</v>
      </c>
      <c r="U14" s="270">
        <f>VLOOKUP(3,$Z$10:$AI$17,6,0)</f>
        <v>3</v>
      </c>
      <c r="V14" s="270">
        <f>VLOOKUP(3,$Z$10:$AI$17,7,0)</f>
        <v>0</v>
      </c>
      <c r="W14" s="270">
        <f>VLOOKUP(3,$Z$10:$AI$17,8,0)</f>
        <v>13</v>
      </c>
      <c r="X14" s="270">
        <f>VLOOKUP(3,$Z$10:$AI$17,9,0)</f>
        <v>-13</v>
      </c>
      <c r="Y14" s="270">
        <f>VLOOKUP(3,$Z$10:$AI$17,10,0)</f>
        <v>0</v>
      </c>
      <c r="Z14" s="272">
        <f>RANK(AJ14,$AJ$10:$AJ$17,0)</f>
        <v>3</v>
      </c>
      <c r="AA14" s="265" t="str">
        <f>+'PRE INFANTIL GRUPOS'!E9</f>
        <v>LIONTA F. C.</v>
      </c>
      <c r="AB14" s="265">
        <f>(AC14*3)+AD14</f>
        <v>0</v>
      </c>
      <c r="AC14" s="265">
        <f>COUNTIF(Q60:T60,"G")</f>
        <v>0</v>
      </c>
      <c r="AD14" s="265">
        <f>COUNTIF(Q60:T60,"E")</f>
        <v>0</v>
      </c>
      <c r="AE14" s="265">
        <f>COUNTIF(Q60:T60,"P")</f>
        <v>3</v>
      </c>
      <c r="AF14" s="265">
        <f>+G26+I29+I32+I14</f>
        <v>0</v>
      </c>
      <c r="AG14" s="265">
        <f>+G29+I26+G32+G14</f>
        <v>13</v>
      </c>
      <c r="AH14" s="265">
        <f>AF14-AG14</f>
        <v>-13</v>
      </c>
      <c r="AI14" s="267">
        <f>+A26+N29+N32+N14</f>
        <v>0</v>
      </c>
      <c r="AJ14" s="265">
        <f>(AB14*1000)+(AH14*100)+(AF14*10)-AI14+0.3</f>
        <v>-1299.7</v>
      </c>
      <c r="AK14" s="268">
        <f>+X14</f>
        <v>-13</v>
      </c>
      <c r="AL14" s="3"/>
    </row>
    <row r="15" spans="1:38" ht="15" customHeight="1" x14ac:dyDescent="0.3">
      <c r="A15" s="58"/>
      <c r="B15" s="48"/>
      <c r="C15" s="44"/>
      <c r="D15" s="274"/>
      <c r="E15" s="275"/>
      <c r="F15" s="276"/>
      <c r="G15" s="319"/>
      <c r="H15" s="277"/>
      <c r="I15" s="319"/>
      <c r="J15" s="276"/>
      <c r="K15" s="275"/>
      <c r="L15" s="278"/>
      <c r="M15" s="46"/>
      <c r="N15" s="59"/>
      <c r="O15" s="59"/>
      <c r="P15" s="322"/>
      <c r="Q15" s="282"/>
      <c r="R15" s="284"/>
      <c r="S15" s="271"/>
      <c r="T15" s="271"/>
      <c r="U15" s="271"/>
      <c r="V15" s="271"/>
      <c r="W15" s="271"/>
      <c r="X15" s="271"/>
      <c r="Y15" s="271"/>
      <c r="Z15" s="273"/>
      <c r="AA15" s="266"/>
      <c r="AB15" s="266"/>
      <c r="AC15" s="266"/>
      <c r="AD15" s="266"/>
      <c r="AE15" s="266"/>
      <c r="AF15" s="266"/>
      <c r="AG15" s="266"/>
      <c r="AH15" s="266"/>
      <c r="AI15" s="323"/>
      <c r="AJ15" s="266"/>
      <c r="AK15" s="269"/>
      <c r="AL15" s="3"/>
    </row>
    <row r="16" spans="1:38" ht="21.75" customHeight="1" x14ac:dyDescent="0.3">
      <c r="A16" s="5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9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</row>
    <row r="17" spans="1:38" ht="15" customHeight="1" x14ac:dyDescent="0.3">
      <c r="A17" s="107"/>
      <c r="B17" s="49">
        <v>42967</v>
      </c>
      <c r="C17" s="45" t="s">
        <v>76</v>
      </c>
      <c r="D17" s="264"/>
      <c r="E17" s="258" t="str">
        <f>+'PRE INFANTIL GRUPOS'!E7</f>
        <v>GOLDEN STEPS</v>
      </c>
      <c r="F17" s="276" t="str">
        <f>IF(AND(G17&lt;&gt;"",I17&lt;&gt;""),IF(G17=I17,"E",IF(G17&gt;I17,"G","P")),"")</f>
        <v>P</v>
      </c>
      <c r="G17" s="318">
        <v>1</v>
      </c>
      <c r="H17" s="277" t="s">
        <v>15</v>
      </c>
      <c r="I17" s="318">
        <v>5</v>
      </c>
      <c r="J17" s="276" t="str">
        <f>IF(AND(I17&lt;&gt;"",G17&lt;&gt;""),IF(I17=G17,"E",IF(I17&gt;G17,"G","P")),"")</f>
        <v>G</v>
      </c>
      <c r="K17" s="258" t="str">
        <f>+'PRE INFANTIL GRUPOS'!E8</f>
        <v>ATHLETIC MELGAR</v>
      </c>
      <c r="L17" s="257"/>
      <c r="M17" s="105" t="s">
        <v>104</v>
      </c>
      <c r="N17" s="109"/>
      <c r="O17" s="60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</row>
    <row r="18" spans="1:38" ht="15" customHeight="1" x14ac:dyDescent="0.3">
      <c r="A18" s="58"/>
      <c r="B18" s="49"/>
      <c r="C18" s="45"/>
      <c r="D18" s="264"/>
      <c r="E18" s="258"/>
      <c r="F18" s="276"/>
      <c r="G18" s="319"/>
      <c r="H18" s="277"/>
      <c r="I18" s="319"/>
      <c r="J18" s="276"/>
      <c r="K18" s="258"/>
      <c r="L18" s="257"/>
      <c r="M18" s="47"/>
      <c r="N18" s="59"/>
      <c r="O18" s="59"/>
      <c r="P18" s="71"/>
      <c r="Q18" s="68"/>
      <c r="R18" s="68"/>
      <c r="S18" s="69"/>
      <c r="T18" s="69"/>
      <c r="U18" s="69"/>
      <c r="V18" s="69"/>
      <c r="W18" s="69"/>
      <c r="X18" s="69"/>
      <c r="Y18" s="69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25"/>
    </row>
    <row r="19" spans="1:38" s="3" customFormat="1" ht="15" customHeight="1" x14ac:dyDescent="0.3">
      <c r="A19" s="58"/>
      <c r="B19" s="182"/>
      <c r="C19" s="183"/>
      <c r="D19" s="184"/>
      <c r="E19" s="185"/>
      <c r="F19" s="186"/>
      <c r="G19" s="185"/>
      <c r="H19" s="185"/>
      <c r="I19" s="185"/>
      <c r="J19" s="185"/>
      <c r="K19" s="185"/>
      <c r="L19" s="187"/>
      <c r="M19" s="167"/>
      <c r="N19" s="59"/>
      <c r="O19" s="59"/>
      <c r="P19" s="71"/>
      <c r="Q19" s="68"/>
      <c r="R19" s="68"/>
      <c r="S19" s="69"/>
      <c r="T19" s="69"/>
      <c r="U19" s="69"/>
      <c r="V19" s="69"/>
      <c r="W19" s="69"/>
      <c r="X19" s="69"/>
      <c r="Y19" s="69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25"/>
    </row>
    <row r="20" spans="1:38" ht="15" customHeight="1" x14ac:dyDescent="0.3">
      <c r="A20" s="106"/>
      <c r="B20" s="48"/>
      <c r="C20" s="44"/>
      <c r="D20" s="274"/>
      <c r="E20" s="275"/>
      <c r="F20" s="263" t="str">
        <f>IF(AND(G20&lt;&gt;"",I20&lt;&gt;""),IF(G20=I20,"E",IF(G20&gt;I20,"G","P")),"")</f>
        <v/>
      </c>
      <c r="G20" s="260"/>
      <c r="H20" s="262" t="s">
        <v>15</v>
      </c>
      <c r="I20" s="260"/>
      <c r="J20" s="259" t="str">
        <f>IF(AND(I20&lt;&gt;"",G20&lt;&gt;""),IF(I20=G20,"E",IF(I20&gt;G20,"G","P")),"")</f>
        <v/>
      </c>
      <c r="K20" s="275"/>
      <c r="L20" s="278"/>
      <c r="M20" s="104"/>
      <c r="N20" s="106"/>
      <c r="O20" s="6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58"/>
      <c r="B21" s="48"/>
      <c r="C21" s="44"/>
      <c r="D21" s="274"/>
      <c r="E21" s="275"/>
      <c r="F21" s="263"/>
      <c r="G21" s="261"/>
      <c r="H21" s="262"/>
      <c r="I21" s="261"/>
      <c r="J21" s="259"/>
      <c r="K21" s="275"/>
      <c r="L21" s="278"/>
      <c r="M21" s="46"/>
      <c r="N21" s="63"/>
      <c r="O21" s="59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5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9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07"/>
      <c r="B23" s="49"/>
      <c r="C23" s="45"/>
      <c r="D23" s="264"/>
      <c r="E23" s="258"/>
      <c r="F23" s="263" t="str">
        <f>IF(AND(G23&lt;&gt;"",I23&lt;&gt;""),IF(G23=I23,"E",IF(G23&gt;I23,"G","P")),"")</f>
        <v/>
      </c>
      <c r="G23" s="260"/>
      <c r="H23" s="262" t="s">
        <v>15</v>
      </c>
      <c r="I23" s="260"/>
      <c r="J23" s="259" t="str">
        <f>IF(AND(I23&lt;&gt;"",G23&lt;&gt;""),IF(I23=G23,"E",IF(I23&gt;G23,"G","P")),"")</f>
        <v/>
      </c>
      <c r="K23" s="258"/>
      <c r="L23" s="257"/>
      <c r="M23" s="105"/>
      <c r="N23" s="107"/>
      <c r="O23" s="60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58"/>
      <c r="B24" s="49"/>
      <c r="C24" s="45"/>
      <c r="D24" s="264"/>
      <c r="E24" s="258"/>
      <c r="F24" s="263"/>
      <c r="G24" s="261"/>
      <c r="H24" s="262"/>
      <c r="I24" s="261"/>
      <c r="J24" s="259"/>
      <c r="K24" s="258"/>
      <c r="L24" s="257"/>
      <c r="M24" s="47"/>
      <c r="N24" s="63"/>
      <c r="O24" s="59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5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9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06"/>
      <c r="B26" s="48"/>
      <c r="C26" s="44"/>
      <c r="D26" s="274"/>
      <c r="E26" s="275"/>
      <c r="F26" s="263" t="str">
        <f>IF(AND(G26&lt;&gt;"",I26&lt;&gt;""),IF(G26=I26,"E",IF(G26&gt;I26,"G","P")),"")</f>
        <v/>
      </c>
      <c r="G26" s="260"/>
      <c r="H26" s="262" t="s">
        <v>15</v>
      </c>
      <c r="I26" s="260"/>
      <c r="J26" s="259" t="str">
        <f>IF(AND(I26&lt;&gt;"",G26&lt;&gt;""),IF(I26=G26,"E",IF(I26&gt;G26,"G","P")),"")</f>
        <v/>
      </c>
      <c r="K26" s="275"/>
      <c r="L26" s="278"/>
      <c r="M26" s="104"/>
      <c r="N26" s="106"/>
      <c r="O26" s="60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58"/>
      <c r="B27" s="48"/>
      <c r="C27" s="44"/>
      <c r="D27" s="274"/>
      <c r="E27" s="275"/>
      <c r="F27" s="263"/>
      <c r="G27" s="261"/>
      <c r="H27" s="262"/>
      <c r="I27" s="261"/>
      <c r="J27" s="259"/>
      <c r="K27" s="275"/>
      <c r="L27" s="278"/>
      <c r="M27" s="46"/>
      <c r="N27" s="63"/>
      <c r="O27" s="59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5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9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07"/>
      <c r="B29" s="49">
        <v>42967</v>
      </c>
      <c r="C29" s="45" t="s">
        <v>111</v>
      </c>
      <c r="D29" s="264"/>
      <c r="E29" s="258" t="str">
        <f>+'PRE INFANTIL GRUPOS'!E7</f>
        <v>GOLDEN STEPS</v>
      </c>
      <c r="F29" s="263" t="str">
        <f>IF(AND(G29&lt;&gt;"",I29&lt;&gt;""),IF(G29=I29,"E",IF(G29&gt;I29,"G","P")),"")</f>
        <v>G</v>
      </c>
      <c r="G29" s="260">
        <v>3</v>
      </c>
      <c r="H29" s="262" t="s">
        <v>15</v>
      </c>
      <c r="I29" s="260">
        <v>0</v>
      </c>
      <c r="J29" s="259" t="str">
        <f>IF(AND(I29&lt;&gt;"",G29&lt;&gt;""),IF(I29=G29,"E",IF(I29&gt;G29,"G","P")),"")</f>
        <v>P</v>
      </c>
      <c r="K29" s="258" t="str">
        <f>+'PRE INFANTIL GRUPOS'!E9</f>
        <v>LIONTA F. C.</v>
      </c>
      <c r="L29" s="257"/>
      <c r="M29" s="105" t="s">
        <v>104</v>
      </c>
      <c r="N29" s="107"/>
      <c r="O29" s="60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58"/>
      <c r="B30" s="49"/>
      <c r="C30" s="45"/>
      <c r="D30" s="264"/>
      <c r="E30" s="258"/>
      <c r="F30" s="263"/>
      <c r="G30" s="261"/>
      <c r="H30" s="262"/>
      <c r="I30" s="261"/>
      <c r="J30" s="259"/>
      <c r="K30" s="258"/>
      <c r="L30" s="257"/>
      <c r="M30" s="47"/>
      <c r="N30" s="63"/>
      <c r="O30" s="59"/>
      <c r="P30" s="17"/>
      <c r="Q30" s="18"/>
      <c r="R30" s="18"/>
      <c r="S30" s="19"/>
      <c r="T30" s="19"/>
      <c r="U30" s="19"/>
      <c r="V30" s="19"/>
      <c r="W30" s="19"/>
      <c r="X30" s="19"/>
      <c r="Y30" s="19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3"/>
    </row>
    <row r="31" spans="1:38" ht="22.5" customHeight="1" x14ac:dyDescent="0.3">
      <c r="A31" s="5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9"/>
      <c r="P31" s="21"/>
      <c r="Q31" s="18"/>
      <c r="R31" s="18"/>
      <c r="S31" s="19"/>
      <c r="T31" s="19"/>
      <c r="U31" s="19"/>
      <c r="V31" s="19"/>
      <c r="W31" s="19"/>
      <c r="X31" s="19"/>
      <c r="Y31" s="19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3"/>
    </row>
    <row r="32" spans="1:38" ht="15" customHeight="1" x14ac:dyDescent="0.3">
      <c r="A32" s="106"/>
      <c r="B32" s="48">
        <v>42965</v>
      </c>
      <c r="C32" s="44" t="s">
        <v>107</v>
      </c>
      <c r="D32" s="274"/>
      <c r="E32" s="275" t="str">
        <f>+'PRE INFANTIL GRUPOS'!E8</f>
        <v>ATHLETIC MELGAR</v>
      </c>
      <c r="F32" s="276" t="str">
        <f>IF(AND(G32&lt;&gt;"",I32&lt;&gt;""),IF(G32=I32,"E",IF(G32&gt;I32,"G","P")),"")</f>
        <v>G</v>
      </c>
      <c r="G32" s="260">
        <v>4</v>
      </c>
      <c r="H32" s="277" t="s">
        <v>15</v>
      </c>
      <c r="I32" s="260">
        <v>0</v>
      </c>
      <c r="J32" s="276" t="str">
        <f>IF(AND(I32&lt;&gt;"",G32&lt;&gt;""),IF(I32=G32,"E",IF(I32&gt;G32,"G","P")),"")</f>
        <v>P</v>
      </c>
      <c r="K32" s="275" t="str">
        <f>+'PRE INFANTIL GRUPOS'!E9</f>
        <v>LIONTA F. C.</v>
      </c>
      <c r="L32" s="278"/>
      <c r="M32" s="104" t="s">
        <v>104</v>
      </c>
      <c r="N32" s="106"/>
      <c r="O32" s="60"/>
      <c r="P32" s="17"/>
      <c r="Q32" s="18"/>
      <c r="R32" s="18"/>
      <c r="S32" s="19"/>
      <c r="T32" s="19"/>
      <c r="U32" s="19"/>
      <c r="V32" s="19"/>
      <c r="W32" s="19"/>
      <c r="X32" s="19"/>
      <c r="Y32" s="19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3"/>
    </row>
    <row r="33" spans="1:38" ht="15" customHeight="1" x14ac:dyDescent="0.3">
      <c r="A33" s="58"/>
      <c r="B33" s="48"/>
      <c r="C33" s="44"/>
      <c r="D33" s="274"/>
      <c r="E33" s="275"/>
      <c r="F33" s="276"/>
      <c r="G33" s="261"/>
      <c r="H33" s="277"/>
      <c r="I33" s="261"/>
      <c r="J33" s="276"/>
      <c r="K33" s="275"/>
      <c r="L33" s="278"/>
      <c r="M33" s="46"/>
      <c r="N33" s="63"/>
      <c r="O33" s="59"/>
      <c r="P33" s="320"/>
      <c r="Q33" s="320"/>
      <c r="R33" s="320"/>
      <c r="S33" s="320"/>
      <c r="T33" s="320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22.5" customHeight="1" x14ac:dyDescent="0.3">
      <c r="A34" s="5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9"/>
      <c r="P34" s="13"/>
      <c r="Q34" s="13"/>
      <c r="R34" s="13"/>
      <c r="S34" s="13"/>
      <c r="T34" s="13"/>
      <c r="U34" s="13"/>
      <c r="V34" s="13"/>
      <c r="W34" s="25" t="str">
        <f>IF(AJ8=1,IF(P33="","",P33),IF(SUM(Q10:Q17)&gt;0,VLOOKUP(1,Z10:AA17,2,0),""))</f>
        <v>ATHLETIC MELGAR</v>
      </c>
      <c r="X34" s="13"/>
      <c r="Y34" s="13"/>
      <c r="Z34" s="13"/>
      <c r="AA34" s="13"/>
      <c r="AB34" s="13"/>
      <c r="AC34" s="20"/>
      <c r="AD34" s="20"/>
      <c r="AE34" s="20"/>
      <c r="AF34" s="20"/>
      <c r="AG34" s="20"/>
      <c r="AH34" s="20"/>
      <c r="AI34" s="13"/>
      <c r="AJ34" s="20"/>
      <c r="AK34" s="20"/>
      <c r="AL34" s="13"/>
    </row>
    <row r="35" spans="1:38" ht="1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60"/>
      <c r="P35" s="13"/>
      <c r="Q35" s="13"/>
      <c r="R35" s="13"/>
      <c r="S35" s="13"/>
      <c r="T35" s="13"/>
      <c r="U35" s="13"/>
      <c r="V35" s="13"/>
      <c r="W35" s="25" t="str">
        <f>IF(AJ8=1,IF(P36="","",P36),IF(SUM(Q10:Q17)&gt;0,VLOOKUP(2,Z10:AA17,2,0),""))</f>
        <v>GOLDEN STEPS</v>
      </c>
      <c r="X35" s="13"/>
      <c r="Y35" s="13"/>
      <c r="Z35" s="13"/>
      <c r="AA35" s="13"/>
      <c r="AB35" s="13"/>
      <c r="AC35" s="20"/>
      <c r="AD35" s="20"/>
      <c r="AE35" s="20"/>
      <c r="AF35" s="20"/>
      <c r="AG35" s="20"/>
      <c r="AH35" s="20"/>
      <c r="AI35" s="13"/>
      <c r="AJ35" s="20"/>
      <c r="AK35" s="20"/>
      <c r="AL35" s="13"/>
    </row>
    <row r="36" spans="1:38" ht="1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59"/>
      <c r="P36" s="320"/>
      <c r="Q36" s="320"/>
      <c r="R36" s="320"/>
      <c r="S36" s="320"/>
      <c r="T36" s="320"/>
      <c r="U36" s="13"/>
      <c r="V36" s="13"/>
      <c r="W36" s="13"/>
      <c r="X36" s="13"/>
      <c r="Y36" s="13"/>
      <c r="Z36" s="13"/>
      <c r="AA36" s="13"/>
      <c r="AB36" s="13"/>
      <c r="AC36" s="20"/>
      <c r="AD36" s="20"/>
      <c r="AE36" s="20"/>
      <c r="AF36" s="20"/>
      <c r="AG36" s="20"/>
      <c r="AH36" s="20"/>
      <c r="AI36" s="13"/>
      <c r="AJ36" s="20"/>
      <c r="AK36" s="20"/>
      <c r="AL36" s="13"/>
    </row>
    <row r="37" spans="1:38" x14ac:dyDescent="0.3">
      <c r="A37" s="5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x14ac:dyDescent="0.3">
      <c r="A38" s="5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x14ac:dyDescent="0.3">
      <c r="B43" s="13"/>
      <c r="C43" s="13"/>
      <c r="D43" s="13"/>
      <c r="E43" s="13"/>
      <c r="F43" s="13"/>
      <c r="G43" s="13"/>
      <c r="H43" s="13"/>
      <c r="I43" s="13"/>
      <c r="J43" s="23" t="str">
        <f>IF(AG8=1,"Indique el primero y segundo equipos clasificados de la serie:","")</f>
        <v/>
      </c>
      <c r="K43" s="13"/>
      <c r="L43" s="23" t="str">
        <f>IF(AG8=1,"Primero:","")</f>
        <v/>
      </c>
      <c r="M43" s="13"/>
      <c r="N43" s="22"/>
      <c r="O43" s="22"/>
      <c r="P43" s="2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2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2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x14ac:dyDescent="0.3">
      <c r="B46" s="13"/>
      <c r="C46" s="13"/>
      <c r="D46" s="13"/>
      <c r="E46" s="13"/>
      <c r="F46" s="13"/>
      <c r="G46" s="13"/>
      <c r="H46" s="13"/>
      <c r="I46" s="13"/>
      <c r="J46" s="24" t="str">
        <f>IF(AG8=1,"(Debido a la paridad de los resultados, no pueden deducirse de forma automática.)","")</f>
        <v/>
      </c>
      <c r="K46" s="13"/>
      <c r="L46" s="23" t="str">
        <f>IF(AG8=1,"Segundo:","")</f>
        <v/>
      </c>
      <c r="M46" s="13"/>
      <c r="N46" s="22"/>
      <c r="O46" s="22"/>
      <c r="P46" s="2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58" spans="16:20" x14ac:dyDescent="0.3">
      <c r="P58" s="117" t="str">
        <f>+'PRE INFANTIL GRUPOS'!E7</f>
        <v>GOLDEN STEPS</v>
      </c>
      <c r="Q58" s="117" t="str">
        <f>+J8</f>
        <v>E</v>
      </c>
      <c r="R58" s="117" t="str">
        <f>+F17</f>
        <v>P</v>
      </c>
      <c r="S58" s="117" t="str">
        <f>+F20</f>
        <v/>
      </c>
      <c r="T58" s="117" t="str">
        <f>+F29</f>
        <v>G</v>
      </c>
    </row>
    <row r="59" spans="16:20" x14ac:dyDescent="0.3">
      <c r="P59" s="117" t="str">
        <f>+'PRE INFANTIL GRUPOS'!E8</f>
        <v>ATHLETIC MELGAR</v>
      </c>
      <c r="Q59" s="117" t="str">
        <f>+J11</f>
        <v>P</v>
      </c>
      <c r="R59" s="117" t="str">
        <f>+J17</f>
        <v>G</v>
      </c>
      <c r="S59" s="117" t="str">
        <f>+F23</f>
        <v/>
      </c>
      <c r="T59" s="117" t="str">
        <f>+F32</f>
        <v>G</v>
      </c>
    </row>
    <row r="60" spans="16:20" x14ac:dyDescent="0.3">
      <c r="P60" s="117" t="str">
        <f>+'PRE INFANTIL GRUPOS'!E9</f>
        <v>LIONTA F. C.</v>
      </c>
      <c r="Q60" s="117" t="str">
        <f>+J14</f>
        <v>P</v>
      </c>
      <c r="R60" s="117" t="str">
        <f>+F26</f>
        <v/>
      </c>
      <c r="S60" s="117" t="str">
        <f>+J29</f>
        <v>P</v>
      </c>
      <c r="T60" s="117" t="str">
        <f>+J32</f>
        <v>P</v>
      </c>
    </row>
  </sheetData>
  <mergeCells count="175">
    <mergeCell ref="P36:T36"/>
    <mergeCell ref="R8:R9"/>
    <mergeCell ref="R10:R11"/>
    <mergeCell ref="R12:R13"/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A1:N1"/>
    <mergeCell ref="K20:K21"/>
    <mergeCell ref="K23:K24"/>
    <mergeCell ref="K26:K27"/>
    <mergeCell ref="K29:K30"/>
    <mergeCell ref="K32:K33"/>
    <mergeCell ref="Y14:Y15"/>
    <mergeCell ref="J20:J21"/>
    <mergeCell ref="L20:L21"/>
    <mergeCell ref="P8:P9"/>
    <mergeCell ref="U14:U15"/>
    <mergeCell ref="V14:V15"/>
    <mergeCell ref="G29:G30"/>
    <mergeCell ref="I20:I21"/>
    <mergeCell ref="R14:R15"/>
    <mergeCell ref="D26:D27"/>
    <mergeCell ref="H32:H33"/>
    <mergeCell ref="I32:I33"/>
    <mergeCell ref="J32:J33"/>
    <mergeCell ref="L32:L33"/>
    <mergeCell ref="H29:H30"/>
    <mergeCell ref="I29:I30"/>
    <mergeCell ref="J29:J30"/>
    <mergeCell ref="L29:L30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K14:AK15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X14:X15"/>
    <mergeCell ref="Z14:Z15"/>
    <mergeCell ref="AA14:AA15"/>
    <mergeCell ref="AI12:AI13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P33:T33"/>
    <mergeCell ref="F26:F27"/>
    <mergeCell ref="G26:G27"/>
    <mergeCell ref="H26:H27"/>
    <mergeCell ref="I26:I27"/>
    <mergeCell ref="J26:J27"/>
    <mergeCell ref="L26:L27"/>
    <mergeCell ref="L23:L24"/>
    <mergeCell ref="P12:P13"/>
    <mergeCell ref="Q12:Q13"/>
    <mergeCell ref="P14:P15"/>
    <mergeCell ref="Q14:Q15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20:G21">
    <cfRule type="expression" dxfId="326" priority="60" stopIfTrue="1">
      <formula>F20="G"</formula>
    </cfRule>
    <cfRule type="expression" dxfId="325" priority="58" stopIfTrue="1">
      <formula>F20="P"</formula>
    </cfRule>
    <cfRule type="expression" dxfId="324" priority="59" stopIfTrue="1">
      <formula>F20="E"</formula>
    </cfRule>
  </conditionalFormatting>
  <conditionalFormatting sqref="G23:G24">
    <cfRule type="expression" dxfId="323" priority="38" stopIfTrue="1">
      <formula>F23="E"</formula>
    </cfRule>
    <cfRule type="expression" dxfId="322" priority="39" stopIfTrue="1">
      <formula>F23="G"</formula>
    </cfRule>
    <cfRule type="expression" dxfId="321" priority="37" stopIfTrue="1">
      <formula>F23="P"</formula>
    </cfRule>
  </conditionalFormatting>
  <conditionalFormatting sqref="G26:G27">
    <cfRule type="expression" dxfId="320" priority="34" stopIfTrue="1">
      <formula>F26="P"</formula>
    </cfRule>
    <cfRule type="expression" dxfId="319" priority="35" stopIfTrue="1">
      <formula>F26="E"</formula>
    </cfRule>
    <cfRule type="expression" dxfId="318" priority="36" stopIfTrue="1">
      <formula>F26="G"</formula>
    </cfRule>
  </conditionalFormatting>
  <conditionalFormatting sqref="G29:G30">
    <cfRule type="expression" dxfId="317" priority="31" stopIfTrue="1">
      <formula>F29="P"</formula>
    </cfRule>
    <cfRule type="expression" dxfId="316" priority="32" stopIfTrue="1">
      <formula>F29="E"</formula>
    </cfRule>
    <cfRule type="expression" dxfId="315" priority="33" stopIfTrue="1">
      <formula>F29="G"</formula>
    </cfRule>
  </conditionalFormatting>
  <conditionalFormatting sqref="G32:G33">
    <cfRule type="expression" dxfId="314" priority="28" stopIfTrue="1">
      <formula>F32="P"</formula>
    </cfRule>
    <cfRule type="expression" dxfId="313" priority="29" stopIfTrue="1">
      <formula>F32="E"</formula>
    </cfRule>
    <cfRule type="expression" dxfId="312" priority="30" stopIfTrue="1">
      <formula>F32="G"</formula>
    </cfRule>
  </conditionalFormatting>
  <conditionalFormatting sqref="I20:I21">
    <cfRule type="expression" dxfId="308" priority="44" stopIfTrue="1">
      <formula>J20="E"</formula>
    </cfRule>
    <cfRule type="expression" dxfId="307" priority="45" stopIfTrue="1">
      <formula>J20="G"</formula>
    </cfRule>
    <cfRule type="expression" dxfId="306" priority="43" stopIfTrue="1">
      <formula>J20="P"</formula>
    </cfRule>
  </conditionalFormatting>
  <conditionalFormatting sqref="I23:I24">
    <cfRule type="expression" dxfId="305" priority="46" stopIfTrue="1">
      <formula>J23="P"</formula>
    </cfRule>
    <cfRule type="expression" dxfId="304" priority="47" stopIfTrue="1">
      <formula>J23="E"</formula>
    </cfRule>
    <cfRule type="expression" dxfId="303" priority="48" stopIfTrue="1">
      <formula>J23="G"</formula>
    </cfRule>
  </conditionalFormatting>
  <conditionalFormatting sqref="I26:I27">
    <cfRule type="expression" dxfId="302" priority="49" stopIfTrue="1">
      <formula>J26="P"</formula>
    </cfRule>
    <cfRule type="expression" dxfId="301" priority="50" stopIfTrue="1">
      <formula>J26="E"</formula>
    </cfRule>
    <cfRule type="expression" dxfId="300" priority="51" stopIfTrue="1">
      <formula>J26="G"</formula>
    </cfRule>
  </conditionalFormatting>
  <conditionalFormatting sqref="I29:I30">
    <cfRule type="expression" dxfId="299" priority="52" stopIfTrue="1">
      <formula>J29="P"</formula>
    </cfRule>
    <cfRule type="expression" dxfId="298" priority="53" stopIfTrue="1">
      <formula>J29="E"</formula>
    </cfRule>
    <cfRule type="expression" dxfId="297" priority="54" stopIfTrue="1">
      <formula>J29="G"</formula>
    </cfRule>
  </conditionalFormatting>
  <conditionalFormatting sqref="I32:I33">
    <cfRule type="expression" dxfId="296" priority="55" stopIfTrue="1">
      <formula>J32="P"</formula>
    </cfRule>
    <cfRule type="expression" dxfId="295" priority="56" stopIfTrue="1">
      <formula>J32="E"</formula>
    </cfRule>
    <cfRule type="expression" dxfId="294" priority="57" stopIfTrue="1">
      <formula>J32="G"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249977111117893"/>
  </sheetPr>
  <dimension ref="A1:AL60"/>
  <sheetViews>
    <sheetView topLeftCell="A9" zoomScale="90" zoomScaleNormal="90" workbookViewId="0">
      <selection activeCell="I16" sqref="I16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2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10" t="str">
        <f>+'PRE INFANTIL GRUPOS'!C1</f>
        <v>XVIII Campeonato Nacional de Fútbol Infantil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</row>
    <row r="2" spans="1:38" s="3" customFormat="1" ht="24.6" x14ac:dyDescent="0.3">
      <c r="A2" s="311" t="s">
        <v>6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</row>
    <row r="3" spans="1:38" s="3" customFormat="1" ht="34.5" customHeight="1" x14ac:dyDescent="0.65">
      <c r="B3" s="324" t="str">
        <f>+'PRE INFANTIL GRUPOS'!C3</f>
        <v>DICIEMBRE 4 AL 6 DEL 2024</v>
      </c>
      <c r="C3" s="324"/>
      <c r="D3" s="324"/>
      <c r="E3" s="324"/>
      <c r="F3" s="297" t="str">
        <f>+'PRE INFANTIL GRUPOS'!C4</f>
        <v>NACIDOS 2010 2011</v>
      </c>
      <c r="G3" s="297"/>
      <c r="H3" s="297"/>
      <c r="I3" s="297"/>
      <c r="J3" s="297"/>
      <c r="K3" s="297"/>
      <c r="Y3" s="57"/>
      <c r="Z3" s="39"/>
    </row>
    <row r="4" spans="1:38" s="3" customFormat="1" ht="30.6" customHeight="1" x14ac:dyDescent="0.3">
      <c r="B4" s="327" t="str">
        <f>+'PRE INFANTIL GRUPOS'!G6</f>
        <v>GRUPO C</v>
      </c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Y4" s="41"/>
      <c r="Z4" s="40"/>
    </row>
    <row r="5" spans="1:38" s="3" customFormat="1" ht="15" customHeight="1" x14ac:dyDescent="0.3"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S5" s="1"/>
    </row>
    <row r="6" spans="1:38" ht="21.75" customHeight="1" x14ac:dyDescent="0.45">
      <c r="A6" s="1"/>
      <c r="B6" s="316" t="s">
        <v>4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16"/>
      <c r="O6" s="16"/>
      <c r="P6" s="313" t="s">
        <v>14</v>
      </c>
      <c r="Q6" s="314"/>
      <c r="R6" s="314"/>
      <c r="S6" s="314"/>
      <c r="T6" s="314"/>
      <c r="U6" s="314"/>
      <c r="V6" s="314"/>
      <c r="W6" s="314"/>
      <c r="X6" s="314"/>
      <c r="Y6" s="314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1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1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6"/>
      <c r="B8" s="48">
        <v>42967</v>
      </c>
      <c r="C8" s="44" t="s">
        <v>113</v>
      </c>
      <c r="D8" s="274"/>
      <c r="E8" s="275" t="str">
        <f>+'PRE INFANTIL GRUPOS'!G7</f>
        <v>LE MAX TEAM</v>
      </c>
      <c r="F8" s="276" t="str">
        <f>IF(AND(G8&lt;&gt;"",I8&lt;&gt;""),IF(G8=I8,"E",IF(G8&gt;I8,"G","P")),"")</f>
        <v>E</v>
      </c>
      <c r="G8" s="260">
        <v>1</v>
      </c>
      <c r="H8" s="277" t="s">
        <v>15</v>
      </c>
      <c r="I8" s="260">
        <v>1</v>
      </c>
      <c r="J8" s="276" t="str">
        <f>IF(AND(I8&lt;&gt;"",G8&lt;&gt;""),IF(I8=G8,"E",IF(I8&gt;G8,"G","P")),"")</f>
        <v>E</v>
      </c>
      <c r="K8" s="275" t="str">
        <f>+'PRE INFANTIL GRUPOS'!I7</f>
        <v>IMPERIUM FÚTBOL CLUB</v>
      </c>
      <c r="L8" s="278"/>
      <c r="M8" s="104" t="s">
        <v>114</v>
      </c>
      <c r="N8" s="108"/>
      <c r="O8" s="60"/>
      <c r="P8" s="291"/>
      <c r="Q8" s="293" t="s">
        <v>7</v>
      </c>
      <c r="R8" s="295" t="s">
        <v>16</v>
      </c>
      <c r="S8" s="285" t="s">
        <v>8</v>
      </c>
      <c r="T8" s="285" t="s">
        <v>9</v>
      </c>
      <c r="U8" s="285" t="s">
        <v>10</v>
      </c>
      <c r="V8" s="285" t="s">
        <v>11</v>
      </c>
      <c r="W8" s="285" t="s">
        <v>12</v>
      </c>
      <c r="X8" s="285" t="s">
        <v>13</v>
      </c>
      <c r="Y8" s="285" t="s">
        <v>35</v>
      </c>
      <c r="Z8" s="287"/>
      <c r="AA8" s="25"/>
      <c r="AB8" s="289"/>
      <c r="AC8" s="289"/>
      <c r="AD8" s="289"/>
      <c r="AE8" s="289"/>
      <c r="AF8" s="289"/>
      <c r="AG8" s="289"/>
      <c r="AH8" s="289"/>
      <c r="AI8" s="25"/>
      <c r="AJ8" s="289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58"/>
      <c r="B9" s="48"/>
      <c r="C9" s="44"/>
      <c r="D9" s="274"/>
      <c r="E9" s="275"/>
      <c r="F9" s="276"/>
      <c r="G9" s="261"/>
      <c r="H9" s="277"/>
      <c r="I9" s="261"/>
      <c r="J9" s="276"/>
      <c r="K9" s="275"/>
      <c r="L9" s="278"/>
      <c r="M9" s="46"/>
      <c r="N9" s="59"/>
      <c r="O9" s="59"/>
      <c r="P9" s="292"/>
      <c r="Q9" s="294"/>
      <c r="R9" s="296"/>
      <c r="S9" s="286"/>
      <c r="T9" s="286"/>
      <c r="U9" s="286"/>
      <c r="V9" s="286"/>
      <c r="W9" s="286"/>
      <c r="X9" s="286"/>
      <c r="Y9" s="286"/>
      <c r="Z9" s="288"/>
      <c r="AA9" s="25"/>
      <c r="AB9" s="290"/>
      <c r="AC9" s="290"/>
      <c r="AD9" s="290"/>
      <c r="AE9" s="290"/>
      <c r="AF9" s="290"/>
      <c r="AG9" s="290"/>
      <c r="AH9" s="290"/>
      <c r="AI9" s="25"/>
      <c r="AJ9" s="289"/>
      <c r="AK9" s="3"/>
      <c r="AL9" s="3"/>
    </row>
    <row r="10" spans="1:38" ht="22.5" customHeight="1" x14ac:dyDescent="0.3">
      <c r="A10" s="5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9"/>
      <c r="P10" s="321" t="str">
        <f>"  1)  " &amp; VLOOKUP(1,$Z$10:$AI$17,2,0)</f>
        <v xml:space="preserve">  1)  CLUB DEPORTIVO NASSUAR</v>
      </c>
      <c r="Q10" s="281">
        <f>VLOOKUP(1,$Z$10:$AI$17,3,0)</f>
        <v>7</v>
      </c>
      <c r="R10" s="283">
        <f>+SUM(S10:U11)</f>
        <v>3</v>
      </c>
      <c r="S10" s="270">
        <f>VLOOKUP(1,$Z$10:$AI$17,4,0)</f>
        <v>2</v>
      </c>
      <c r="T10" s="270">
        <f>VLOOKUP(1,$Z$10:$AI$17,5,0)</f>
        <v>1</v>
      </c>
      <c r="U10" s="270">
        <f>VLOOKUP(1,$Z$10:$AI$17,6,0)</f>
        <v>0</v>
      </c>
      <c r="V10" s="270">
        <f>VLOOKUP(1,$Z$10:$AI$17,7,0)</f>
        <v>5</v>
      </c>
      <c r="W10" s="270">
        <f>VLOOKUP(1,$Z$10:$AI$17,8,0)</f>
        <v>1</v>
      </c>
      <c r="X10" s="270">
        <f>VLOOKUP(1,$Z$10:$AH$17,9,0)</f>
        <v>4</v>
      </c>
      <c r="Y10" s="270">
        <f>VLOOKUP(1,$Z$10:$AI$17,10,0)</f>
        <v>0</v>
      </c>
      <c r="Z10" s="272">
        <f>RANK(AJ10,$AJ$10:$AJ$17,0)</f>
        <v>3</v>
      </c>
      <c r="AA10" s="265" t="str">
        <f>+'PRE INFANTIL GRUPOS'!G7</f>
        <v>LE MAX TEAM</v>
      </c>
      <c r="AB10" s="265">
        <f>(AC10*3)+AD10</f>
        <v>1</v>
      </c>
      <c r="AC10" s="265">
        <f>COUNTIF(Q58:T58,"G")</f>
        <v>0</v>
      </c>
      <c r="AD10" s="265">
        <f>COUNTIF(Q58:T58,"E")</f>
        <v>1</v>
      </c>
      <c r="AE10" s="265">
        <f>COUNTIF(Q58:T58,"P")</f>
        <v>2</v>
      </c>
      <c r="AF10" s="265">
        <f>+I17+G26+G29+G8</f>
        <v>1</v>
      </c>
      <c r="AG10" s="265">
        <f>+G17+I26+I29+I8</f>
        <v>6</v>
      </c>
      <c r="AH10" s="265">
        <f>AF10-AG10</f>
        <v>-5</v>
      </c>
      <c r="AI10" s="267">
        <f>+N17+A26+A29+A8</f>
        <v>0</v>
      </c>
      <c r="AJ10" s="265">
        <f>(AB10*1000)+(AH10*100)+(AF10*10)-AI10+0.1</f>
        <v>510.1</v>
      </c>
      <c r="AK10" s="268">
        <f>AJ10+X10</f>
        <v>514.1</v>
      </c>
      <c r="AL10" s="3"/>
    </row>
    <row r="11" spans="1:38" ht="15.75" customHeight="1" x14ac:dyDescent="0.3">
      <c r="A11" s="107"/>
      <c r="B11" s="49">
        <v>42967</v>
      </c>
      <c r="C11" s="45" t="s">
        <v>113</v>
      </c>
      <c r="D11" s="264"/>
      <c r="E11" s="258" t="str">
        <f>+'PRE INFANTIL GRUPOS'!G8</f>
        <v>CLUB DEPORTIVO NASSUAR</v>
      </c>
      <c r="F11" s="276" t="str">
        <f>IF(AND(G11&lt;&gt;"",I11&lt;&gt;""),IF(G11=I11,"E",IF(G11&gt;I11,"G","P")),"")</f>
        <v>G</v>
      </c>
      <c r="G11" s="260">
        <v>2</v>
      </c>
      <c r="H11" s="277" t="s">
        <v>15</v>
      </c>
      <c r="I11" s="260">
        <v>1</v>
      </c>
      <c r="J11" s="276" t="str">
        <f>IF(AND(I11&lt;&gt;"",G11&lt;&gt;""),IF(I11=G11,"E",IF(I11&gt;G11,"G","P")),"")</f>
        <v>P</v>
      </c>
      <c r="K11" s="258" t="str">
        <f>+'PRE INFANTIL GRUPOS'!I8</f>
        <v>E.D.F CHOCONTA</v>
      </c>
      <c r="L11" s="257"/>
      <c r="M11" s="105" t="s">
        <v>108</v>
      </c>
      <c r="N11" s="109"/>
      <c r="O11" s="60"/>
      <c r="P11" s="322"/>
      <c r="Q11" s="282"/>
      <c r="R11" s="284"/>
      <c r="S11" s="271"/>
      <c r="T11" s="271"/>
      <c r="U11" s="271"/>
      <c r="V11" s="271"/>
      <c r="W11" s="271"/>
      <c r="X11" s="271"/>
      <c r="Y11" s="271"/>
      <c r="Z11" s="273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9"/>
      <c r="AL11" s="3"/>
    </row>
    <row r="12" spans="1:38" ht="15.75" customHeight="1" x14ac:dyDescent="0.3">
      <c r="A12" s="58"/>
      <c r="B12" s="49"/>
      <c r="C12" s="45"/>
      <c r="D12" s="264"/>
      <c r="E12" s="258"/>
      <c r="F12" s="276"/>
      <c r="G12" s="261"/>
      <c r="H12" s="277"/>
      <c r="I12" s="261"/>
      <c r="J12" s="276"/>
      <c r="K12" s="258"/>
      <c r="L12" s="257"/>
      <c r="M12" s="47"/>
      <c r="N12" s="59"/>
      <c r="O12" s="59"/>
      <c r="P12" s="321" t="str">
        <f>"  2)  " &amp; VLOOKUP(2,$Z$10:$AI$17,2,0)</f>
        <v xml:space="preserve">  2)  SPORTING CLUB VILLAVICENCIO</v>
      </c>
      <c r="Q12" s="281">
        <f>VLOOKUP(2,$Z$10:$AI$17,3,0)</f>
        <v>7</v>
      </c>
      <c r="R12" s="283">
        <f>+SUM(S12:U13)</f>
        <v>3</v>
      </c>
      <c r="S12" s="270">
        <f>VLOOKUP(2,$Z$10:$AI$17,4,0)</f>
        <v>2</v>
      </c>
      <c r="T12" s="270">
        <f>VLOOKUP(2,$Z$10:$AI$17,5,0)</f>
        <v>1</v>
      </c>
      <c r="U12" s="270">
        <f>VLOOKUP(2,$Z$10:$AI$17,6,0)</f>
        <v>0</v>
      </c>
      <c r="V12" s="270">
        <f>VLOOKUP(2,$Z$10:$AI$17,7,0)</f>
        <v>6</v>
      </c>
      <c r="W12" s="270">
        <f>VLOOKUP(2,$Z$10:$AI$17,8,0)</f>
        <v>3</v>
      </c>
      <c r="X12" s="270">
        <f>VLOOKUP(2,$Z$10:$AH$17,9,0)</f>
        <v>3</v>
      </c>
      <c r="Y12" s="270">
        <f>VLOOKUP(2,$Z$10:$AI$17,10,0)</f>
        <v>0</v>
      </c>
      <c r="Z12" s="272">
        <f>RANK(AJ12,$AJ$10:$AJ$17,0)</f>
        <v>1</v>
      </c>
      <c r="AA12" s="265" t="str">
        <f>+'PRE INFANTIL GRUPOS'!G8</f>
        <v>CLUB DEPORTIVO NASSUAR</v>
      </c>
      <c r="AB12" s="265">
        <f>(AC12*3)+AD12</f>
        <v>7</v>
      </c>
      <c r="AC12" s="265">
        <f>COUNTIF(Q59:T59,"G")</f>
        <v>2</v>
      </c>
      <c r="AD12" s="265">
        <f>COUNTIF(Q59:T59,"E")</f>
        <v>1</v>
      </c>
      <c r="AE12" s="265">
        <f>COUNTIF(Q59:T59,"P")</f>
        <v>0</v>
      </c>
      <c r="AF12" s="265">
        <f>+I20+G32+I26+G11</f>
        <v>5</v>
      </c>
      <c r="AG12" s="265">
        <f>+G20+I32+G26+I11</f>
        <v>1</v>
      </c>
      <c r="AH12" s="265">
        <f>AF12-AG12</f>
        <v>4</v>
      </c>
      <c r="AI12" s="267">
        <f>+N20+N26+A32+A11</f>
        <v>0</v>
      </c>
      <c r="AJ12" s="265">
        <f>(AB12*1000)+(AH12*100)+(AF12*10)-AI12+0.2</f>
        <v>7450.2</v>
      </c>
      <c r="AK12" s="268">
        <f>AJ12+X12</f>
        <v>7453.2</v>
      </c>
      <c r="AL12" s="3"/>
    </row>
    <row r="13" spans="1:38" ht="22.5" customHeight="1" x14ac:dyDescent="0.3">
      <c r="A13" s="5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9"/>
      <c r="P13" s="322"/>
      <c r="Q13" s="282"/>
      <c r="R13" s="284"/>
      <c r="S13" s="271"/>
      <c r="T13" s="271"/>
      <c r="U13" s="271"/>
      <c r="V13" s="271"/>
      <c r="W13" s="271"/>
      <c r="X13" s="271"/>
      <c r="Y13" s="271"/>
      <c r="Z13" s="273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9"/>
      <c r="AL13" s="3"/>
    </row>
    <row r="14" spans="1:38" ht="15" customHeight="1" x14ac:dyDescent="0.3">
      <c r="A14" s="106"/>
      <c r="B14" s="48">
        <v>42967</v>
      </c>
      <c r="C14" s="44" t="s">
        <v>115</v>
      </c>
      <c r="D14" s="274"/>
      <c r="E14" s="275" t="str">
        <f>+'PRE INFANTIL GRUPOS'!G9</f>
        <v>SPORTING CLUB VILLAVICENCIO</v>
      </c>
      <c r="F14" s="276" t="str">
        <f>IF(AND(G14&lt;&gt;"",I14&lt;&gt;""),IF(G14=I14,"E",IF(G14&gt;I14,"G","P")),"")</f>
        <v>G</v>
      </c>
      <c r="G14" s="260">
        <v>4</v>
      </c>
      <c r="H14" s="277" t="s">
        <v>15</v>
      </c>
      <c r="I14" s="260">
        <v>3</v>
      </c>
      <c r="J14" s="276" t="str">
        <f>IF(AND(I14&lt;&gt;"",G14&lt;&gt;""),IF(I14=G14,"E",IF(I14&gt;G14,"G","P")),"")</f>
        <v>P</v>
      </c>
      <c r="K14" s="275" t="str">
        <f>+'PRE INFANTIL GRUPOS'!I9</f>
        <v>ACADEMIA F.C SEDE RESTREPO</v>
      </c>
      <c r="L14" s="278"/>
      <c r="M14" s="104" t="s">
        <v>104</v>
      </c>
      <c r="N14" s="108"/>
      <c r="O14" s="60"/>
      <c r="P14" s="321" t="str">
        <f>"  3)  " &amp; VLOOKUP(3,$Z$10:$AI$17,2,0)</f>
        <v xml:space="preserve">  3)  LE MAX TEAM</v>
      </c>
      <c r="Q14" s="281">
        <f>VLOOKUP(3,$Z$10:$AI$17,3,0)</f>
        <v>1</v>
      </c>
      <c r="R14" s="283">
        <f>+SUM(S14:U15)</f>
        <v>3</v>
      </c>
      <c r="S14" s="270">
        <f>VLOOKUP(3,$Z$10:$AI$17,4,0)</f>
        <v>0</v>
      </c>
      <c r="T14" s="270">
        <f>VLOOKUP(3,$Z$10:$AI$17,5,0)</f>
        <v>1</v>
      </c>
      <c r="U14" s="270">
        <f>VLOOKUP(3,$Z$10:$AI$17,6,0)</f>
        <v>2</v>
      </c>
      <c r="V14" s="270">
        <f>VLOOKUP(3,$Z$10:$AI$17,7,0)</f>
        <v>1</v>
      </c>
      <c r="W14" s="270">
        <f>VLOOKUP(3,$Z$10:$AI$17,8,0)</f>
        <v>6</v>
      </c>
      <c r="X14" s="270">
        <f>VLOOKUP(3,$Z$10:$AI$17,9,0)</f>
        <v>-5</v>
      </c>
      <c r="Y14" s="270">
        <f>VLOOKUP(3,$Z$10:$AI$17,10,0)</f>
        <v>0</v>
      </c>
      <c r="Z14" s="272">
        <f>RANK(AJ14,$AJ$10:$AJ$17,0)</f>
        <v>2</v>
      </c>
      <c r="AA14" s="265" t="str">
        <f>+'PRE INFANTIL GRUPOS'!G9</f>
        <v>SPORTING CLUB VILLAVICENCIO</v>
      </c>
      <c r="AB14" s="265">
        <f>(AC14*3)+AD14</f>
        <v>7</v>
      </c>
      <c r="AC14" s="265">
        <f>COUNTIF(Q60:T60,"G")</f>
        <v>2</v>
      </c>
      <c r="AD14" s="265">
        <f>COUNTIF(Q60:T60,"E")</f>
        <v>1</v>
      </c>
      <c r="AE14" s="265">
        <f>COUNTIF(Q60:T60,"P")</f>
        <v>0</v>
      </c>
      <c r="AF14" s="265">
        <f>+I23+I29+I32+G14</f>
        <v>6</v>
      </c>
      <c r="AG14" s="265">
        <f>+G23+G29+G32+I14</f>
        <v>3</v>
      </c>
      <c r="AH14" s="265">
        <f>AF14-AG14</f>
        <v>3</v>
      </c>
      <c r="AI14" s="267">
        <f>+N23+N29+N32+A14</f>
        <v>0</v>
      </c>
      <c r="AJ14" s="265">
        <f>(AB14*1000)+(AH14*100)+(AF14*10)-AI14+0.3</f>
        <v>7360.3</v>
      </c>
      <c r="AK14" s="268">
        <f>+X14</f>
        <v>-5</v>
      </c>
      <c r="AL14" s="3"/>
    </row>
    <row r="15" spans="1:38" ht="15" customHeight="1" x14ac:dyDescent="0.3">
      <c r="A15" s="58"/>
      <c r="B15" s="48"/>
      <c r="C15" s="44"/>
      <c r="D15" s="274"/>
      <c r="E15" s="275"/>
      <c r="F15" s="276"/>
      <c r="G15" s="261"/>
      <c r="H15" s="277"/>
      <c r="I15" s="261"/>
      <c r="J15" s="276"/>
      <c r="K15" s="275"/>
      <c r="L15" s="278"/>
      <c r="M15" s="46"/>
      <c r="N15" s="59"/>
      <c r="O15" s="59"/>
      <c r="P15" s="322"/>
      <c r="Q15" s="282"/>
      <c r="R15" s="284"/>
      <c r="S15" s="271"/>
      <c r="T15" s="271"/>
      <c r="U15" s="271"/>
      <c r="V15" s="271"/>
      <c r="W15" s="271"/>
      <c r="X15" s="271"/>
      <c r="Y15" s="271"/>
      <c r="Z15" s="273"/>
      <c r="AA15" s="266"/>
      <c r="AB15" s="266"/>
      <c r="AC15" s="266"/>
      <c r="AD15" s="266"/>
      <c r="AE15" s="266"/>
      <c r="AF15" s="266"/>
      <c r="AG15" s="266"/>
      <c r="AH15" s="266"/>
      <c r="AI15" s="266"/>
      <c r="AJ15" s="266"/>
      <c r="AK15" s="269"/>
      <c r="AL15" s="3"/>
    </row>
    <row r="16" spans="1:38" ht="21.75" customHeight="1" x14ac:dyDescent="0.3">
      <c r="A16" s="5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9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" customHeight="1" x14ac:dyDescent="0.3">
      <c r="A17" s="107"/>
      <c r="B17" s="49"/>
      <c r="C17" s="45"/>
      <c r="D17" s="264"/>
      <c r="E17" s="258"/>
      <c r="F17" s="276" t="str">
        <f>IF(AND(G17&lt;&gt;"",I17&lt;&gt;""),IF(G17=I17,"E",IF(G17&gt;I17,"G","P")),"")</f>
        <v/>
      </c>
      <c r="G17" s="260"/>
      <c r="H17" s="277" t="s">
        <v>15</v>
      </c>
      <c r="I17" s="260"/>
      <c r="J17" s="276" t="str">
        <f>IF(AND(I17&lt;&gt;"",G17&lt;&gt;""),IF(I17=G17,"E",IF(I17&gt;G17,"G","P")),"")</f>
        <v/>
      </c>
      <c r="K17" s="258"/>
      <c r="L17" s="257"/>
      <c r="M17" s="105"/>
      <c r="N17" s="109"/>
      <c r="O17" s="60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" customHeight="1" x14ac:dyDescent="0.3">
      <c r="A18" s="58"/>
      <c r="B18" s="49"/>
      <c r="C18" s="45"/>
      <c r="D18" s="264"/>
      <c r="E18" s="258"/>
      <c r="F18" s="276"/>
      <c r="G18" s="261"/>
      <c r="H18" s="277"/>
      <c r="I18" s="261"/>
      <c r="J18" s="276"/>
      <c r="K18" s="258"/>
      <c r="L18" s="257"/>
      <c r="M18" s="47"/>
      <c r="N18" s="59"/>
      <c r="O18" s="59"/>
      <c r="P18" s="71"/>
      <c r="Q18" s="68"/>
      <c r="R18" s="68"/>
      <c r="S18" s="69"/>
      <c r="T18" s="69"/>
      <c r="U18" s="69"/>
      <c r="V18" s="69"/>
      <c r="W18" s="69"/>
      <c r="X18" s="69"/>
      <c r="Y18" s="69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25"/>
    </row>
    <row r="19" spans="1:38" s="3" customFormat="1" ht="15" customHeight="1" x14ac:dyDescent="0.3">
      <c r="A19" s="58"/>
      <c r="B19" s="182"/>
      <c r="C19" s="182"/>
      <c r="D19" s="182"/>
      <c r="E19" s="182"/>
      <c r="F19" s="182"/>
      <c r="G19" s="182"/>
      <c r="H19" s="182"/>
      <c r="I19" s="182"/>
      <c r="J19" s="186"/>
      <c r="K19" s="185"/>
      <c r="L19" s="187"/>
      <c r="M19" s="167"/>
      <c r="N19" s="59"/>
      <c r="O19" s="59"/>
      <c r="P19" s="71"/>
      <c r="Q19" s="68"/>
      <c r="R19" s="68"/>
      <c r="S19" s="69"/>
      <c r="T19" s="69"/>
      <c r="U19" s="69"/>
      <c r="V19" s="69"/>
      <c r="W19" s="69"/>
      <c r="X19" s="69"/>
      <c r="Y19" s="69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25"/>
    </row>
    <row r="20" spans="1:38" ht="15" customHeight="1" x14ac:dyDescent="0.3">
      <c r="A20" s="106"/>
      <c r="B20" s="48"/>
      <c r="C20" s="44"/>
      <c r="D20" s="274"/>
      <c r="E20" s="275"/>
      <c r="F20" s="276" t="str">
        <f>IF(AND(G20&lt;&gt;"",I20&lt;&gt;""),IF(G20=I20,"E",IF(G20&gt;I20,"G","P")),"")</f>
        <v/>
      </c>
      <c r="G20" s="260"/>
      <c r="H20" s="277" t="s">
        <v>15</v>
      </c>
      <c r="I20" s="260"/>
      <c r="J20" s="276" t="str">
        <f>IF(AND(I20&lt;&gt;"",G20&lt;&gt;""),IF(I20=G20,"E",IF(I20&gt;G20,"G","P")),"")</f>
        <v/>
      </c>
      <c r="K20" s="275"/>
      <c r="L20" s="278"/>
      <c r="M20" s="104"/>
      <c r="N20" s="106"/>
      <c r="O20" s="6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58"/>
      <c r="B21" s="48"/>
      <c r="C21" s="44"/>
      <c r="D21" s="274"/>
      <c r="E21" s="275"/>
      <c r="F21" s="276"/>
      <c r="G21" s="261"/>
      <c r="H21" s="277"/>
      <c r="I21" s="261"/>
      <c r="J21" s="276"/>
      <c r="K21" s="275"/>
      <c r="L21" s="278"/>
      <c r="M21" s="46"/>
      <c r="N21" s="63"/>
      <c r="O21" s="59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5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9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07"/>
      <c r="B23" s="49"/>
      <c r="C23" s="45"/>
      <c r="D23" s="264"/>
      <c r="E23" s="258"/>
      <c r="F23" s="276" t="str">
        <f>IF(AND(G23&lt;&gt;"",I23&lt;&gt;""),IF(G23=I23,"E",IF(G23&gt;I23,"G","P")),"")</f>
        <v/>
      </c>
      <c r="G23" s="260"/>
      <c r="H23" s="277" t="s">
        <v>15</v>
      </c>
      <c r="I23" s="260"/>
      <c r="J23" s="276" t="str">
        <f>IF(AND(I23&lt;&gt;"",G23&lt;&gt;""),IF(I23=G23,"E",IF(I23&gt;G23,"G","P")),"")</f>
        <v/>
      </c>
      <c r="K23" s="258"/>
      <c r="L23" s="257"/>
      <c r="M23" s="105"/>
      <c r="N23" s="107"/>
      <c r="O23" s="60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58"/>
      <c r="B24" s="49"/>
      <c r="C24" s="45"/>
      <c r="D24" s="264"/>
      <c r="E24" s="258"/>
      <c r="F24" s="276"/>
      <c r="G24" s="261"/>
      <c r="H24" s="277"/>
      <c r="I24" s="261"/>
      <c r="J24" s="276"/>
      <c r="K24" s="258"/>
      <c r="L24" s="257"/>
      <c r="M24" s="47"/>
      <c r="N24" s="63"/>
      <c r="O24" s="59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5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9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06"/>
      <c r="B26" s="48">
        <v>42966</v>
      </c>
      <c r="C26" s="44" t="s">
        <v>76</v>
      </c>
      <c r="D26" s="274"/>
      <c r="E26" s="275" t="str">
        <f>+'PRE INFANTIL GRUPOS'!G7</f>
        <v>LE MAX TEAM</v>
      </c>
      <c r="F26" s="276" t="str">
        <f>IF(AND(G26&lt;&gt;"",I26&lt;&gt;""),IF(G26=I26,"E",IF(G26&gt;I26,"G","P")),"")</f>
        <v>P</v>
      </c>
      <c r="G26" s="260">
        <v>0</v>
      </c>
      <c r="H26" s="277" t="s">
        <v>15</v>
      </c>
      <c r="I26" s="260">
        <v>3</v>
      </c>
      <c r="J26" s="276" t="str">
        <f>IF(AND(I26&lt;&gt;"",G26&lt;&gt;""),IF(I26=G26,"E",IF(I26&gt;G26,"G","P")),"")</f>
        <v>G</v>
      </c>
      <c r="K26" s="275" t="str">
        <f>+'PRE INFANTIL GRUPOS'!G8</f>
        <v>CLUB DEPORTIVO NASSUAR</v>
      </c>
      <c r="L26" s="278"/>
      <c r="M26" s="104" t="s">
        <v>106</v>
      </c>
      <c r="N26" s="106"/>
      <c r="O26" s="60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58"/>
      <c r="B27" s="48"/>
      <c r="C27" s="44"/>
      <c r="D27" s="274"/>
      <c r="E27" s="275"/>
      <c r="F27" s="276"/>
      <c r="G27" s="261"/>
      <c r="H27" s="277"/>
      <c r="I27" s="261"/>
      <c r="J27" s="276"/>
      <c r="K27" s="275"/>
      <c r="L27" s="278"/>
      <c r="M27" s="46"/>
      <c r="N27" s="63"/>
      <c r="O27" s="59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5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9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07"/>
      <c r="B29" s="49">
        <v>42965</v>
      </c>
      <c r="C29" s="45" t="s">
        <v>105</v>
      </c>
      <c r="D29" s="264"/>
      <c r="E29" s="258" t="str">
        <f>+'PRE INFANTIL GRUPOS'!G7</f>
        <v>LE MAX TEAM</v>
      </c>
      <c r="F29" s="276" t="str">
        <f>IF(AND(G29&lt;&gt;"",I29&lt;&gt;""),IF(G29=I29,"E",IF(G29&gt;I29,"G","P")),"")</f>
        <v>P</v>
      </c>
      <c r="G29" s="260">
        <v>0</v>
      </c>
      <c r="H29" s="277" t="s">
        <v>15</v>
      </c>
      <c r="I29" s="260">
        <v>2</v>
      </c>
      <c r="J29" s="276" t="str">
        <f>IF(AND(I29&lt;&gt;"",G29&lt;&gt;""),IF(I29=G29,"E",IF(I29&gt;G29,"G","P")),"")</f>
        <v>G</v>
      </c>
      <c r="K29" s="258" t="str">
        <f>+'PRE INFANTIL GRUPOS'!G9</f>
        <v>SPORTING CLUB VILLAVICENCIO</v>
      </c>
      <c r="L29" s="257"/>
      <c r="M29" s="105" t="s">
        <v>104</v>
      </c>
      <c r="N29" s="107"/>
      <c r="O29" s="60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58"/>
      <c r="B30" s="49"/>
      <c r="C30" s="45"/>
      <c r="D30" s="264"/>
      <c r="E30" s="258"/>
      <c r="F30" s="276"/>
      <c r="G30" s="261"/>
      <c r="H30" s="277"/>
      <c r="I30" s="261"/>
      <c r="J30" s="276"/>
      <c r="K30" s="258"/>
      <c r="L30" s="257"/>
      <c r="M30" s="47"/>
      <c r="N30" s="63"/>
      <c r="O30" s="59"/>
      <c r="P30" s="17"/>
      <c r="Q30" s="18"/>
      <c r="R30" s="18"/>
      <c r="S30" s="19"/>
      <c r="T30" s="19"/>
      <c r="U30" s="19"/>
      <c r="V30" s="19"/>
      <c r="W30" s="19"/>
      <c r="X30" s="19"/>
      <c r="Y30" s="19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3"/>
    </row>
    <row r="31" spans="1:38" ht="22.5" customHeight="1" x14ac:dyDescent="0.3">
      <c r="A31" s="5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9"/>
      <c r="P31" s="21"/>
      <c r="Q31" s="18"/>
      <c r="R31" s="18"/>
      <c r="S31" s="19"/>
      <c r="T31" s="19"/>
      <c r="U31" s="19"/>
      <c r="V31" s="19"/>
      <c r="W31" s="19"/>
      <c r="X31" s="19"/>
      <c r="Y31" s="19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3"/>
    </row>
    <row r="32" spans="1:38" ht="15" customHeight="1" x14ac:dyDescent="0.3">
      <c r="A32" s="106"/>
      <c r="B32" s="48">
        <v>42967</v>
      </c>
      <c r="C32" s="44" t="s">
        <v>112</v>
      </c>
      <c r="D32" s="274"/>
      <c r="E32" s="275" t="str">
        <f>+'PRE INFANTIL GRUPOS'!G8</f>
        <v>CLUB DEPORTIVO NASSUAR</v>
      </c>
      <c r="F32" s="276" t="str">
        <f>IF(AND(G32&lt;&gt;"",I32&lt;&gt;""),IF(G32=I32,"E",IF(G32&gt;I32,"G","P")),"")</f>
        <v>E</v>
      </c>
      <c r="G32" s="260">
        <v>0</v>
      </c>
      <c r="H32" s="277" t="s">
        <v>15</v>
      </c>
      <c r="I32" s="260">
        <v>0</v>
      </c>
      <c r="J32" s="276" t="str">
        <f>IF(AND(I32&lt;&gt;"",G32&lt;&gt;""),IF(I32=G32,"E",IF(I32&gt;G32,"G","P")),"")</f>
        <v>E</v>
      </c>
      <c r="K32" s="275" t="str">
        <f>+'PRE INFANTIL GRUPOS'!G9</f>
        <v>SPORTING CLUB VILLAVICENCIO</v>
      </c>
      <c r="L32" s="278"/>
      <c r="M32" s="104" t="s">
        <v>106</v>
      </c>
      <c r="N32" s="106"/>
      <c r="O32" s="60"/>
      <c r="P32" s="17"/>
      <c r="Q32" s="18"/>
      <c r="R32" s="18"/>
      <c r="S32" s="19"/>
      <c r="T32" s="19"/>
      <c r="U32" s="19"/>
      <c r="V32" s="19"/>
      <c r="W32" s="19"/>
      <c r="X32" s="19"/>
      <c r="Y32" s="19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3"/>
    </row>
    <row r="33" spans="1:38" ht="15" customHeight="1" x14ac:dyDescent="0.3">
      <c r="A33" s="58"/>
      <c r="B33" s="48"/>
      <c r="C33" s="44"/>
      <c r="D33" s="274"/>
      <c r="E33" s="275"/>
      <c r="F33" s="276"/>
      <c r="G33" s="261"/>
      <c r="H33" s="277"/>
      <c r="I33" s="261"/>
      <c r="J33" s="276"/>
      <c r="K33" s="275"/>
      <c r="L33" s="278"/>
      <c r="M33" s="46"/>
      <c r="N33" s="63"/>
      <c r="O33" s="59"/>
      <c r="P33" s="320"/>
      <c r="Q33" s="320"/>
      <c r="R33" s="320"/>
      <c r="S33" s="320"/>
      <c r="T33" s="320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22.5" customHeight="1" x14ac:dyDescent="0.3">
      <c r="A34" s="5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9"/>
      <c r="P34" s="13"/>
      <c r="Q34" s="13"/>
      <c r="R34" s="13"/>
      <c r="S34" s="13"/>
      <c r="T34" s="13"/>
      <c r="U34" s="13"/>
      <c r="V34" s="13"/>
      <c r="W34" s="25" t="str">
        <f>IF(AJ8=1,IF(P33="","",P33),IF(SUM(Q10:Q17)&gt;0,VLOOKUP(1,Z10:AA17,2,0),""))</f>
        <v>CLUB DEPORTIVO NASSUAR</v>
      </c>
      <c r="X34" s="13"/>
      <c r="Y34" s="13"/>
      <c r="Z34" s="13"/>
      <c r="AA34" s="13"/>
      <c r="AB34" s="13"/>
      <c r="AC34" s="20"/>
      <c r="AD34" s="20"/>
      <c r="AE34" s="20"/>
      <c r="AF34" s="20"/>
      <c r="AG34" s="20"/>
      <c r="AH34" s="20"/>
      <c r="AI34" s="13"/>
      <c r="AJ34" s="20"/>
      <c r="AK34" s="20"/>
      <c r="AL34" s="13"/>
    </row>
    <row r="35" spans="1:38" ht="15" customHeight="1" x14ac:dyDescent="0.3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60"/>
      <c r="P35" s="13"/>
      <c r="Q35" s="13"/>
      <c r="R35" s="13"/>
      <c r="S35" s="13"/>
      <c r="T35" s="13"/>
      <c r="U35" s="13"/>
      <c r="V35" s="13"/>
      <c r="W35" s="25" t="str">
        <f>IF(AJ8=1,IF(P36="","",P36),IF(SUM(Q10:Q17)&gt;0,VLOOKUP(2,Z10:AA17,2,0),""))</f>
        <v>SPORTING CLUB VILLAVICENCIO</v>
      </c>
      <c r="X35" s="13"/>
      <c r="Y35" s="13"/>
      <c r="Z35" s="13"/>
      <c r="AA35" s="13"/>
      <c r="AB35" s="13"/>
      <c r="AC35" s="20"/>
      <c r="AD35" s="20"/>
      <c r="AE35" s="20"/>
      <c r="AF35" s="20"/>
      <c r="AG35" s="20"/>
      <c r="AH35" s="20"/>
      <c r="AI35" s="13"/>
      <c r="AJ35" s="20"/>
      <c r="AK35" s="20"/>
      <c r="AL35" s="13"/>
    </row>
    <row r="36" spans="1:38" ht="15" customHeight="1" x14ac:dyDescent="0.3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  <c r="P36" s="320"/>
      <c r="Q36" s="320"/>
      <c r="R36" s="320"/>
      <c r="S36" s="320"/>
      <c r="T36" s="320"/>
      <c r="U36" s="13"/>
      <c r="V36" s="13"/>
      <c r="W36" s="13"/>
      <c r="X36" s="13"/>
      <c r="Y36" s="13"/>
      <c r="Z36" s="13"/>
      <c r="AA36" s="13"/>
      <c r="AB36" s="13"/>
      <c r="AC36" s="20"/>
      <c r="AD36" s="20"/>
      <c r="AE36" s="20"/>
      <c r="AF36" s="20"/>
      <c r="AG36" s="20"/>
      <c r="AH36" s="20"/>
      <c r="AI36" s="13"/>
      <c r="AJ36" s="20"/>
      <c r="AK36" s="20"/>
      <c r="AL36" s="13"/>
    </row>
    <row r="37" spans="1:38" x14ac:dyDescent="0.3">
      <c r="A37" s="5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x14ac:dyDescent="0.3">
      <c r="A38" s="5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x14ac:dyDescent="0.3">
      <c r="B43" s="13"/>
      <c r="C43" s="13"/>
      <c r="D43" s="13"/>
      <c r="E43" s="13"/>
      <c r="F43" s="13"/>
      <c r="G43" s="13"/>
      <c r="H43" s="13"/>
      <c r="I43" s="13"/>
      <c r="J43" s="23" t="str">
        <f>IF(AG8=1,"Indique el primero y segundo equipos clasificados de la serie:","")</f>
        <v/>
      </c>
      <c r="K43" s="13"/>
      <c r="L43" s="23" t="str">
        <f>IF(AG8=1,"Primero:","")</f>
        <v/>
      </c>
      <c r="M43" s="13"/>
      <c r="N43" s="22"/>
      <c r="O43" s="22"/>
      <c r="P43" s="2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2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17"/>
      <c r="L45" s="119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</row>
    <row r="46" spans="1:38" x14ac:dyDescent="0.3">
      <c r="B46" s="13"/>
      <c r="C46" s="13"/>
      <c r="D46" s="13"/>
      <c r="E46" s="13"/>
      <c r="F46" s="13"/>
      <c r="G46" s="13"/>
      <c r="H46" s="13"/>
      <c r="I46" s="13"/>
      <c r="J46" s="24" t="str">
        <f>IF(AG8=1,"(Debido a la paridad de los resultados, no pueden deducirse de forma automática.)","")</f>
        <v/>
      </c>
      <c r="K46" s="117"/>
      <c r="L46" s="119" t="str">
        <f>IF(AG8=1,"Segundo:","")</f>
        <v/>
      </c>
      <c r="M46" s="117"/>
      <c r="N46" s="120"/>
      <c r="O46" s="120"/>
      <c r="P46" s="120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</row>
    <row r="58" spans="16:20" x14ac:dyDescent="0.3">
      <c r="P58" s="117" t="str">
        <f>+'PRE INFANTIL GRUPOS'!G7</f>
        <v>LE MAX TEAM</v>
      </c>
      <c r="Q58" s="117" t="str">
        <f>+F8</f>
        <v>E</v>
      </c>
      <c r="R58" s="117" t="str">
        <f>+J17</f>
        <v/>
      </c>
      <c r="S58" s="117" t="str">
        <f>+F26</f>
        <v>P</v>
      </c>
      <c r="T58" s="117" t="str">
        <f>+F29</f>
        <v>P</v>
      </c>
    </row>
    <row r="59" spans="16:20" x14ac:dyDescent="0.3">
      <c r="P59" s="117" t="str">
        <f>+'PRE INFANTIL GRUPOS'!G8</f>
        <v>CLUB DEPORTIVO NASSUAR</v>
      </c>
      <c r="Q59" s="117" t="str">
        <f>+F11</f>
        <v>G</v>
      </c>
      <c r="R59" s="117" t="str">
        <f>+J20</f>
        <v/>
      </c>
      <c r="S59" s="117" t="str">
        <f>+J26</f>
        <v>G</v>
      </c>
      <c r="T59" s="117" t="str">
        <f>+F32</f>
        <v>E</v>
      </c>
    </row>
    <row r="60" spans="16:20" x14ac:dyDescent="0.3">
      <c r="P60" s="117" t="str">
        <f>+'PRE INFANTIL GRUPOS'!G9</f>
        <v>SPORTING CLUB VILLAVICENCIO</v>
      </c>
      <c r="Q60" s="117" t="str">
        <f>+F14</f>
        <v>G</v>
      </c>
      <c r="R60" s="117" t="str">
        <f>+J23</f>
        <v/>
      </c>
      <c r="S60" s="117" t="str">
        <f>+J29</f>
        <v>G</v>
      </c>
      <c r="T60" s="117" t="str">
        <f>+J32</f>
        <v>E</v>
      </c>
    </row>
  </sheetData>
  <mergeCells count="175">
    <mergeCell ref="B3:E3"/>
    <mergeCell ref="F3:K3"/>
    <mergeCell ref="B4:M5"/>
    <mergeCell ref="B6:M6"/>
    <mergeCell ref="P6:Y6"/>
    <mergeCell ref="J20:J21"/>
    <mergeCell ref="K20:K21"/>
    <mergeCell ref="L20:L21"/>
    <mergeCell ref="P8:P9"/>
    <mergeCell ref="Q8:Q9"/>
    <mergeCell ref="R8:R9"/>
    <mergeCell ref="D20:D21"/>
    <mergeCell ref="E20:E21"/>
    <mergeCell ref="F20:F21"/>
    <mergeCell ref="G20:G21"/>
    <mergeCell ref="H20:H21"/>
    <mergeCell ref="I20:I21"/>
    <mergeCell ref="D8:D9"/>
    <mergeCell ref="E8:E9"/>
    <mergeCell ref="F8:F9"/>
    <mergeCell ref="G8:G9"/>
    <mergeCell ref="H8:H9"/>
    <mergeCell ref="I8:I9"/>
    <mergeCell ref="J8:J9"/>
    <mergeCell ref="A2:N2"/>
    <mergeCell ref="A1:N1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U10:U11"/>
    <mergeCell ref="Y8:Y9"/>
    <mergeCell ref="Z8:Z9"/>
    <mergeCell ref="AB8:AB9"/>
    <mergeCell ref="AC8:AC9"/>
    <mergeCell ref="AD8:AD9"/>
    <mergeCell ref="AE8:AE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AK10:AK11"/>
    <mergeCell ref="D23:D24"/>
    <mergeCell ref="E23:E24"/>
    <mergeCell ref="F23:F24"/>
    <mergeCell ref="G23:G24"/>
    <mergeCell ref="H23:H24"/>
    <mergeCell ref="I23:I24"/>
    <mergeCell ref="AB10:AB11"/>
    <mergeCell ref="AC10:AC11"/>
    <mergeCell ref="AD10:AD11"/>
    <mergeCell ref="AE10:AE11"/>
    <mergeCell ref="AF10:AF11"/>
    <mergeCell ref="AG10:AG11"/>
    <mergeCell ref="V10:V11"/>
    <mergeCell ref="W10:W11"/>
    <mergeCell ref="X10:X11"/>
    <mergeCell ref="Y10:Y11"/>
    <mergeCell ref="Z10:Z11"/>
    <mergeCell ref="AA10:AA11"/>
    <mergeCell ref="AC12:AC13"/>
    <mergeCell ref="AD12:AD13"/>
    <mergeCell ref="X12:X13"/>
    <mergeCell ref="J23:J24"/>
    <mergeCell ref="K23:K24"/>
    <mergeCell ref="L23:L24"/>
    <mergeCell ref="P12:P13"/>
    <mergeCell ref="Q12:Q13"/>
    <mergeCell ref="R12:R13"/>
    <mergeCell ref="S14:S15"/>
    <mergeCell ref="T14:T15"/>
    <mergeCell ref="U14:U15"/>
    <mergeCell ref="P14:P15"/>
    <mergeCell ref="Q14:Q15"/>
    <mergeCell ref="AK12:AK13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AE12:AE13"/>
    <mergeCell ref="AF12:AF13"/>
    <mergeCell ref="AG12:AG13"/>
    <mergeCell ref="AH12:AH13"/>
    <mergeCell ref="AI12:AI13"/>
    <mergeCell ref="AJ12:AJ13"/>
    <mergeCell ref="Y12:Y13"/>
    <mergeCell ref="Z12:Z13"/>
    <mergeCell ref="AA12:AA13"/>
    <mergeCell ref="AB12:AB13"/>
    <mergeCell ref="S12:S13"/>
    <mergeCell ref="AH14:AH15"/>
    <mergeCell ref="AK14:AK15"/>
    <mergeCell ref="AB14:AB15"/>
    <mergeCell ref="AI14:AI15"/>
    <mergeCell ref="AJ14:AJ15"/>
    <mergeCell ref="K8:K9"/>
    <mergeCell ref="L8:L9"/>
    <mergeCell ref="P36:T36"/>
    <mergeCell ref="K32:K33"/>
    <mergeCell ref="L32:L33"/>
    <mergeCell ref="P33:T33"/>
    <mergeCell ref="L29:L30"/>
    <mergeCell ref="AC14:AC15"/>
    <mergeCell ref="AD14:AD15"/>
    <mergeCell ref="AE14:AE15"/>
    <mergeCell ref="AF14:AF15"/>
    <mergeCell ref="AG14:AG15"/>
    <mergeCell ref="V14:V15"/>
    <mergeCell ref="W14:W15"/>
    <mergeCell ref="X14:X15"/>
    <mergeCell ref="Y14:Y15"/>
    <mergeCell ref="Z14:Z15"/>
    <mergeCell ref="AA14:AA15"/>
    <mergeCell ref="T12:T13"/>
    <mergeCell ref="U12:U13"/>
    <mergeCell ref="V12:V13"/>
    <mergeCell ref="W12:W13"/>
    <mergeCell ref="D32:D33"/>
    <mergeCell ref="E32:E33"/>
    <mergeCell ref="F32:F33"/>
    <mergeCell ref="G32:G33"/>
    <mergeCell ref="H32:H33"/>
    <mergeCell ref="I32:I33"/>
    <mergeCell ref="J32:J33"/>
    <mergeCell ref="R14:R15"/>
    <mergeCell ref="D29:D30"/>
    <mergeCell ref="E29:E30"/>
    <mergeCell ref="F29:F30"/>
    <mergeCell ref="G29:G30"/>
    <mergeCell ref="H29:H30"/>
    <mergeCell ref="I29:I30"/>
    <mergeCell ref="J29:J30"/>
    <mergeCell ref="K29:K30"/>
    <mergeCell ref="D17:D18"/>
    <mergeCell ref="G17:G18"/>
    <mergeCell ref="H17:H18"/>
    <mergeCell ref="I17:I18"/>
    <mergeCell ref="J17:J18"/>
    <mergeCell ref="K17:K18"/>
    <mergeCell ref="L17:L18"/>
    <mergeCell ref="D14:D15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E14:E15"/>
    <mergeCell ref="F14:F15"/>
    <mergeCell ref="G14:G15"/>
    <mergeCell ref="H14:H15"/>
    <mergeCell ref="I14:I15"/>
    <mergeCell ref="J14:J15"/>
    <mergeCell ref="K14:K15"/>
    <mergeCell ref="L14:L15"/>
    <mergeCell ref="E17:E18"/>
    <mergeCell ref="F17:F18"/>
  </mergeCells>
  <conditionalFormatting sqref="G20:G21">
    <cfRule type="expression" dxfId="290" priority="42" stopIfTrue="1">
      <formula>F20="G"</formula>
    </cfRule>
    <cfRule type="expression" dxfId="289" priority="40" stopIfTrue="1">
      <formula>F20="P"</formula>
    </cfRule>
    <cfRule type="expression" dxfId="288" priority="41" stopIfTrue="1">
      <formula>F20="E"</formula>
    </cfRule>
  </conditionalFormatting>
  <conditionalFormatting sqref="G23:G24">
    <cfRule type="expression" dxfId="287" priority="20" stopIfTrue="1">
      <formula>F23="E"</formula>
    </cfRule>
    <cfRule type="expression" dxfId="286" priority="21" stopIfTrue="1">
      <formula>F23="G"</formula>
    </cfRule>
    <cfRule type="expression" dxfId="285" priority="19" stopIfTrue="1">
      <formula>F23="P"</formula>
    </cfRule>
  </conditionalFormatting>
  <conditionalFormatting sqref="G26:G27">
    <cfRule type="expression" dxfId="284" priority="16" stopIfTrue="1">
      <formula>F26="P"</formula>
    </cfRule>
    <cfRule type="expression" dxfId="283" priority="17" stopIfTrue="1">
      <formula>F26="E"</formula>
    </cfRule>
    <cfRule type="expression" dxfId="282" priority="18" stopIfTrue="1">
      <formula>F26="G"</formula>
    </cfRule>
  </conditionalFormatting>
  <conditionalFormatting sqref="G29:G30">
    <cfRule type="expression" dxfId="281" priority="13" stopIfTrue="1">
      <formula>F29="P"</formula>
    </cfRule>
    <cfRule type="expression" dxfId="280" priority="14" stopIfTrue="1">
      <formula>F29="E"</formula>
    </cfRule>
    <cfRule type="expression" dxfId="279" priority="15" stopIfTrue="1">
      <formula>F29="G"</formula>
    </cfRule>
  </conditionalFormatting>
  <conditionalFormatting sqref="G32:G33">
    <cfRule type="expression" dxfId="278" priority="10" stopIfTrue="1">
      <formula>F32="P"</formula>
    </cfRule>
    <cfRule type="expression" dxfId="277" priority="11" stopIfTrue="1">
      <formula>F32="E"</formula>
    </cfRule>
    <cfRule type="expression" dxfId="276" priority="12" stopIfTrue="1">
      <formula>F32="G"</formula>
    </cfRule>
  </conditionalFormatting>
  <conditionalFormatting sqref="I20:I21">
    <cfRule type="expression" dxfId="272" priority="26" stopIfTrue="1">
      <formula>J20="E"</formula>
    </cfRule>
    <cfRule type="expression" dxfId="271" priority="27" stopIfTrue="1">
      <formula>J20="G"</formula>
    </cfRule>
    <cfRule type="expression" dxfId="270" priority="25" stopIfTrue="1">
      <formula>J20="P"</formula>
    </cfRule>
  </conditionalFormatting>
  <conditionalFormatting sqref="I23:I24">
    <cfRule type="expression" dxfId="269" priority="28" stopIfTrue="1">
      <formula>J23="P"</formula>
    </cfRule>
    <cfRule type="expression" dxfId="268" priority="29" stopIfTrue="1">
      <formula>J23="E"</formula>
    </cfRule>
    <cfRule type="expression" dxfId="267" priority="30" stopIfTrue="1">
      <formula>J23="G"</formula>
    </cfRule>
  </conditionalFormatting>
  <conditionalFormatting sqref="I26:I27">
    <cfRule type="expression" dxfId="266" priority="31" stopIfTrue="1">
      <formula>J26="P"</formula>
    </cfRule>
    <cfRule type="expression" dxfId="265" priority="32" stopIfTrue="1">
      <formula>J26="E"</formula>
    </cfRule>
    <cfRule type="expression" dxfId="264" priority="33" stopIfTrue="1">
      <formula>J26="G"</formula>
    </cfRule>
  </conditionalFormatting>
  <conditionalFormatting sqref="I29:I30">
    <cfRule type="expression" dxfId="263" priority="34" stopIfTrue="1">
      <formula>J29="P"</formula>
    </cfRule>
    <cfRule type="expression" dxfId="262" priority="35" stopIfTrue="1">
      <formula>J29="E"</formula>
    </cfRule>
    <cfRule type="expression" dxfId="261" priority="36" stopIfTrue="1">
      <formula>J29="G"</formula>
    </cfRule>
  </conditionalFormatting>
  <conditionalFormatting sqref="I32:I33">
    <cfRule type="expression" dxfId="260" priority="37" stopIfTrue="1">
      <formula>J32="P"</formula>
    </cfRule>
    <cfRule type="expression" dxfId="259" priority="38" stopIfTrue="1">
      <formula>J32="E"</formula>
    </cfRule>
    <cfRule type="expression" dxfId="258" priority="39" stopIfTrue="1">
      <formula>J32="G"</formula>
    </cfRule>
  </conditionalFormatting>
  <printOptions verticalCentered="1"/>
  <pageMargins left="0" right="0" top="0.15748031496062992" bottom="0.15748031496062992" header="0" footer="0"/>
  <pageSetup scale="6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82A32C60-117C-49E4-B7C6-437F3A23585F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" stopIfTrue="1" id="{392357F9-E629-48A5-AADD-1F7224447D35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" stopIfTrue="1" id="{D8295B18-330B-438F-9886-8B78EB59E950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1" stopIfTrue="1" id="{A29BEFCC-E648-4CA1-963C-B16193BA1F89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" stopIfTrue="1" id="{22848C10-ACCB-454D-B998-E3E47CE79DC3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" stopIfTrue="1" id="{8CE079BB-D24A-445B-AC28-4A8F3C3AF5A7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L60"/>
  <sheetViews>
    <sheetView topLeftCell="A3" zoomScale="90" zoomScaleNormal="90" workbookViewId="0">
      <selection activeCell="I16" sqref="I16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2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10" t="str">
        <f>+'PRE INFANTIL GRUPOS'!C1</f>
        <v>XVIII Campeonato Nacional de Fútbol Infantil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</row>
    <row r="2" spans="1:38" s="3" customFormat="1" ht="24.6" x14ac:dyDescent="0.3">
      <c r="A2" s="311" t="s">
        <v>6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</row>
    <row r="3" spans="1:38" s="3" customFormat="1" ht="34.5" customHeight="1" x14ac:dyDescent="0.65">
      <c r="B3" s="324" t="str">
        <f>+'PRE INFANTIL GRUPOS'!C3</f>
        <v>DICIEMBRE 4 AL 6 DEL 2024</v>
      </c>
      <c r="C3" s="324"/>
      <c r="D3" s="324"/>
      <c r="E3" s="324"/>
      <c r="F3" s="297" t="str">
        <f>+'PRE INFANTIL GRUPOS'!C4</f>
        <v>NACIDOS 2010 2011</v>
      </c>
      <c r="G3" s="297"/>
      <c r="H3" s="297"/>
      <c r="I3" s="297"/>
      <c r="J3" s="297"/>
      <c r="K3" s="297"/>
      <c r="Y3" s="57"/>
      <c r="Z3" s="39"/>
    </row>
    <row r="4" spans="1:38" s="3" customFormat="1" ht="30.6" customHeight="1" x14ac:dyDescent="0.3">
      <c r="B4" s="331" t="str">
        <f>+'PRE INFANTIL GRUPOS'!I6</f>
        <v>GRUPO D</v>
      </c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Y4" s="41"/>
      <c r="Z4" s="40"/>
    </row>
    <row r="5" spans="1:38" s="3" customFormat="1" ht="15" customHeight="1" x14ac:dyDescent="0.3"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S5" s="1"/>
    </row>
    <row r="6" spans="1:38" ht="21.75" customHeight="1" x14ac:dyDescent="0.45">
      <c r="A6" s="1"/>
      <c r="B6" s="316" t="s">
        <v>4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16"/>
      <c r="O6" s="16"/>
      <c r="P6" s="313" t="s">
        <v>14</v>
      </c>
      <c r="Q6" s="314"/>
      <c r="R6" s="314"/>
      <c r="S6" s="314"/>
      <c r="T6" s="314"/>
      <c r="U6" s="314"/>
      <c r="V6" s="314"/>
      <c r="W6" s="314"/>
      <c r="X6" s="314"/>
      <c r="Y6" s="314"/>
      <c r="Z6" s="3"/>
      <c r="AA6" s="3"/>
      <c r="AB6" s="3"/>
      <c r="AC6" s="3"/>
      <c r="AD6" s="3"/>
      <c r="AE6" s="3"/>
      <c r="AF6" s="3"/>
      <c r="AG6" s="3"/>
      <c r="AH6" s="3"/>
      <c r="AI6" s="3"/>
      <c r="AJ6" s="6">
        <f>COUNT(G20,I20,G23,I23,G26,I26,G29,I29,G32,I32,G35,I35)</f>
        <v>6</v>
      </c>
      <c r="AK6" s="3"/>
      <c r="AL6" s="3"/>
    </row>
    <row r="7" spans="1:38" ht="15" customHeight="1" x14ac:dyDescent="0.3">
      <c r="A7" s="61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1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06"/>
      <c r="B8" s="48">
        <f>+'GRUPO C'!B8</f>
        <v>42967</v>
      </c>
      <c r="C8" s="44" t="str">
        <f>+'GRUPO C'!C8</f>
        <v>02:00. p.m.</v>
      </c>
      <c r="D8" s="274"/>
      <c r="E8" s="275" t="str">
        <f>+'GRUPO C'!E8:E9</f>
        <v>LE MAX TEAM</v>
      </c>
      <c r="F8" s="276" t="str">
        <f>IF(AND(G8&lt;&gt;"",I8&lt;&gt;""),IF(G8=I8,"E",IF(G8&gt;I8,"G","P")),"")</f>
        <v>E</v>
      </c>
      <c r="G8" s="318">
        <v>1</v>
      </c>
      <c r="H8" s="277" t="s">
        <v>15</v>
      </c>
      <c r="I8" s="318">
        <v>1</v>
      </c>
      <c r="J8" s="276" t="str">
        <f>IF(AND(I8&lt;&gt;"",G8&lt;&gt;""),IF(I8=G8,"E",IF(I8&gt;G8,"G","P")),"")</f>
        <v>E</v>
      </c>
      <c r="K8" s="275" t="str">
        <f>+'GRUPO C'!K8:K9</f>
        <v>IMPERIUM FÚTBOL CLUB</v>
      </c>
      <c r="L8" s="278"/>
      <c r="M8" s="104" t="str">
        <f>+'GRUPO C'!M8</f>
        <v>CANCHA 1  C</v>
      </c>
      <c r="N8" s="108"/>
      <c r="O8" s="60"/>
      <c r="P8" s="291"/>
      <c r="Q8" s="293" t="s">
        <v>7</v>
      </c>
      <c r="R8" s="295" t="s">
        <v>16</v>
      </c>
      <c r="S8" s="285" t="s">
        <v>8</v>
      </c>
      <c r="T8" s="285" t="s">
        <v>9</v>
      </c>
      <c r="U8" s="285" t="s">
        <v>10</v>
      </c>
      <c r="V8" s="285" t="s">
        <v>11</v>
      </c>
      <c r="W8" s="285" t="s">
        <v>12</v>
      </c>
      <c r="X8" s="285" t="s">
        <v>13</v>
      </c>
      <c r="Y8" s="285" t="s">
        <v>35</v>
      </c>
      <c r="Z8" s="287"/>
      <c r="AA8" s="25"/>
      <c r="AB8" s="289"/>
      <c r="AC8" s="289"/>
      <c r="AD8" s="289"/>
      <c r="AE8" s="289"/>
      <c r="AF8" s="289"/>
      <c r="AG8" s="289"/>
      <c r="AH8" s="289"/>
      <c r="AI8" s="25"/>
      <c r="AJ8" s="289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58"/>
      <c r="B9" s="48"/>
      <c r="C9" s="44"/>
      <c r="D9" s="274"/>
      <c r="E9" s="275"/>
      <c r="F9" s="276"/>
      <c r="G9" s="319"/>
      <c r="H9" s="277"/>
      <c r="I9" s="319"/>
      <c r="J9" s="276"/>
      <c r="K9" s="275"/>
      <c r="L9" s="278"/>
      <c r="M9" s="46"/>
      <c r="N9" s="59"/>
      <c r="O9" s="59"/>
      <c r="P9" s="292"/>
      <c r="Q9" s="294"/>
      <c r="R9" s="296"/>
      <c r="S9" s="286"/>
      <c r="T9" s="286"/>
      <c r="U9" s="286"/>
      <c r="V9" s="286"/>
      <c r="W9" s="286"/>
      <c r="X9" s="286"/>
      <c r="Y9" s="286"/>
      <c r="Z9" s="288"/>
      <c r="AA9" s="25"/>
      <c r="AB9" s="290"/>
      <c r="AC9" s="290"/>
      <c r="AD9" s="290"/>
      <c r="AE9" s="290"/>
      <c r="AF9" s="290"/>
      <c r="AG9" s="290"/>
      <c r="AH9" s="290"/>
      <c r="AI9" s="25"/>
      <c r="AJ9" s="289"/>
      <c r="AK9" s="3"/>
      <c r="AL9" s="3"/>
    </row>
    <row r="10" spans="1:38" ht="22.5" customHeight="1" x14ac:dyDescent="0.3">
      <c r="A10" s="5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9"/>
      <c r="P10" s="321" t="str">
        <f>"  1)  " &amp; VLOOKUP(1,$Z$10:$AI$17,2,0)</f>
        <v xml:space="preserve">  1)  IMPERIUM FÚTBOL CLUB</v>
      </c>
      <c r="Q10" s="281">
        <f>VLOOKUP(1,$Z$10:$AI$17,3,0)</f>
        <v>7</v>
      </c>
      <c r="R10" s="283">
        <f>+SUM(S10:U11)</f>
        <v>3</v>
      </c>
      <c r="S10" s="270">
        <f>VLOOKUP(1,$Z$10:$AI$17,4,0)</f>
        <v>2</v>
      </c>
      <c r="T10" s="270">
        <f>VLOOKUP(1,$Z$10:$AI$17,5,0)</f>
        <v>1</v>
      </c>
      <c r="U10" s="270">
        <f>VLOOKUP(1,$Z$10:$AI$17,6,0)</f>
        <v>0</v>
      </c>
      <c r="V10" s="270">
        <f>VLOOKUP(1,$Z$10:$AI$17,7,0)</f>
        <v>7</v>
      </c>
      <c r="W10" s="270">
        <f>VLOOKUP(1,$Z$10:$AI$17,8,0)</f>
        <v>3</v>
      </c>
      <c r="X10" s="270">
        <f>VLOOKUP(1,$Z$10:$AH$17,9,0)</f>
        <v>4</v>
      </c>
      <c r="Y10" s="270">
        <f>VLOOKUP(1,$Z$10:$AI$17,10,0)</f>
        <v>0</v>
      </c>
      <c r="Z10" s="272">
        <f>RANK(AJ10,$AJ$10:$AJ$17,0)</f>
        <v>1</v>
      </c>
      <c r="AA10" s="329" t="str">
        <f>+'PRE INFANTIL GRUPOS'!I7</f>
        <v>IMPERIUM FÚTBOL CLUB</v>
      </c>
      <c r="AB10" s="265">
        <f>(AC10*3)+AD10</f>
        <v>7</v>
      </c>
      <c r="AC10" s="265">
        <f>COUNTIF(Q59:T59,"G")</f>
        <v>2</v>
      </c>
      <c r="AD10" s="265">
        <f>COUNTIF(Q59:T59,"E")</f>
        <v>1</v>
      </c>
      <c r="AE10" s="265">
        <f>COUNTIF(Q59:T59,"P")</f>
        <v>0</v>
      </c>
      <c r="AF10" s="265">
        <f>+I17+I26+G32+I8</f>
        <v>7</v>
      </c>
      <c r="AG10" s="265">
        <f>+G17+G26+I32+G8</f>
        <v>3</v>
      </c>
      <c r="AH10" s="265">
        <f>AF10-AG10</f>
        <v>4</v>
      </c>
      <c r="AI10" s="267">
        <f>+N17+A26+A29+N8</f>
        <v>0</v>
      </c>
      <c r="AJ10" s="265">
        <f>(AB10*1000)+(AH10*100)+(AF10*10)-AI10+0.1</f>
        <v>7470.1</v>
      </c>
      <c r="AK10" s="268">
        <f>AJ10+X10</f>
        <v>7474.1</v>
      </c>
      <c r="AL10" s="3"/>
    </row>
    <row r="11" spans="1:38" ht="15.75" customHeight="1" x14ac:dyDescent="0.3">
      <c r="A11" s="107"/>
      <c r="B11" s="49">
        <f>+'GRUPO C'!B11</f>
        <v>42967</v>
      </c>
      <c r="C11" s="45" t="str">
        <f>+'GRUPO C'!C11</f>
        <v>02:00. p.m.</v>
      </c>
      <c r="D11" s="264"/>
      <c r="E11" s="258" t="str">
        <f>+'GRUPO C'!E11:E12</f>
        <v>CLUB DEPORTIVO NASSUAR</v>
      </c>
      <c r="F11" s="276" t="str">
        <f>IF(AND(G11&lt;&gt;"",I11&lt;&gt;""),IF(G11=I11,"E",IF(G11&gt;I11,"G","P")),"")</f>
        <v>G</v>
      </c>
      <c r="G11" s="318">
        <v>2</v>
      </c>
      <c r="H11" s="277" t="s">
        <v>15</v>
      </c>
      <c r="I11" s="318">
        <v>1</v>
      </c>
      <c r="J11" s="276" t="str">
        <f>IF(AND(I11&lt;&gt;"",G11&lt;&gt;""),IF(I11=G11,"E",IF(I11&gt;G11,"G","P")),"")</f>
        <v>P</v>
      </c>
      <c r="K11" s="258" t="str">
        <f>+'GRUPO C'!K11:K12</f>
        <v>E.D.F CHOCONTA</v>
      </c>
      <c r="L11" s="257"/>
      <c r="M11" s="105" t="str">
        <f>+'GRUPO C'!M11</f>
        <v>CANCHA 1 B</v>
      </c>
      <c r="N11" s="109"/>
      <c r="O11" s="60"/>
      <c r="P11" s="322"/>
      <c r="Q11" s="282"/>
      <c r="R11" s="284"/>
      <c r="S11" s="271"/>
      <c r="T11" s="271"/>
      <c r="U11" s="271"/>
      <c r="V11" s="271"/>
      <c r="W11" s="271"/>
      <c r="X11" s="271"/>
      <c r="Y11" s="271"/>
      <c r="Z11" s="273"/>
      <c r="AA11" s="330"/>
      <c r="AB11" s="266"/>
      <c r="AC11" s="266"/>
      <c r="AD11" s="266"/>
      <c r="AE11" s="266"/>
      <c r="AF11" s="266"/>
      <c r="AG11" s="266"/>
      <c r="AH11" s="266"/>
      <c r="AI11" s="266"/>
      <c r="AJ11" s="266"/>
      <c r="AK11" s="269"/>
      <c r="AL11" s="3"/>
    </row>
    <row r="12" spans="1:38" ht="15.75" customHeight="1" x14ac:dyDescent="0.3">
      <c r="A12" s="58"/>
      <c r="B12" s="49"/>
      <c r="C12" s="45"/>
      <c r="D12" s="264"/>
      <c r="E12" s="258"/>
      <c r="F12" s="276"/>
      <c r="G12" s="319"/>
      <c r="H12" s="277"/>
      <c r="I12" s="319"/>
      <c r="J12" s="276"/>
      <c r="K12" s="258"/>
      <c r="L12" s="257"/>
      <c r="M12" s="47"/>
      <c r="N12" s="59"/>
      <c r="O12" s="59"/>
      <c r="P12" s="321" t="str">
        <f>"  2)  " &amp; VLOOKUP(2,$Z$10:$AI$17,2,0)</f>
        <v xml:space="preserve">  2)  E.D.F CHOCONTA</v>
      </c>
      <c r="Q12" s="281">
        <f>VLOOKUP(2,$Z$10:$AI$17,3,0)</f>
        <v>1</v>
      </c>
      <c r="R12" s="283">
        <f>+SUM(S12:U13)</f>
        <v>3</v>
      </c>
      <c r="S12" s="270">
        <f>VLOOKUP(2,$Z$10:$AI$17,4,0)</f>
        <v>0</v>
      </c>
      <c r="T12" s="270">
        <f>VLOOKUP(2,$Z$10:$AI$17,5,0)</f>
        <v>1</v>
      </c>
      <c r="U12" s="270">
        <f>VLOOKUP(2,$Z$10:$AI$17,6,0)</f>
        <v>2</v>
      </c>
      <c r="V12" s="270">
        <f>VLOOKUP(2,$Z$10:$AI$17,7,0)</f>
        <v>2</v>
      </c>
      <c r="W12" s="270">
        <f>VLOOKUP(2,$Z$10:$AI$17,8,0)</f>
        <v>4</v>
      </c>
      <c r="X12" s="270">
        <f>VLOOKUP(2,$Z$10:$AH$17,9,0)</f>
        <v>-2</v>
      </c>
      <c r="Y12" s="270">
        <f>VLOOKUP(2,$Z$10:$AI$17,10,0)</f>
        <v>0</v>
      </c>
      <c r="Z12" s="272">
        <f>RANK(AJ12,$AJ$10:$AJ$17,0)</f>
        <v>2</v>
      </c>
      <c r="AA12" s="329" t="str">
        <f>+'PRE INFANTIL GRUPOS'!I8</f>
        <v>E.D.F CHOCONTA</v>
      </c>
      <c r="AB12" s="265">
        <f>(AC12*3)+AD12</f>
        <v>1</v>
      </c>
      <c r="AC12" s="265">
        <f>COUNTIF(Q58:T58,"G")</f>
        <v>0</v>
      </c>
      <c r="AD12" s="265">
        <f>COUNTIF(Q58:T58,"E")</f>
        <v>1</v>
      </c>
      <c r="AE12" s="265">
        <f>COUNTIF(Q58:T58,"P")</f>
        <v>2</v>
      </c>
      <c r="AF12" s="265">
        <f>+I20+G26+G29+I11</f>
        <v>2</v>
      </c>
      <c r="AG12" s="265">
        <f>+G20+I26+I29+G11</f>
        <v>4</v>
      </c>
      <c r="AH12" s="265">
        <f>AF12-AG12</f>
        <v>-2</v>
      </c>
      <c r="AI12" s="267">
        <f>+N20+N26+A32+N11</f>
        <v>0</v>
      </c>
      <c r="AJ12" s="265">
        <f>(AB12*1000)+(AH12*100)+(AF12*10)-AI12+0.2</f>
        <v>820.2</v>
      </c>
      <c r="AK12" s="268">
        <f>AJ12+X12</f>
        <v>818.2</v>
      </c>
      <c r="AL12" s="3"/>
    </row>
    <row r="13" spans="1:38" ht="22.5" customHeight="1" x14ac:dyDescent="0.3">
      <c r="A13" s="5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9"/>
      <c r="P13" s="322"/>
      <c r="Q13" s="282"/>
      <c r="R13" s="284"/>
      <c r="S13" s="271"/>
      <c r="T13" s="271"/>
      <c r="U13" s="271"/>
      <c r="V13" s="271"/>
      <c r="W13" s="271"/>
      <c r="X13" s="271"/>
      <c r="Y13" s="271"/>
      <c r="Z13" s="273"/>
      <c r="AA13" s="330"/>
      <c r="AB13" s="266"/>
      <c r="AC13" s="266"/>
      <c r="AD13" s="266"/>
      <c r="AE13" s="266"/>
      <c r="AF13" s="266"/>
      <c r="AG13" s="266"/>
      <c r="AH13" s="266"/>
      <c r="AI13" s="266"/>
      <c r="AJ13" s="266"/>
      <c r="AK13" s="269"/>
      <c r="AL13" s="3"/>
    </row>
    <row r="14" spans="1:38" ht="15" customHeight="1" x14ac:dyDescent="0.3">
      <c r="A14" s="106"/>
      <c r="B14" s="48">
        <f>+'GRUPO C'!B14</f>
        <v>42967</v>
      </c>
      <c r="C14" s="44" t="str">
        <f>+'GRUPO C'!C14</f>
        <v>02:55. p.m.</v>
      </c>
      <c r="D14" s="274"/>
      <c r="E14" s="275" t="str">
        <f>+'GRUPO C'!E14:E15</f>
        <v>SPORTING CLUB VILLAVICENCIO</v>
      </c>
      <c r="F14" s="276" t="str">
        <f>IF(AND(G14&lt;&gt;"",I14&lt;&gt;""),IF(G14=I14,"E",IF(G14&gt;I14,"G","P")),"")</f>
        <v>G</v>
      </c>
      <c r="G14" s="318">
        <v>4</v>
      </c>
      <c r="H14" s="277" t="s">
        <v>15</v>
      </c>
      <c r="I14" s="318">
        <v>3</v>
      </c>
      <c r="J14" s="276" t="str">
        <f>IF(AND(I14&lt;&gt;"",G14&lt;&gt;""),IF(I14=G14,"E",IF(I14&gt;G14,"G","P")),"")</f>
        <v>P</v>
      </c>
      <c r="K14" s="275" t="str">
        <f>+'GRUPO C'!K14:K15</f>
        <v>ACADEMIA F.C SEDE RESTREPO</v>
      </c>
      <c r="L14" s="278"/>
      <c r="M14" s="104" t="str">
        <f>+'GRUPO C'!M14</f>
        <v>CANCHA 1 A</v>
      </c>
      <c r="N14" s="108"/>
      <c r="O14" s="60"/>
      <c r="P14" s="321" t="str">
        <f>"  3)  " &amp; VLOOKUP(3,$Z$10:$AI$17,2,0)</f>
        <v xml:space="preserve">  3)  ACADEMIA F.C SEDE RESTREPO</v>
      </c>
      <c r="Q14" s="281">
        <f>VLOOKUP(3,$Z$10:$AI$17,3,0)</f>
        <v>1</v>
      </c>
      <c r="R14" s="283">
        <f>+SUM(S14:U15)</f>
        <v>3</v>
      </c>
      <c r="S14" s="270">
        <f>VLOOKUP(3,$Z$10:$AI$17,4,0)</f>
        <v>0</v>
      </c>
      <c r="T14" s="270">
        <f>VLOOKUP(3,$Z$10:$AI$17,5,0)</f>
        <v>1</v>
      </c>
      <c r="U14" s="270">
        <f>VLOOKUP(3,$Z$10:$AI$17,6,0)</f>
        <v>2</v>
      </c>
      <c r="V14" s="270">
        <f>VLOOKUP(3,$Z$10:$AI$17,7,0)</f>
        <v>4</v>
      </c>
      <c r="W14" s="270">
        <f>VLOOKUP(3,$Z$10:$AI$17,8,0)</f>
        <v>8</v>
      </c>
      <c r="X14" s="270">
        <f>VLOOKUP(3,$Z$10:$AI$17,9,0)</f>
        <v>-4</v>
      </c>
      <c r="Y14" s="270">
        <f>VLOOKUP(3,$Z$10:$AI$17,10,0)</f>
        <v>0</v>
      </c>
      <c r="Z14" s="272">
        <f>RANK(AJ14,$AJ$10:$AJ$17,0)</f>
        <v>3</v>
      </c>
      <c r="AA14" s="329" t="str">
        <f>+'PRE INFANTIL GRUPOS'!I9</f>
        <v>ACADEMIA F.C SEDE RESTREPO</v>
      </c>
      <c r="AB14" s="265">
        <f>(AC14*3)+AD14</f>
        <v>1</v>
      </c>
      <c r="AC14" s="265">
        <f>COUNTIF(Q60:T60,"G")</f>
        <v>0</v>
      </c>
      <c r="AD14" s="265">
        <f>COUNTIF(Q60:T60,"E")</f>
        <v>1</v>
      </c>
      <c r="AE14" s="265">
        <f>COUNTIF(Q60:T60,"P")</f>
        <v>2</v>
      </c>
      <c r="AF14" s="265">
        <f>+I23+I29+I32+I14</f>
        <v>4</v>
      </c>
      <c r="AG14" s="265">
        <f>+G23+G29+G32+G14</f>
        <v>8</v>
      </c>
      <c r="AH14" s="265">
        <f>AF14-AG14</f>
        <v>-4</v>
      </c>
      <c r="AI14" s="267">
        <f>+N23+N29+N32+N14</f>
        <v>0</v>
      </c>
      <c r="AJ14" s="265">
        <f>(AB14*1000)+(AH14*100)+(AF14*10)-AI14+0.3</f>
        <v>640.29999999999995</v>
      </c>
      <c r="AK14" s="268">
        <f>+X14</f>
        <v>-4</v>
      </c>
      <c r="AL14" s="3"/>
    </row>
    <row r="15" spans="1:38" ht="15" customHeight="1" x14ac:dyDescent="0.3">
      <c r="A15" s="58"/>
      <c r="B15" s="48"/>
      <c r="C15" s="44"/>
      <c r="D15" s="274"/>
      <c r="E15" s="275"/>
      <c r="F15" s="276"/>
      <c r="G15" s="319"/>
      <c r="H15" s="277"/>
      <c r="I15" s="319"/>
      <c r="J15" s="276"/>
      <c r="K15" s="275"/>
      <c r="L15" s="278"/>
      <c r="M15" s="46"/>
      <c r="N15" s="59"/>
      <c r="O15" s="59"/>
      <c r="P15" s="322"/>
      <c r="Q15" s="282"/>
      <c r="R15" s="284"/>
      <c r="S15" s="271"/>
      <c r="T15" s="271"/>
      <c r="U15" s="271"/>
      <c r="V15" s="271"/>
      <c r="W15" s="271"/>
      <c r="X15" s="271"/>
      <c r="Y15" s="271"/>
      <c r="Z15" s="273"/>
      <c r="AA15" s="330"/>
      <c r="AB15" s="266"/>
      <c r="AC15" s="266"/>
      <c r="AD15" s="266"/>
      <c r="AE15" s="266"/>
      <c r="AF15" s="266"/>
      <c r="AG15" s="266"/>
      <c r="AH15" s="266"/>
      <c r="AI15" s="266"/>
      <c r="AJ15" s="266"/>
      <c r="AK15" s="269"/>
      <c r="AL15" s="3"/>
    </row>
    <row r="16" spans="1:38" ht="21.75" customHeight="1" x14ac:dyDescent="0.3">
      <c r="A16" s="5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9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</row>
    <row r="17" spans="1:38" ht="15" customHeight="1" x14ac:dyDescent="0.3">
      <c r="A17" s="107"/>
      <c r="B17" s="49"/>
      <c r="C17" s="45"/>
      <c r="D17" s="264"/>
      <c r="E17" s="258"/>
      <c r="F17" s="276" t="str">
        <f>IF(AND(G17&lt;&gt;"",I17&lt;&gt;""),IF(G17=I17,"E",IF(G17&gt;I17,"G","P")),"")</f>
        <v/>
      </c>
      <c r="G17" s="318"/>
      <c r="H17" s="277" t="s">
        <v>15</v>
      </c>
      <c r="I17" s="318"/>
      <c r="J17" s="276" t="str">
        <f>IF(AND(I17&lt;&gt;"",G17&lt;&gt;""),IF(I17=G17,"E",IF(I17&gt;G17,"G","P")),"")</f>
        <v/>
      </c>
      <c r="K17" s="258"/>
      <c r="L17" s="257"/>
      <c r="M17" s="105"/>
      <c r="N17" s="109"/>
      <c r="O17" s="60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</row>
    <row r="18" spans="1:38" ht="15" customHeight="1" x14ac:dyDescent="0.3">
      <c r="A18" s="58"/>
      <c r="B18" s="49"/>
      <c r="C18" s="45"/>
      <c r="D18" s="264"/>
      <c r="E18" s="258"/>
      <c r="F18" s="276"/>
      <c r="G18" s="319"/>
      <c r="H18" s="277"/>
      <c r="I18" s="319"/>
      <c r="J18" s="276"/>
      <c r="K18" s="258"/>
      <c r="L18" s="257"/>
      <c r="M18" s="47"/>
      <c r="N18" s="59"/>
      <c r="O18" s="59"/>
      <c r="P18" s="71"/>
      <c r="Q18" s="68"/>
      <c r="R18" s="68"/>
      <c r="S18" s="69"/>
      <c r="T18" s="69"/>
      <c r="U18" s="69"/>
      <c r="V18" s="69"/>
      <c r="W18" s="69"/>
      <c r="X18" s="69"/>
      <c r="Y18" s="69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25"/>
    </row>
    <row r="19" spans="1:38" s="3" customFormat="1" ht="15" customHeight="1" x14ac:dyDescent="0.3">
      <c r="A19" s="58"/>
      <c r="B19" s="182"/>
      <c r="C19" s="183"/>
      <c r="D19" s="184"/>
      <c r="E19" s="185"/>
      <c r="F19" s="186"/>
      <c r="G19" s="183"/>
      <c r="H19" s="183"/>
      <c r="I19" s="183"/>
      <c r="J19" s="186"/>
      <c r="K19" s="185"/>
      <c r="L19" s="187"/>
      <c r="M19" s="167"/>
      <c r="N19" s="59"/>
      <c r="O19" s="59"/>
      <c r="P19" s="71"/>
      <c r="Q19" s="68"/>
      <c r="R19" s="68"/>
      <c r="S19" s="69"/>
      <c r="T19" s="69"/>
      <c r="U19" s="69"/>
      <c r="V19" s="69"/>
      <c r="W19" s="69"/>
      <c r="X19" s="69"/>
      <c r="Y19" s="69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25"/>
    </row>
    <row r="20" spans="1:38" ht="15" customHeight="1" x14ac:dyDescent="0.3">
      <c r="A20" s="106"/>
      <c r="B20" s="48"/>
      <c r="C20" s="44"/>
      <c r="D20" s="274"/>
      <c r="E20" s="275"/>
      <c r="F20" s="276" t="str">
        <f>IF(AND(G20&lt;&gt;"",I20&lt;&gt;""),IF(G20=I20,"E",IF(G20&gt;I20,"G","P")),"")</f>
        <v/>
      </c>
      <c r="G20" s="260"/>
      <c r="H20" s="277" t="s">
        <v>15</v>
      </c>
      <c r="I20" s="260"/>
      <c r="J20" s="276" t="str">
        <f>IF(AND(I20&lt;&gt;"",G20&lt;&gt;""),IF(I20=G20,"E",IF(I20&gt;G20,"G","P")),"")</f>
        <v/>
      </c>
      <c r="K20" s="275"/>
      <c r="L20" s="278"/>
      <c r="M20" s="104"/>
      <c r="N20" s="106"/>
      <c r="O20" s="6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58"/>
      <c r="B21" s="48"/>
      <c r="C21" s="44"/>
      <c r="D21" s="274"/>
      <c r="E21" s="275"/>
      <c r="F21" s="276"/>
      <c r="G21" s="261"/>
      <c r="H21" s="277"/>
      <c r="I21" s="261"/>
      <c r="J21" s="276"/>
      <c r="K21" s="275"/>
      <c r="L21" s="278"/>
      <c r="M21" s="46"/>
      <c r="N21" s="63"/>
      <c r="O21" s="59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5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9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07"/>
      <c r="B23" s="49"/>
      <c r="C23" s="45"/>
      <c r="D23" s="264"/>
      <c r="E23" s="258"/>
      <c r="F23" s="276" t="str">
        <f>IF(AND(G23&lt;&gt;"",I23&lt;&gt;""),IF(G23=I23,"E",IF(G23&gt;I23,"G","P")),"")</f>
        <v/>
      </c>
      <c r="G23" s="260"/>
      <c r="H23" s="277" t="s">
        <v>15</v>
      </c>
      <c r="I23" s="260"/>
      <c r="J23" s="276" t="str">
        <f>IF(AND(I23&lt;&gt;"",G23&lt;&gt;""),IF(I23=G23,"E",IF(I23&gt;G23,"G","P")),"")</f>
        <v/>
      </c>
      <c r="K23" s="258"/>
      <c r="L23" s="257"/>
      <c r="M23" s="105"/>
      <c r="N23" s="107"/>
      <c r="O23" s="60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58"/>
      <c r="B24" s="49"/>
      <c r="C24" s="45"/>
      <c r="D24" s="264"/>
      <c r="E24" s="258"/>
      <c r="F24" s="276"/>
      <c r="G24" s="261"/>
      <c r="H24" s="277"/>
      <c r="I24" s="261"/>
      <c r="J24" s="276"/>
      <c r="K24" s="258"/>
      <c r="L24" s="257"/>
      <c r="M24" s="47"/>
      <c r="N24" s="63"/>
      <c r="O24" s="59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5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9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06"/>
      <c r="B26" s="48">
        <v>42967</v>
      </c>
      <c r="C26" s="44" t="s">
        <v>112</v>
      </c>
      <c r="D26" s="274"/>
      <c r="E26" s="275" t="str">
        <f>+'PRE INFANTIL GRUPOS'!I8</f>
        <v>E.D.F CHOCONTA</v>
      </c>
      <c r="F26" s="276" t="str">
        <f>IF(AND(G26&lt;&gt;"",I26&lt;&gt;""),IF(G26=I26,"E",IF(G26&gt;I26,"G","P")),"")</f>
        <v>P</v>
      </c>
      <c r="G26" s="260">
        <v>1</v>
      </c>
      <c r="H26" s="277" t="s">
        <v>15</v>
      </c>
      <c r="I26" s="260">
        <v>2</v>
      </c>
      <c r="J26" s="276" t="str">
        <f>IF(AND(I26&lt;&gt;"",G26&lt;&gt;""),IF(I26=G26,"E",IF(I26&gt;G26,"G","P")),"")</f>
        <v>G</v>
      </c>
      <c r="K26" s="275" t="str">
        <f>+'PRE INFANTIL GRUPOS'!I7</f>
        <v>IMPERIUM FÚTBOL CLUB</v>
      </c>
      <c r="L26" s="278"/>
      <c r="M26" s="104" t="s">
        <v>108</v>
      </c>
      <c r="N26" s="106"/>
      <c r="O26" s="60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58"/>
      <c r="B27" s="48"/>
      <c r="C27" s="44"/>
      <c r="D27" s="274"/>
      <c r="E27" s="275"/>
      <c r="F27" s="276"/>
      <c r="G27" s="261"/>
      <c r="H27" s="277"/>
      <c r="I27" s="261"/>
      <c r="J27" s="276"/>
      <c r="K27" s="275"/>
      <c r="L27" s="278"/>
      <c r="M27" s="46"/>
      <c r="N27" s="63"/>
      <c r="O27" s="59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5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9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07"/>
      <c r="B29" s="49">
        <v>42965</v>
      </c>
      <c r="C29" s="45" t="s">
        <v>103</v>
      </c>
      <c r="D29" s="264"/>
      <c r="E29" s="258" t="str">
        <f>+'PRE INFANTIL GRUPOS'!I8</f>
        <v>E.D.F CHOCONTA</v>
      </c>
      <c r="F29" s="276" t="str">
        <f>IF(AND(G29&lt;&gt;"",I29&lt;&gt;""),IF(G29=I29,"E",IF(G29&gt;I29,"G","P")),"")</f>
        <v>E</v>
      </c>
      <c r="G29" s="260">
        <v>0</v>
      </c>
      <c r="H29" s="277" t="s">
        <v>15</v>
      </c>
      <c r="I29" s="260">
        <v>0</v>
      </c>
      <c r="J29" s="276" t="str">
        <f>IF(AND(I29&lt;&gt;"",G29&lt;&gt;""),IF(I29=G29,"E",IF(I29&gt;G29,"G","P")),"")</f>
        <v>E</v>
      </c>
      <c r="K29" s="258" t="str">
        <f>+'PRE INFANTIL GRUPOS'!I9</f>
        <v>ACADEMIA F.C SEDE RESTREPO</v>
      </c>
      <c r="L29" s="257"/>
      <c r="M29" s="105" t="s">
        <v>104</v>
      </c>
      <c r="N29" s="107"/>
      <c r="O29" s="60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58"/>
      <c r="B30" s="49"/>
      <c r="C30" s="45"/>
      <c r="D30" s="264"/>
      <c r="E30" s="258"/>
      <c r="F30" s="276"/>
      <c r="G30" s="261"/>
      <c r="H30" s="277"/>
      <c r="I30" s="261"/>
      <c r="J30" s="276"/>
      <c r="K30" s="258"/>
      <c r="L30" s="257"/>
      <c r="M30" s="47"/>
      <c r="N30" s="63"/>
      <c r="O30" s="59"/>
      <c r="P30" s="17"/>
      <c r="Q30" s="18"/>
      <c r="R30" s="18"/>
      <c r="S30" s="19"/>
      <c r="T30" s="19"/>
      <c r="U30" s="19"/>
      <c r="V30" s="19"/>
      <c r="W30" s="19"/>
      <c r="X30" s="19"/>
      <c r="Y30" s="19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3"/>
    </row>
    <row r="31" spans="1:38" ht="22.5" customHeight="1" x14ac:dyDescent="0.3">
      <c r="A31" s="5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9"/>
      <c r="P31" s="21"/>
      <c r="Q31" s="18"/>
      <c r="R31" s="18"/>
      <c r="S31" s="19"/>
      <c r="T31" s="19"/>
      <c r="U31" s="19"/>
      <c r="V31" s="19"/>
      <c r="W31" s="19"/>
      <c r="X31" s="19"/>
      <c r="Y31" s="19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3"/>
    </row>
    <row r="32" spans="1:38" ht="15" customHeight="1" x14ac:dyDescent="0.3">
      <c r="A32" s="106"/>
      <c r="B32" s="48">
        <v>42966</v>
      </c>
      <c r="C32" s="44" t="s">
        <v>109</v>
      </c>
      <c r="D32" s="274"/>
      <c r="E32" s="275" t="str">
        <f>+'PRE INFANTIL GRUPOS'!I7</f>
        <v>IMPERIUM FÚTBOL CLUB</v>
      </c>
      <c r="F32" s="276" t="str">
        <f>IF(AND(G32&lt;&gt;"",I32&lt;&gt;""),IF(G32=I32,"E",IF(G32&gt;I32,"G","P")),"")</f>
        <v>G</v>
      </c>
      <c r="G32" s="260">
        <v>4</v>
      </c>
      <c r="H32" s="277" t="s">
        <v>15</v>
      </c>
      <c r="I32" s="260">
        <v>1</v>
      </c>
      <c r="J32" s="276" t="str">
        <f>IF(AND(I32&lt;&gt;"",G32&lt;&gt;""),IF(I32=G32,"E",IF(I32&gt;G32,"G","P")),"")</f>
        <v>P</v>
      </c>
      <c r="K32" s="275" t="str">
        <f>+'PRE INFANTIL GRUPOS'!I9</f>
        <v>ACADEMIA F.C SEDE RESTREPO</v>
      </c>
      <c r="L32" s="278"/>
      <c r="M32" s="104" t="s">
        <v>104</v>
      </c>
      <c r="N32" s="106"/>
      <c r="O32" s="60"/>
      <c r="P32" s="17"/>
      <c r="Q32" s="18"/>
      <c r="R32" s="18"/>
      <c r="S32" s="19"/>
      <c r="T32" s="19"/>
      <c r="U32" s="19"/>
      <c r="V32" s="19"/>
      <c r="W32" s="19"/>
      <c r="X32" s="19"/>
      <c r="Y32" s="19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3"/>
    </row>
    <row r="33" spans="1:38" ht="15" customHeight="1" x14ac:dyDescent="0.3">
      <c r="A33" s="58"/>
      <c r="B33" s="48"/>
      <c r="C33" s="44"/>
      <c r="D33" s="274"/>
      <c r="E33" s="275"/>
      <c r="F33" s="276"/>
      <c r="G33" s="261"/>
      <c r="H33" s="277"/>
      <c r="I33" s="261"/>
      <c r="J33" s="276"/>
      <c r="K33" s="275"/>
      <c r="L33" s="278"/>
      <c r="M33" s="46"/>
      <c r="N33" s="63"/>
      <c r="O33" s="59"/>
      <c r="P33" s="320"/>
      <c r="Q33" s="320"/>
      <c r="R33" s="320"/>
      <c r="S33" s="320"/>
      <c r="T33" s="320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spans="1:38" ht="22.5" customHeight="1" x14ac:dyDescent="0.3">
      <c r="A34" s="5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9"/>
      <c r="P34" s="13"/>
      <c r="Q34" s="13"/>
      <c r="R34" s="13"/>
      <c r="S34" s="13"/>
      <c r="T34" s="13"/>
      <c r="U34" s="13"/>
      <c r="V34" s="13"/>
      <c r="W34" s="25" t="str">
        <f>IF(AJ8=1,IF(P33="","",P33),IF(SUM(Q10:Q17)&gt;0,VLOOKUP(1,Z10:AA17,2,0),""))</f>
        <v>IMPERIUM FÚTBOL CLUB</v>
      </c>
      <c r="X34" s="13"/>
      <c r="Y34" s="13"/>
      <c r="Z34" s="13"/>
      <c r="AA34" s="13"/>
      <c r="AB34" s="13"/>
      <c r="AC34" s="20"/>
      <c r="AD34" s="20"/>
      <c r="AE34" s="20"/>
      <c r="AF34" s="20"/>
      <c r="AG34" s="20"/>
      <c r="AH34" s="20"/>
      <c r="AI34" s="13"/>
      <c r="AJ34" s="20"/>
      <c r="AK34" s="20"/>
      <c r="AL34" s="13"/>
    </row>
    <row r="35" spans="1:38" ht="1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25" t="str">
        <f>IF(AJ8=1,IF(P36="","",P36),IF(SUM(Q10:Q17)&gt;0,VLOOKUP(2,Z10:AA17,2,0),""))</f>
        <v>E.D.F CHOCONTA</v>
      </c>
      <c r="X35" s="13"/>
      <c r="Y35" s="13"/>
      <c r="Z35" s="13"/>
      <c r="AA35" s="13"/>
      <c r="AB35" s="13"/>
      <c r="AC35" s="20"/>
      <c r="AD35" s="20"/>
      <c r="AE35" s="20"/>
      <c r="AF35" s="20"/>
      <c r="AG35" s="20"/>
      <c r="AH35" s="20"/>
      <c r="AI35" s="13"/>
      <c r="AJ35" s="20"/>
      <c r="AK35" s="20"/>
      <c r="AL35" s="13"/>
    </row>
    <row r="36" spans="1:38" ht="15" customHeight="1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320"/>
      <c r="Q36" s="320"/>
      <c r="R36" s="320"/>
      <c r="S36" s="320"/>
      <c r="T36" s="320"/>
      <c r="U36" s="13"/>
      <c r="V36" s="13"/>
      <c r="W36" s="13"/>
      <c r="X36" s="13"/>
      <c r="Y36" s="13"/>
      <c r="Z36" s="13"/>
      <c r="AA36" s="13"/>
      <c r="AB36" s="13"/>
      <c r="AC36" s="20"/>
      <c r="AD36" s="20"/>
      <c r="AE36" s="20"/>
      <c r="AF36" s="20"/>
      <c r="AG36" s="20"/>
      <c r="AH36" s="20"/>
      <c r="AI36" s="13"/>
      <c r="AJ36" s="20"/>
      <c r="AK36" s="20"/>
      <c r="AL36" s="13"/>
    </row>
    <row r="37" spans="1:38" x14ac:dyDescent="0.3">
      <c r="A37" s="5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x14ac:dyDescent="0.3">
      <c r="A38" s="59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5"/>
      <c r="R39" s="15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x14ac:dyDescent="0.3">
      <c r="B43" s="13"/>
      <c r="C43" s="13"/>
      <c r="D43" s="13"/>
      <c r="E43" s="13"/>
      <c r="F43" s="13"/>
      <c r="G43" s="13"/>
      <c r="H43" s="13"/>
      <c r="I43" s="13"/>
      <c r="J43" s="23" t="str">
        <f>IF(AG8=1,"Indique el primero y segundo equipos clasificados de la serie:","")</f>
        <v/>
      </c>
      <c r="K43" s="13"/>
      <c r="L43" s="23" t="str">
        <f>IF(AG8=1,"Primero:","")</f>
        <v/>
      </c>
      <c r="M43" s="13"/>
      <c r="N43" s="22"/>
      <c r="O43" s="22"/>
      <c r="P43" s="2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2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2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x14ac:dyDescent="0.3">
      <c r="B46" s="13"/>
      <c r="C46" s="13"/>
      <c r="D46" s="13"/>
      <c r="E46" s="13"/>
      <c r="F46" s="13"/>
      <c r="G46" s="13"/>
      <c r="H46" s="13"/>
      <c r="I46" s="13"/>
      <c r="J46" s="24" t="str">
        <f>IF(AG8=1,"(Debido a la paridad de los resultados, no pueden deducirse de forma automática.)","")</f>
        <v/>
      </c>
      <c r="K46" s="13"/>
      <c r="L46" s="23" t="str">
        <f>IF(AG8=1,"Segundo:","")</f>
        <v/>
      </c>
      <c r="M46" s="13"/>
      <c r="N46" s="22"/>
      <c r="O46" s="22"/>
      <c r="P46" s="2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58" spans="16:19" x14ac:dyDescent="0.3">
      <c r="P58" s="26" t="str">
        <f>+'PRE INFANTIL GRUPOS'!I8</f>
        <v>E.D.F CHOCONTA</v>
      </c>
      <c r="Q58" s="26" t="str">
        <f>+J11</f>
        <v>P</v>
      </c>
      <c r="R58" s="26" t="str">
        <f>+F26</f>
        <v>P</v>
      </c>
      <c r="S58" s="26" t="str">
        <f>+F29</f>
        <v>E</v>
      </c>
    </row>
    <row r="59" spans="16:19" x14ac:dyDescent="0.3">
      <c r="P59" s="26" t="str">
        <f>+'PRE INFANTIL GRUPOS'!I7</f>
        <v>IMPERIUM FÚTBOL CLUB</v>
      </c>
      <c r="Q59" s="26" t="str">
        <f>+J8</f>
        <v>E</v>
      </c>
      <c r="R59" s="26" t="str">
        <f>+J26</f>
        <v>G</v>
      </c>
      <c r="S59" s="26" t="str">
        <f>+F32</f>
        <v>G</v>
      </c>
    </row>
    <row r="60" spans="16:19" x14ac:dyDescent="0.3">
      <c r="P60" s="26" t="str">
        <f>+'PRE INFANTIL GRUPOS'!I9</f>
        <v>ACADEMIA F.C SEDE RESTREPO</v>
      </c>
      <c r="Q60" s="26" t="str">
        <f>+J14</f>
        <v>P</v>
      </c>
      <c r="R60" s="26" t="str">
        <f>+J29</f>
        <v>E</v>
      </c>
      <c r="S60" s="26" t="str">
        <f>+J32</f>
        <v>P</v>
      </c>
    </row>
  </sheetData>
  <mergeCells count="175">
    <mergeCell ref="B3:E3"/>
    <mergeCell ref="F3:K3"/>
    <mergeCell ref="B4:M5"/>
    <mergeCell ref="B6:M6"/>
    <mergeCell ref="P6:Y6"/>
    <mergeCell ref="J20:J21"/>
    <mergeCell ref="K20:K21"/>
    <mergeCell ref="L20:L21"/>
    <mergeCell ref="P8:P9"/>
    <mergeCell ref="Q8:Q9"/>
    <mergeCell ref="R8:R9"/>
    <mergeCell ref="D20:D21"/>
    <mergeCell ref="E20:E21"/>
    <mergeCell ref="F20:F21"/>
    <mergeCell ref="G20:G21"/>
    <mergeCell ref="H20:H21"/>
    <mergeCell ref="I20:I21"/>
    <mergeCell ref="D8:D9"/>
    <mergeCell ref="E8:E9"/>
    <mergeCell ref="F8:F9"/>
    <mergeCell ref="G8:G9"/>
    <mergeCell ref="H8:H9"/>
    <mergeCell ref="I8:I9"/>
    <mergeCell ref="J8:J9"/>
    <mergeCell ref="A1:N1"/>
    <mergeCell ref="A2:N2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U10:U11"/>
    <mergeCell ref="Y8:Y9"/>
    <mergeCell ref="Z8:Z9"/>
    <mergeCell ref="AB8:AB9"/>
    <mergeCell ref="AC8:AC9"/>
    <mergeCell ref="AD8:AD9"/>
    <mergeCell ref="AE8:AE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AK10:AK11"/>
    <mergeCell ref="D23:D24"/>
    <mergeCell ref="E23:E24"/>
    <mergeCell ref="F23:F24"/>
    <mergeCell ref="G23:G24"/>
    <mergeCell ref="H23:H24"/>
    <mergeCell ref="I23:I24"/>
    <mergeCell ref="AB10:AB11"/>
    <mergeCell ref="AC10:AC11"/>
    <mergeCell ref="AD10:AD11"/>
    <mergeCell ref="AE10:AE11"/>
    <mergeCell ref="AF10:AF11"/>
    <mergeCell ref="AG10:AG11"/>
    <mergeCell ref="V10:V11"/>
    <mergeCell ref="W10:W11"/>
    <mergeCell ref="X10:X11"/>
    <mergeCell ref="Y10:Y11"/>
    <mergeCell ref="Z10:Z11"/>
    <mergeCell ref="AA10:AA11"/>
    <mergeCell ref="AC12:AC13"/>
    <mergeCell ref="AD12:AD13"/>
    <mergeCell ref="X12:X13"/>
    <mergeCell ref="J23:J24"/>
    <mergeCell ref="K23:K24"/>
    <mergeCell ref="L23:L24"/>
    <mergeCell ref="P12:P13"/>
    <mergeCell ref="Q12:Q13"/>
    <mergeCell ref="R12:R13"/>
    <mergeCell ref="S14:S15"/>
    <mergeCell ref="T14:T15"/>
    <mergeCell ref="U14:U15"/>
    <mergeCell ref="P14:P15"/>
    <mergeCell ref="Q14:Q15"/>
    <mergeCell ref="AK12:AK13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AE12:AE13"/>
    <mergeCell ref="AF12:AF13"/>
    <mergeCell ref="AG12:AG13"/>
    <mergeCell ref="AH12:AH13"/>
    <mergeCell ref="AI12:AI13"/>
    <mergeCell ref="AJ12:AJ13"/>
    <mergeCell ref="Y12:Y13"/>
    <mergeCell ref="Z12:Z13"/>
    <mergeCell ref="AA12:AA13"/>
    <mergeCell ref="AB12:AB13"/>
    <mergeCell ref="S12:S13"/>
    <mergeCell ref="AH14:AH15"/>
    <mergeCell ref="AK14:AK15"/>
    <mergeCell ref="AB14:AB15"/>
    <mergeCell ref="AI14:AI15"/>
    <mergeCell ref="AJ14:AJ15"/>
    <mergeCell ref="K8:K9"/>
    <mergeCell ref="L8:L9"/>
    <mergeCell ref="P36:T36"/>
    <mergeCell ref="K32:K33"/>
    <mergeCell ref="L32:L33"/>
    <mergeCell ref="P33:T33"/>
    <mergeCell ref="L29:L30"/>
    <mergeCell ref="AC14:AC15"/>
    <mergeCell ref="AD14:AD15"/>
    <mergeCell ref="AE14:AE15"/>
    <mergeCell ref="AF14:AF15"/>
    <mergeCell ref="AG14:AG15"/>
    <mergeCell ref="V14:V15"/>
    <mergeCell ref="W14:W15"/>
    <mergeCell ref="X14:X15"/>
    <mergeCell ref="Y14:Y15"/>
    <mergeCell ref="Z14:Z15"/>
    <mergeCell ref="AA14:AA15"/>
    <mergeCell ref="T12:T13"/>
    <mergeCell ref="U12:U13"/>
    <mergeCell ref="V12:V13"/>
    <mergeCell ref="W12:W13"/>
    <mergeCell ref="D32:D33"/>
    <mergeCell ref="E32:E33"/>
    <mergeCell ref="F32:F33"/>
    <mergeCell ref="G32:G33"/>
    <mergeCell ref="H32:H33"/>
    <mergeCell ref="I32:I33"/>
    <mergeCell ref="J32:J33"/>
    <mergeCell ref="R14:R15"/>
    <mergeCell ref="D29:D30"/>
    <mergeCell ref="E29:E30"/>
    <mergeCell ref="F29:F30"/>
    <mergeCell ref="G29:G30"/>
    <mergeCell ref="H29:H30"/>
    <mergeCell ref="I29:I30"/>
    <mergeCell ref="J29:J30"/>
    <mergeCell ref="K29:K30"/>
    <mergeCell ref="D17:D18"/>
    <mergeCell ref="G17:G18"/>
    <mergeCell ref="H17:H18"/>
    <mergeCell ref="I17:I18"/>
    <mergeCell ref="J17:J18"/>
    <mergeCell ref="K17:K18"/>
    <mergeCell ref="L17:L18"/>
    <mergeCell ref="D14:D15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E14:E15"/>
    <mergeCell ref="F14:F15"/>
    <mergeCell ref="G14:G15"/>
    <mergeCell ref="H14:H15"/>
    <mergeCell ref="I14:I15"/>
    <mergeCell ref="J14:J15"/>
    <mergeCell ref="K14:K15"/>
    <mergeCell ref="L14:L15"/>
    <mergeCell ref="E17:E18"/>
    <mergeCell ref="F17:F18"/>
  </mergeCells>
  <conditionalFormatting sqref="G20:G21">
    <cfRule type="expression" dxfId="254" priority="42" stopIfTrue="1">
      <formula>F20="G"</formula>
    </cfRule>
    <cfRule type="expression" dxfId="253" priority="40" stopIfTrue="1">
      <formula>F20="P"</formula>
    </cfRule>
    <cfRule type="expression" dxfId="252" priority="41" stopIfTrue="1">
      <formula>F20="E"</formula>
    </cfRule>
  </conditionalFormatting>
  <conditionalFormatting sqref="G23:G24">
    <cfRule type="expression" dxfId="251" priority="20" stopIfTrue="1">
      <formula>F23="E"</formula>
    </cfRule>
    <cfRule type="expression" dxfId="250" priority="21" stopIfTrue="1">
      <formula>F23="G"</formula>
    </cfRule>
    <cfRule type="expression" dxfId="249" priority="19" stopIfTrue="1">
      <formula>F23="P"</formula>
    </cfRule>
  </conditionalFormatting>
  <conditionalFormatting sqref="G26:G27">
    <cfRule type="expression" dxfId="248" priority="16" stopIfTrue="1">
      <formula>F26="P"</formula>
    </cfRule>
    <cfRule type="expression" dxfId="247" priority="17" stopIfTrue="1">
      <formula>F26="E"</formula>
    </cfRule>
    <cfRule type="expression" dxfId="246" priority="18" stopIfTrue="1">
      <formula>F26="G"</formula>
    </cfRule>
  </conditionalFormatting>
  <conditionalFormatting sqref="G29:G30">
    <cfRule type="expression" dxfId="245" priority="13" stopIfTrue="1">
      <formula>F29="P"</formula>
    </cfRule>
    <cfRule type="expression" dxfId="244" priority="14" stopIfTrue="1">
      <formula>F29="E"</formula>
    </cfRule>
    <cfRule type="expression" dxfId="243" priority="15" stopIfTrue="1">
      <formula>F29="G"</formula>
    </cfRule>
  </conditionalFormatting>
  <conditionalFormatting sqref="G32:G33">
    <cfRule type="expression" dxfId="242" priority="10" stopIfTrue="1">
      <formula>F32="P"</formula>
    </cfRule>
    <cfRule type="expression" dxfId="241" priority="11" stopIfTrue="1">
      <formula>F32="E"</formula>
    </cfRule>
    <cfRule type="expression" dxfId="240" priority="12" stopIfTrue="1">
      <formula>F32="G"</formula>
    </cfRule>
  </conditionalFormatting>
  <conditionalFormatting sqref="I20:I21">
    <cfRule type="expression" dxfId="236" priority="26" stopIfTrue="1">
      <formula>J20="E"</formula>
    </cfRule>
    <cfRule type="expression" dxfId="235" priority="27" stopIfTrue="1">
      <formula>J20="G"</formula>
    </cfRule>
    <cfRule type="expression" dxfId="234" priority="25" stopIfTrue="1">
      <formula>J20="P"</formula>
    </cfRule>
  </conditionalFormatting>
  <conditionalFormatting sqref="I23:I24">
    <cfRule type="expression" dxfId="233" priority="28" stopIfTrue="1">
      <formula>J23="P"</formula>
    </cfRule>
    <cfRule type="expression" dxfId="232" priority="29" stopIfTrue="1">
      <formula>J23="E"</formula>
    </cfRule>
    <cfRule type="expression" dxfId="231" priority="30" stopIfTrue="1">
      <formula>J23="G"</formula>
    </cfRule>
  </conditionalFormatting>
  <conditionalFormatting sqref="I26:I27">
    <cfRule type="expression" dxfId="230" priority="31" stopIfTrue="1">
      <formula>J26="P"</formula>
    </cfRule>
    <cfRule type="expression" dxfId="229" priority="32" stopIfTrue="1">
      <formula>J26="E"</formula>
    </cfRule>
    <cfRule type="expression" dxfId="228" priority="33" stopIfTrue="1">
      <formula>J26="G"</formula>
    </cfRule>
  </conditionalFormatting>
  <conditionalFormatting sqref="I29:I30">
    <cfRule type="expression" dxfId="227" priority="34" stopIfTrue="1">
      <formula>J29="P"</formula>
    </cfRule>
    <cfRule type="expression" dxfId="226" priority="35" stopIfTrue="1">
      <formula>J29="E"</formula>
    </cfRule>
    <cfRule type="expression" dxfId="225" priority="36" stopIfTrue="1">
      <formula>J29="G"</formula>
    </cfRule>
  </conditionalFormatting>
  <conditionalFormatting sqref="I32:I33">
    <cfRule type="expression" dxfId="224" priority="37" stopIfTrue="1">
      <formula>J32="P"</formula>
    </cfRule>
    <cfRule type="expression" dxfId="223" priority="38" stopIfTrue="1">
      <formula>J32="E"</formula>
    </cfRule>
    <cfRule type="expression" dxfId="222" priority="39" stopIfTrue="1">
      <formula>J32="G"</formula>
    </cfRule>
  </conditionalFormatting>
  <printOptions verticalCentered="1"/>
  <pageMargins left="0" right="0" top="0.15748031496062992" bottom="0.15748031496062992" header="0" footer="0"/>
  <pageSetup scale="62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545CD7C5-249A-4B3D-A350-0816619E5CDE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" stopIfTrue="1" id="{BAB59231-D26A-4DF6-A392-BCECEA20AFB7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" stopIfTrue="1" id="{F6D2D84A-46FC-47F1-B89E-FF8D00046B94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1" stopIfTrue="1" id="{E56A33A6-41C9-4692-9FD3-A71869FAA8BE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" stopIfTrue="1" id="{52B5F40A-24B1-4658-B48B-C335B26C1694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" stopIfTrue="1" id="{B0E0C8A5-309C-4D2F-BDD1-1B3230540C70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CP23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10" t="s">
        <v>5</v>
      </c>
      <c r="I1" s="310"/>
      <c r="J1" s="310"/>
      <c r="K1" s="310"/>
      <c r="L1" s="310"/>
      <c r="M1" s="310"/>
      <c r="N1" s="310"/>
      <c r="O1" s="310"/>
      <c r="P1" s="310"/>
      <c r="Q1" s="39"/>
    </row>
    <row r="2" spans="1:17" s="3" customFormat="1" ht="38.25" customHeight="1" x14ac:dyDescent="0.3">
      <c r="B2" s="130" t="s">
        <v>42</v>
      </c>
      <c r="C2" s="131"/>
      <c r="D2" s="131"/>
      <c r="E2" s="131"/>
      <c r="F2" s="131"/>
      <c r="G2" s="131"/>
      <c r="H2" s="333" t="s">
        <v>6</v>
      </c>
      <c r="I2" s="333"/>
      <c r="J2" s="333"/>
      <c r="K2" s="333"/>
      <c r="L2" s="333"/>
      <c r="M2" s="333"/>
      <c r="N2" s="333"/>
      <c r="O2" s="333"/>
      <c r="P2" s="333"/>
      <c r="Q2" s="40"/>
    </row>
    <row r="3" spans="1:17" s="3" customFormat="1" ht="15" customHeight="1" x14ac:dyDescent="0.3">
      <c r="B3" s="132" t="s">
        <v>17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</row>
    <row r="4" spans="1:17" ht="21.75" customHeight="1" x14ac:dyDescent="0.45">
      <c r="A4" s="3"/>
      <c r="B4" s="334" t="s">
        <v>4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5"/>
      <c r="O4" s="16"/>
      <c r="P4" s="14" t="s">
        <v>18</v>
      </c>
    </row>
    <row r="5" spans="1:17" ht="15" thickBot="1" x14ac:dyDescent="0.35">
      <c r="A5" s="3"/>
      <c r="B5" s="133"/>
      <c r="C5" s="133"/>
      <c r="D5" s="133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7" x14ac:dyDescent="0.3">
      <c r="A6" s="3"/>
      <c r="B6" s="336">
        <v>42596</v>
      </c>
      <c r="C6" s="338" t="s">
        <v>2</v>
      </c>
      <c r="D6" s="340" t="s">
        <v>77</v>
      </c>
      <c r="E6" s="134"/>
      <c r="F6" s="135" t="str">
        <f>IF(AND(H6&lt;&gt;"",J6&lt;&gt;""),IF(H6=J6,"E",IF(H6&gt;J6,"G","P")),"")</f>
        <v>P</v>
      </c>
      <c r="G6" s="342" t="e">
        <f>+'GRUPO A'!$W$34</f>
        <v>#N/A</v>
      </c>
      <c r="H6" s="260">
        <v>1</v>
      </c>
      <c r="I6" s="277" t="s">
        <v>15</v>
      </c>
      <c r="J6" s="260">
        <v>2</v>
      </c>
      <c r="K6" s="277" t="str">
        <f>IF(AND(J6&lt;&gt;"",H6&lt;&gt;""),IF(J6=H6,"E",IF(J6&gt;H6,"G","P")),"")</f>
        <v>G</v>
      </c>
      <c r="L6" s="349" t="str">
        <f>+'GRUPO C'!$W$35</f>
        <v>SPORTING CLUB VILLAVICENCIO</v>
      </c>
      <c r="M6" s="134"/>
      <c r="N6" s="352" t="s">
        <v>74</v>
      </c>
      <c r="P6" s="350" t="str">
        <f>IF(OR(F6="E",F6=""),"",IF(F6="G",G6,L6))</f>
        <v>SPORTING CLUB VILLAVICENCIO</v>
      </c>
    </row>
    <row r="7" spans="1:17" ht="15" thickBot="1" x14ac:dyDescent="0.35">
      <c r="A7" s="3"/>
      <c r="B7" s="337"/>
      <c r="C7" s="339"/>
      <c r="D7" s="341"/>
      <c r="E7" s="134"/>
      <c r="F7" s="135"/>
      <c r="G7" s="342"/>
      <c r="H7" s="261"/>
      <c r="I7" s="277"/>
      <c r="J7" s="261"/>
      <c r="K7" s="277"/>
      <c r="L7" s="349"/>
      <c r="M7" s="134"/>
      <c r="N7" s="352"/>
      <c r="P7" s="351"/>
    </row>
    <row r="8" spans="1:17" ht="6.75" customHeight="1" thickBot="1" x14ac:dyDescent="0.35">
      <c r="A8" s="3"/>
      <c r="B8" s="136"/>
      <c r="C8" s="136"/>
      <c r="D8" s="137"/>
      <c r="E8" s="134"/>
      <c r="F8" s="11"/>
      <c r="G8" s="11"/>
      <c r="H8" s="11"/>
      <c r="I8" s="11"/>
      <c r="J8" s="11"/>
      <c r="K8" s="11"/>
      <c r="L8" s="134"/>
      <c r="M8" s="134"/>
      <c r="N8" s="138"/>
      <c r="P8" s="139"/>
    </row>
    <row r="9" spans="1:17" x14ac:dyDescent="0.3">
      <c r="A9" s="3"/>
      <c r="B9" s="343">
        <v>42596</v>
      </c>
      <c r="C9" s="345" t="s">
        <v>3</v>
      </c>
      <c r="D9" s="347" t="s">
        <v>78</v>
      </c>
      <c r="E9" s="134"/>
      <c r="F9" s="277" t="str">
        <f>IF(AND(H9&lt;&gt;"",J9&lt;&gt;""),IF(H9=J9,"E",IF(H9&gt;J9,"G","P")),"")</f>
        <v>G</v>
      </c>
      <c r="G9" s="349" t="str">
        <f>+'GRUPO B'!$W$34</f>
        <v>ATHLETIC MELGAR</v>
      </c>
      <c r="H9" s="260">
        <v>2</v>
      </c>
      <c r="I9" s="277" t="s">
        <v>15</v>
      </c>
      <c r="J9" s="260">
        <v>1</v>
      </c>
      <c r="K9" s="277" t="str">
        <f>IF(AND(J9&lt;&gt;"",H9&lt;&gt;""),IF(J9=H9,"E",IF(J9&gt;H9,"G","P")),"")</f>
        <v>P</v>
      </c>
      <c r="L9" s="349" t="str">
        <f>+'GRUPO D'!$W$35</f>
        <v>E.D.F CHOCONTA</v>
      </c>
      <c r="M9" s="134"/>
      <c r="N9" s="352" t="s">
        <v>37</v>
      </c>
      <c r="P9" s="350" t="str">
        <f>IF(OR(F9="E",F9=""),"",IF(F9="G",G9,L9))</f>
        <v>ATHLETIC MELGAR</v>
      </c>
    </row>
    <row r="10" spans="1:17" ht="15" thickBot="1" x14ac:dyDescent="0.35">
      <c r="A10" s="3"/>
      <c r="B10" s="344"/>
      <c r="C10" s="346"/>
      <c r="D10" s="348"/>
      <c r="E10" s="134"/>
      <c r="F10" s="277"/>
      <c r="G10" s="349"/>
      <c r="H10" s="261"/>
      <c r="I10" s="277"/>
      <c r="J10" s="261"/>
      <c r="K10" s="277"/>
      <c r="L10" s="349"/>
      <c r="M10" s="134"/>
      <c r="N10" s="352"/>
      <c r="P10" s="351"/>
    </row>
    <row r="11" spans="1:17" ht="8.25" customHeight="1" thickBot="1" x14ac:dyDescent="0.35">
      <c r="A11" s="3"/>
      <c r="B11" s="140"/>
      <c r="C11" s="136"/>
      <c r="D11" s="137"/>
      <c r="E11" s="134"/>
      <c r="F11" s="11"/>
      <c r="G11" s="134"/>
      <c r="H11" s="11"/>
      <c r="I11" s="11"/>
      <c r="J11" s="11"/>
      <c r="K11" s="11"/>
      <c r="L11" s="134"/>
      <c r="M11" s="134"/>
      <c r="N11" s="138"/>
      <c r="P11" s="139"/>
    </row>
    <row r="12" spans="1:17" x14ac:dyDescent="0.3">
      <c r="A12" s="3"/>
      <c r="B12" s="336">
        <v>42596</v>
      </c>
      <c r="C12" s="338" t="s">
        <v>58</v>
      </c>
      <c r="D12" s="340" t="s">
        <v>77</v>
      </c>
      <c r="E12" s="134"/>
      <c r="F12" s="277" t="str">
        <f>IF(AND(H12&lt;&gt;"",J12&lt;&gt;""),IF(H12=J12,"E",IF(H12&gt;J12,"G","P")),"")</f>
        <v>P</v>
      </c>
      <c r="G12" s="349" t="str">
        <f>+'GRUPO C'!W34</f>
        <v>CLUB DEPORTIVO NASSUAR</v>
      </c>
      <c r="H12" s="260">
        <v>1</v>
      </c>
      <c r="I12" s="277" t="s">
        <v>15</v>
      </c>
      <c r="J12" s="260">
        <v>2</v>
      </c>
      <c r="K12" s="277" t="str">
        <f>IF(AND(J12&lt;&gt;"",H12&lt;&gt;""),IF(J12=H12,"E",IF(J12&gt;H12,"G","P")),"")</f>
        <v>G</v>
      </c>
      <c r="L12" s="349" t="e">
        <f>+'GRUPO A'!$W$35</f>
        <v>#N/A</v>
      </c>
      <c r="M12" s="134"/>
      <c r="N12" s="352" t="s">
        <v>37</v>
      </c>
      <c r="P12" s="350" t="e">
        <f>IF(OR(F12="E",F12=""),"",IF(F12="G",G12,L12))</f>
        <v>#N/A</v>
      </c>
    </row>
    <row r="13" spans="1:17" ht="15" thickBot="1" x14ac:dyDescent="0.35">
      <c r="A13" s="3"/>
      <c r="B13" s="337"/>
      <c r="C13" s="339"/>
      <c r="D13" s="341"/>
      <c r="E13" s="134"/>
      <c r="F13" s="277"/>
      <c r="G13" s="349"/>
      <c r="H13" s="261"/>
      <c r="I13" s="277"/>
      <c r="J13" s="261"/>
      <c r="K13" s="277"/>
      <c r="L13" s="349"/>
      <c r="M13" s="134"/>
      <c r="N13" s="352"/>
      <c r="P13" s="351"/>
    </row>
    <row r="14" spans="1:17" ht="8.25" customHeight="1" thickBot="1" x14ac:dyDescent="0.35">
      <c r="A14" s="3"/>
      <c r="B14" s="140"/>
      <c r="C14" s="136"/>
      <c r="D14" s="137"/>
      <c r="E14" s="134"/>
      <c r="F14" s="11"/>
      <c r="G14" s="134"/>
      <c r="H14" s="11"/>
      <c r="I14" s="11"/>
      <c r="J14" s="11"/>
      <c r="K14" s="11"/>
      <c r="L14" s="134"/>
      <c r="M14" s="134"/>
      <c r="N14" s="138"/>
      <c r="P14" s="139"/>
    </row>
    <row r="15" spans="1:17" x14ac:dyDescent="0.3">
      <c r="A15" s="3"/>
      <c r="B15" s="343">
        <v>42596</v>
      </c>
      <c r="C15" s="345" t="s">
        <v>59</v>
      </c>
      <c r="D15" s="347" t="s">
        <v>78</v>
      </c>
      <c r="E15" s="134"/>
      <c r="F15" s="277" t="str">
        <f>IF(AND(H15&lt;&gt;"",J15&lt;&gt;""),IF(H15=J15,"E",IF(H15&gt;J15,"G","P")),"")</f>
        <v>G</v>
      </c>
      <c r="G15" s="349" t="str">
        <f>+'GRUPO D'!$W$34</f>
        <v>IMPERIUM FÚTBOL CLUB</v>
      </c>
      <c r="H15" s="260">
        <v>2</v>
      </c>
      <c r="I15" s="277" t="s">
        <v>15</v>
      </c>
      <c r="J15" s="260">
        <v>1</v>
      </c>
      <c r="K15" s="277" t="str">
        <f>IF(AND(J15&lt;&gt;"",H15&lt;&gt;""),IF(J15=H15,"E",IF(J15&gt;H15,"G","P")),"")</f>
        <v>P</v>
      </c>
      <c r="L15" s="349" t="str">
        <f>+'GRUPO B'!W35</f>
        <v>GOLDEN STEPS</v>
      </c>
      <c r="M15" s="134"/>
      <c r="N15" s="352" t="s">
        <v>74</v>
      </c>
      <c r="P15" s="350" t="str">
        <f>IF(OR(F15="E",F15=""),"",IF(F15="G",G15,L15))</f>
        <v>IMPERIUM FÚTBOL CLUB</v>
      </c>
    </row>
    <row r="16" spans="1:17" ht="15" thickBot="1" x14ac:dyDescent="0.35">
      <c r="A16" s="3"/>
      <c r="B16" s="344"/>
      <c r="C16" s="346"/>
      <c r="D16" s="348"/>
      <c r="E16" s="134"/>
      <c r="F16" s="277"/>
      <c r="G16" s="349"/>
      <c r="H16" s="261"/>
      <c r="I16" s="277"/>
      <c r="J16" s="261"/>
      <c r="K16" s="277"/>
      <c r="L16" s="349"/>
      <c r="M16" s="10"/>
      <c r="N16" s="352"/>
      <c r="P16" s="351"/>
    </row>
    <row r="17" spans="2:7" s="3" customFormat="1" ht="7.5" customHeight="1" x14ac:dyDescent="0.3"/>
    <row r="18" spans="2:7" s="3" customFormat="1" x14ac:dyDescent="0.3">
      <c r="B18" s="353" t="str">
        <f>+'PRE INFANTIL GRUPOS'!C3</f>
        <v>DICIEMBRE 4 AL 6 DEL 2024</v>
      </c>
      <c r="C18" s="353"/>
      <c r="D18" s="353"/>
      <c r="E18" s="353"/>
      <c r="F18" s="353"/>
      <c r="G18" s="353"/>
    </row>
    <row r="19" spans="2:7" s="3" customFormat="1" x14ac:dyDescent="0.3">
      <c r="B19" s="353"/>
      <c r="C19" s="353"/>
      <c r="D19" s="353"/>
      <c r="E19" s="353"/>
      <c r="F19" s="353"/>
      <c r="G19" s="353"/>
    </row>
    <row r="20" spans="2:7" s="3" customFormat="1" x14ac:dyDescent="0.3">
      <c r="B20" s="353"/>
      <c r="C20" s="353"/>
      <c r="D20" s="353"/>
      <c r="E20" s="353"/>
      <c r="F20" s="353"/>
      <c r="G20" s="353"/>
    </row>
    <row r="21" spans="2:7" s="3" customFormat="1" x14ac:dyDescent="0.3">
      <c r="B21" s="354" t="str">
        <f>+'PRE INFANTIL GRUPOS'!C4</f>
        <v>NACIDOS 2010 2011</v>
      </c>
      <c r="C21" s="354"/>
      <c r="D21" s="354"/>
      <c r="E21" s="354"/>
      <c r="F21" s="354"/>
      <c r="G21" s="354"/>
    </row>
    <row r="22" spans="2:7" s="3" customFormat="1" x14ac:dyDescent="0.3">
      <c r="B22" s="354"/>
      <c r="C22" s="354"/>
      <c r="D22" s="354"/>
      <c r="E22" s="354"/>
      <c r="F22" s="354"/>
      <c r="G22" s="354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221" priority="22" stopIfTrue="1">
      <formula>F6="P"</formula>
    </cfRule>
    <cfRule type="expression" dxfId="220" priority="23" stopIfTrue="1">
      <formula>F6="E"</formula>
    </cfRule>
    <cfRule type="expression" dxfId="219" priority="24" stopIfTrue="1">
      <formula>F6="G"</formula>
    </cfRule>
  </conditionalFormatting>
  <conditionalFormatting sqref="H9:H10">
    <cfRule type="expression" dxfId="218" priority="7" stopIfTrue="1">
      <formula>F9="P"</formula>
    </cfRule>
    <cfRule type="expression" dxfId="217" priority="8" stopIfTrue="1">
      <formula>F9="E"</formula>
    </cfRule>
    <cfRule type="expression" dxfId="216" priority="9" stopIfTrue="1">
      <formula>F9="G"</formula>
    </cfRule>
  </conditionalFormatting>
  <conditionalFormatting sqref="H12:H13">
    <cfRule type="expression" dxfId="215" priority="4" stopIfTrue="1">
      <formula>F12="P"</formula>
    </cfRule>
    <cfRule type="expression" dxfId="214" priority="5" stopIfTrue="1">
      <formula>F12="E"</formula>
    </cfRule>
    <cfRule type="expression" dxfId="213" priority="6" stopIfTrue="1">
      <formula>F12="G"</formula>
    </cfRule>
  </conditionalFormatting>
  <conditionalFormatting sqref="H15:H16">
    <cfRule type="expression" dxfId="212" priority="1" stopIfTrue="1">
      <formula>F15="P"</formula>
    </cfRule>
    <cfRule type="expression" dxfId="211" priority="2" stopIfTrue="1">
      <formula>F15="E"</formula>
    </cfRule>
    <cfRule type="expression" dxfId="210" priority="3" stopIfTrue="1">
      <formula>F15="G"</formula>
    </cfRule>
  </conditionalFormatting>
  <conditionalFormatting sqref="J6:J7">
    <cfRule type="expression" dxfId="209" priority="10" stopIfTrue="1">
      <formula>K6="P"</formula>
    </cfRule>
    <cfRule type="expression" dxfId="208" priority="11" stopIfTrue="1">
      <formula>K6="E"</formula>
    </cfRule>
    <cfRule type="expression" dxfId="207" priority="12" stopIfTrue="1">
      <formula>K6="G"</formula>
    </cfRule>
  </conditionalFormatting>
  <conditionalFormatting sqref="J9:J10">
    <cfRule type="expression" dxfId="206" priority="13" stopIfTrue="1">
      <formula>K9="P"</formula>
    </cfRule>
    <cfRule type="expression" dxfId="205" priority="14" stopIfTrue="1">
      <formula>K9="E"</formula>
    </cfRule>
    <cfRule type="expression" dxfId="204" priority="15" stopIfTrue="1">
      <formula>K9="G"</formula>
    </cfRule>
  </conditionalFormatting>
  <conditionalFormatting sqref="J12:J13">
    <cfRule type="expression" dxfId="203" priority="16" stopIfTrue="1">
      <formula>K12="P"</formula>
    </cfRule>
    <cfRule type="expression" dxfId="202" priority="17" stopIfTrue="1">
      <formula>K12="E"</formula>
    </cfRule>
    <cfRule type="expression" dxfId="201" priority="18" stopIfTrue="1">
      <formula>K12="G"</formula>
    </cfRule>
  </conditionalFormatting>
  <conditionalFormatting sqref="J15:J16">
    <cfRule type="expression" dxfId="200" priority="19" stopIfTrue="1">
      <formula>K15="P"</formula>
    </cfRule>
    <cfRule type="expression" dxfId="199" priority="20" stopIfTrue="1">
      <formula>K15="E"</formula>
    </cfRule>
    <cfRule type="expression" dxfId="19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O49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81" t="s">
        <v>5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</row>
    <row r="2" spans="1:15" s="3" customFormat="1" ht="23.25" customHeight="1" x14ac:dyDescent="0.5">
      <c r="A2" s="382" t="s">
        <v>6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</row>
    <row r="3" spans="1:15" s="3" customFormat="1" ht="9.75" customHeight="1" x14ac:dyDescent="0.3">
      <c r="N3" s="94"/>
      <c r="O3" s="94"/>
    </row>
    <row r="4" spans="1:15" s="3" customFormat="1" ht="25.5" customHeight="1" x14ac:dyDescent="0.5">
      <c r="B4" s="121" t="str">
        <f>+'PRE INFANTIL GRUPOS'!C6</f>
        <v>GRUPO A</v>
      </c>
      <c r="C4" s="125"/>
      <c r="D4" s="123" t="str">
        <f>+'PRE INFANTIL GRUPOS'!E6</f>
        <v>GRUPO B</v>
      </c>
      <c r="E4" s="111"/>
      <c r="F4" s="111"/>
      <c r="G4" s="386" t="str">
        <f>+'PRE INFANTIL GRUPOS'!G6</f>
        <v>GRUPO C</v>
      </c>
      <c r="H4" s="386"/>
      <c r="I4" s="386"/>
      <c r="J4" s="386"/>
      <c r="K4" s="386"/>
      <c r="N4" s="128" t="str">
        <f>+'PRE INFANTIL GRUPOS'!I6</f>
        <v>GRUPO D</v>
      </c>
    </row>
    <row r="5" spans="1:15" s="3" customFormat="1" ht="45" customHeight="1" x14ac:dyDescent="0.3">
      <c r="B5" s="122" t="str">
        <f>+'PRE INFANTIL GRUPOS'!C7</f>
        <v>JAGUARES F. C.</v>
      </c>
      <c r="C5" s="126"/>
      <c r="D5" s="127" t="str">
        <f>+'PRE INFANTIL GRUPOS'!E7</f>
        <v>GOLDEN STEPS</v>
      </c>
      <c r="E5" s="31"/>
      <c r="F5" s="31"/>
      <c r="G5" s="385" t="str">
        <f>+'PRE INFANTIL GRUPOS'!G7</f>
        <v>LE MAX TEAM</v>
      </c>
      <c r="H5" s="385"/>
      <c r="I5" s="385"/>
      <c r="J5" s="385"/>
      <c r="K5" s="385"/>
      <c r="L5" s="31"/>
      <c r="M5" s="31"/>
      <c r="N5" s="129" t="str">
        <f>+'PRE INFANTIL GRUPOS'!I8</f>
        <v>E.D.F CHOCONTA</v>
      </c>
    </row>
    <row r="6" spans="1:15" s="3" customFormat="1" ht="45" customHeight="1" x14ac:dyDescent="0.3">
      <c r="B6" s="122" t="str">
        <f>+'PRE INFANTIL GRUPOS'!C8</f>
        <v>TROYA F. C.</v>
      </c>
      <c r="C6" s="126"/>
      <c r="D6" s="127" t="str">
        <f>+'PRE INFANTIL GRUPOS'!E8</f>
        <v>ATHLETIC MELGAR</v>
      </c>
      <c r="E6" s="31"/>
      <c r="F6" s="31"/>
      <c r="G6" s="385" t="str">
        <f>+'PRE INFANTIL GRUPOS'!G8</f>
        <v>CLUB DEPORTIVO NASSUAR</v>
      </c>
      <c r="H6" s="385"/>
      <c r="I6" s="385"/>
      <c r="J6" s="385"/>
      <c r="K6" s="385"/>
      <c r="L6" s="31"/>
      <c r="M6" s="31"/>
      <c r="N6" s="129" t="str">
        <f>+'PRE INFANTIL GRUPOS'!I7</f>
        <v>IMPERIUM FÚTBOL CLUB</v>
      </c>
    </row>
    <row r="7" spans="1:15" s="3" customFormat="1" ht="45" customHeight="1" x14ac:dyDescent="0.3">
      <c r="B7" s="122" t="str">
        <f>+'PRE INFANTIL GRUPOS'!C9</f>
        <v>JUDERCAR F. C.</v>
      </c>
      <c r="C7" s="126"/>
      <c r="D7" s="127" t="str">
        <f>+'PRE INFANTIL GRUPOS'!E9</f>
        <v>LIONTA F. C.</v>
      </c>
      <c r="E7" s="31"/>
      <c r="F7" s="31"/>
      <c r="G7" s="385" t="str">
        <f>+'PRE INFANTIL GRUPOS'!G9</f>
        <v>SPORTING CLUB VILLAVICENCIO</v>
      </c>
      <c r="H7" s="385"/>
      <c r="I7" s="385"/>
      <c r="J7" s="385"/>
      <c r="K7" s="385"/>
      <c r="L7" s="31"/>
      <c r="M7" s="31"/>
      <c r="N7" s="129" t="str">
        <f>+'PRE INFANTIL GRUPOS'!I9</f>
        <v>ACADEMIA F.C SEDE RESTREPO</v>
      </c>
    </row>
    <row r="8" spans="1:15" s="3" customFormat="1" ht="45" customHeight="1" x14ac:dyDescent="0.3">
      <c r="B8" s="122" t="e">
        <f>+'PRE INFANTIL GRUPOS'!#REF!</f>
        <v>#REF!</v>
      </c>
      <c r="C8" s="126"/>
      <c r="D8" s="127" t="e">
        <f>+'PRE INFANTIL GRUPOS'!#REF!</f>
        <v>#REF!</v>
      </c>
      <c r="E8" s="31"/>
      <c r="F8" s="31"/>
      <c r="G8" s="385" t="e">
        <f>+'PRE INFANTIL GRUPOS'!#REF!</f>
        <v>#REF!</v>
      </c>
      <c r="H8" s="385"/>
      <c r="I8" s="385"/>
      <c r="J8" s="385"/>
      <c r="K8" s="385"/>
      <c r="L8" s="31"/>
      <c r="M8" s="31"/>
      <c r="N8" s="129">
        <f>+'PRE INFANTIL GRUPOS'!I10</f>
        <v>0</v>
      </c>
    </row>
    <row r="9" spans="1:15" s="3" customFormat="1" ht="7.5" customHeight="1" x14ac:dyDescent="0.3"/>
    <row r="10" spans="1:15" s="3" customFormat="1" ht="24" customHeight="1" x14ac:dyDescent="0.55000000000000004">
      <c r="B10" s="75" t="str">
        <f>+'PRE INFANTIL GRUPOS'!C3</f>
        <v>DICIEMBRE 4 AL 6 DEL 2024</v>
      </c>
      <c r="C10" s="75"/>
      <c r="N10" s="389">
        <f>+'PRE INFANTIL GRUPOS'!C10</f>
        <v>0</v>
      </c>
      <c r="O10" s="389"/>
    </row>
    <row r="11" spans="1:15" s="3" customFormat="1" ht="21" x14ac:dyDescent="0.4">
      <c r="B11" s="93" t="str">
        <f>+'PRE INFANTIL GRUPOS'!C4</f>
        <v>NACIDOS 2010 2011</v>
      </c>
      <c r="C11" s="93"/>
      <c r="N11" s="389"/>
      <c r="O11" s="389"/>
    </row>
    <row r="12" spans="1:15" s="3" customFormat="1" ht="11.25" customHeight="1" x14ac:dyDescent="0.3">
      <c r="A12" s="383" t="str">
        <f>+'GRUPO A'!B4</f>
        <v>GRUPO A</v>
      </c>
      <c r="B12" s="383"/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</row>
    <row r="13" spans="1:15" s="3" customFormat="1" ht="21" customHeight="1" x14ac:dyDescent="0.3">
      <c r="A13" s="384"/>
      <c r="B13" s="384"/>
      <c r="C13" s="384"/>
      <c r="D13" s="384"/>
      <c r="E13" s="384"/>
      <c r="F13" s="384"/>
      <c r="G13" s="384"/>
      <c r="H13" s="384"/>
      <c r="I13" s="384"/>
      <c r="J13" s="384"/>
      <c r="K13" s="384"/>
      <c r="L13" s="384"/>
      <c r="M13" s="384"/>
      <c r="N13" s="384"/>
      <c r="O13" s="384"/>
    </row>
    <row r="14" spans="1:15" ht="23.4" x14ac:dyDescent="0.3">
      <c r="A14" s="356" t="s">
        <v>33</v>
      </c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57"/>
      <c r="N14" s="357"/>
      <c r="O14" s="357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4">
        <f>+'GRUPO A'!B20</f>
        <v>0</v>
      </c>
      <c r="B16" s="85">
        <f>+'GRUPO A'!C20</f>
        <v>0</v>
      </c>
      <c r="C16" s="85"/>
      <c r="D16" s="379">
        <f>+'GRUPO A'!E20</f>
        <v>0</v>
      </c>
      <c r="E16" s="379"/>
      <c r="F16" s="102" t="str">
        <f>IF(AND(G16&lt;&gt;"",I16&lt;&gt;""),IF(G16=I16,"E",IF(G16&gt;I16,"G","P")),"")</f>
        <v/>
      </c>
      <c r="G16" s="103"/>
      <c r="H16" s="79" t="s">
        <v>15</v>
      </c>
      <c r="I16" s="103"/>
      <c r="J16" s="102" t="str">
        <f>IF(AND(I16&lt;&gt;"",G16&lt;&gt;""),IF(I16=G16,"E",IF(I16&gt;G16,"G","P")),"")</f>
        <v/>
      </c>
      <c r="K16" s="379">
        <f>+'GRUPO A'!K20</f>
        <v>0</v>
      </c>
      <c r="L16" s="379"/>
      <c r="M16" s="379"/>
      <c r="N16" s="379"/>
      <c r="O16" s="86">
        <f>+'GRUPO A'!M20</f>
        <v>0</v>
      </c>
    </row>
    <row r="17" spans="1:15" ht="7.5" customHeight="1" x14ac:dyDescent="0.35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</row>
    <row r="18" spans="1:15" ht="33.75" customHeight="1" x14ac:dyDescent="0.35">
      <c r="A18" s="87">
        <f>+'GRUPO A'!B23</f>
        <v>0</v>
      </c>
      <c r="B18" s="88">
        <f>+'GRUPO A'!C23</f>
        <v>0</v>
      </c>
      <c r="C18" s="88"/>
      <c r="D18" s="380">
        <f>+'GRUPO A'!E23</f>
        <v>0</v>
      </c>
      <c r="E18" s="380"/>
      <c r="F18" s="102" t="str">
        <f>IF(AND(G18&lt;&gt;"",I18&lt;&gt;""),IF(G18=I18,"E",IF(G18&gt;I18,"G","P")),"")</f>
        <v/>
      </c>
      <c r="G18" s="103"/>
      <c r="H18" s="79" t="s">
        <v>15</v>
      </c>
      <c r="I18" s="103"/>
      <c r="J18" s="102" t="str">
        <f>IF(AND(I18&lt;&gt;"",G18&lt;&gt;""),IF(I18=G18,"E",IF(I18&gt;G18,"G","P")),"")</f>
        <v/>
      </c>
      <c r="K18" s="380">
        <f>+'GRUPO A'!K23</f>
        <v>0</v>
      </c>
      <c r="L18" s="380"/>
      <c r="M18" s="380"/>
      <c r="N18" s="380"/>
      <c r="O18" s="90">
        <f>+'GRUPO A'!M23</f>
        <v>0</v>
      </c>
    </row>
    <row r="19" spans="1:15" hidden="1" x14ac:dyDescent="0.3"/>
    <row r="20" spans="1:15" ht="11.25" customHeight="1" x14ac:dyDescent="0.3">
      <c r="A20" s="390" t="str">
        <f>+'GRUPO B'!B4</f>
        <v>GRUPO B</v>
      </c>
      <c r="B20" s="390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</row>
    <row r="21" spans="1:15" ht="21" customHeight="1" x14ac:dyDescent="0.3">
      <c r="A21" s="390"/>
      <c r="B21" s="390"/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</row>
    <row r="22" spans="1:15" ht="23.4" x14ac:dyDescent="0.3">
      <c r="A22" s="356" t="s">
        <v>33</v>
      </c>
      <c r="B22" s="357"/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357"/>
      <c r="O22" s="357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4">
        <f>+'GRUPO B'!B20</f>
        <v>0</v>
      </c>
      <c r="B24" s="85">
        <f>+'GRUPO B'!C20</f>
        <v>0</v>
      </c>
      <c r="C24" s="85"/>
      <c r="D24" s="379">
        <f>+'GRUPO B'!E20</f>
        <v>0</v>
      </c>
      <c r="E24" s="379"/>
      <c r="F24" s="51" t="str">
        <f>IF(AND(G24&lt;&gt;"",I24&lt;&gt;""),IF(G24=I24,"E",IF(G24&gt;I24,"G","P")),"")</f>
        <v/>
      </c>
      <c r="G24" s="95"/>
      <c r="H24" s="11" t="s">
        <v>15</v>
      </c>
      <c r="I24" s="95"/>
      <c r="J24" s="51" t="str">
        <f>IF(AND(I24&lt;&gt;"",G24&lt;&gt;""),IF(I24=G24,"E",IF(I24&gt;G24,"G","P")),"")</f>
        <v/>
      </c>
      <c r="K24" s="379">
        <f>+'GRUPO B'!K20</f>
        <v>0</v>
      </c>
      <c r="L24" s="379"/>
      <c r="M24" s="379"/>
      <c r="N24" s="379"/>
      <c r="O24" s="86">
        <f>+'GRUPO B'!M20</f>
        <v>0</v>
      </c>
    </row>
    <row r="25" spans="1:15" ht="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7">
        <f>+'GRUPO B'!B23</f>
        <v>0</v>
      </c>
      <c r="B26" s="88">
        <f>+'GRUPO B'!C23</f>
        <v>0</v>
      </c>
      <c r="C26" s="88"/>
      <c r="D26" s="380">
        <f>+'GRUPO B'!E23</f>
        <v>0</v>
      </c>
      <c r="E26" s="380"/>
      <c r="F26" s="51" t="str">
        <f>IF(AND(G26&lt;&gt;"",I26&lt;&gt;""),IF(G26=I26,"E",IF(G26&gt;I26,"G","P")),"")</f>
        <v/>
      </c>
      <c r="G26" s="95"/>
      <c r="H26" s="11" t="s">
        <v>15</v>
      </c>
      <c r="I26" s="95"/>
      <c r="J26" s="51" t="str">
        <f>IF(AND(I26&lt;&gt;"",G26&lt;&gt;""),IF(I26=G26,"E",IF(I26&gt;G26,"G","P")),"")</f>
        <v/>
      </c>
      <c r="K26" s="380">
        <f>+'GRUPO B'!K23</f>
        <v>0</v>
      </c>
      <c r="L26" s="380"/>
      <c r="M26" s="380"/>
      <c r="N26" s="380"/>
      <c r="O26" s="90">
        <f>+'GRUPO B'!M23</f>
        <v>0</v>
      </c>
    </row>
    <row r="27" spans="1:15" ht="11.25" customHeight="1" x14ac:dyDescent="0.3">
      <c r="A27" s="387" t="str">
        <f>+'GRUPO C'!B4</f>
        <v>GRUPO C</v>
      </c>
      <c r="B27" s="387"/>
      <c r="C27" s="387"/>
      <c r="D27" s="387"/>
      <c r="E27" s="387"/>
      <c r="F27" s="387"/>
      <c r="G27" s="387"/>
      <c r="H27" s="387"/>
      <c r="I27" s="387"/>
      <c r="J27" s="387"/>
      <c r="K27" s="387"/>
      <c r="L27" s="387"/>
      <c r="M27" s="387"/>
      <c r="N27" s="387"/>
      <c r="O27" s="387"/>
    </row>
    <row r="28" spans="1:15" ht="21" customHeight="1" x14ac:dyDescent="0.3">
      <c r="A28" s="388"/>
      <c r="B28" s="388"/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</row>
    <row r="29" spans="1:15" s="3" customFormat="1" ht="18.75" customHeight="1" x14ac:dyDescent="0.3">
      <c r="A29" s="356" t="s">
        <v>33</v>
      </c>
      <c r="B29" s="357"/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</row>
    <row r="30" spans="1:15" s="3" customFormat="1" ht="15" customHeight="1" x14ac:dyDescent="0.3"/>
    <row r="31" spans="1:15" s="3" customFormat="1" ht="33.75" customHeight="1" x14ac:dyDescent="0.35">
      <c r="A31" s="84">
        <f>+'GRUPO C'!B20</f>
        <v>0</v>
      </c>
      <c r="B31" s="85">
        <f>+'GRUPO C'!C20</f>
        <v>0</v>
      </c>
      <c r="C31" s="85"/>
      <c r="D31" s="379">
        <f>+'GRUPO C'!E20</f>
        <v>0</v>
      </c>
      <c r="E31" s="379"/>
      <c r="F31" s="102" t="str">
        <f>IF(AND(G31&lt;&gt;"",I31&lt;&gt;""),IF(G31=I31,"E",IF(G31&gt;I31,"G","P")),"")</f>
        <v/>
      </c>
      <c r="G31" s="103"/>
      <c r="H31" s="79" t="s">
        <v>15</v>
      </c>
      <c r="I31" s="103"/>
      <c r="J31" s="102" t="str">
        <f>IF(AND(I31&lt;&gt;"",G31&lt;&gt;""),IF(I31=G31,"E",IF(I31&gt;G31,"G","P")),"")</f>
        <v/>
      </c>
      <c r="K31" s="379">
        <f>+'GRUPO C'!K20</f>
        <v>0</v>
      </c>
      <c r="L31" s="379"/>
      <c r="M31" s="379"/>
      <c r="N31" s="379"/>
      <c r="O31" s="86">
        <f>+'GRUPO C'!M20</f>
        <v>0</v>
      </c>
    </row>
    <row r="32" spans="1:15" s="3" customFormat="1" ht="17.399999999999999" x14ac:dyDescent="0.3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</row>
    <row r="33" spans="1:15" s="3" customFormat="1" ht="33.75" customHeight="1" x14ac:dyDescent="0.35">
      <c r="A33" s="87">
        <f>+'GRUPO C'!B23</f>
        <v>0</v>
      </c>
      <c r="B33" s="88">
        <f>+'GRUPO C'!C23</f>
        <v>0</v>
      </c>
      <c r="C33" s="88"/>
      <c r="D33" s="380">
        <f>+'GRUPO C'!E23</f>
        <v>0</v>
      </c>
      <c r="E33" s="380"/>
      <c r="F33" s="102" t="str">
        <f>IF(AND(G33&lt;&gt;"",I33&lt;&gt;""),IF(G33=I33,"E",IF(G33&gt;I33,"G","P")),"")</f>
        <v/>
      </c>
      <c r="G33" s="103"/>
      <c r="H33" s="79" t="s">
        <v>15</v>
      </c>
      <c r="I33" s="103"/>
      <c r="J33" s="102" t="str">
        <f>IF(AND(I33&lt;&gt;"",G33&lt;&gt;""),IF(I33=G33,"E",IF(I33&gt;G33,"G","P")),"")</f>
        <v/>
      </c>
      <c r="K33" s="380">
        <f>+'GRUPO C'!K23</f>
        <v>0</v>
      </c>
      <c r="L33" s="380"/>
      <c r="M33" s="380"/>
      <c r="N33" s="380"/>
      <c r="O33" s="90">
        <f>+'GRUPO C'!M23</f>
        <v>0</v>
      </c>
    </row>
    <row r="34" spans="1:15" s="3" customFormat="1" ht="11.25" customHeight="1" x14ac:dyDescent="0.3">
      <c r="A34" s="376" t="str">
        <f>+'GRUPO D'!B4</f>
        <v>GRUPO D</v>
      </c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</row>
    <row r="35" spans="1:15" s="3" customFormat="1" ht="21" customHeight="1" x14ac:dyDescent="0.3">
      <c r="A35" s="378"/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5" s="3" customFormat="1" ht="23.4" x14ac:dyDescent="0.3">
      <c r="A36" s="356" t="s">
        <v>33</v>
      </c>
      <c r="B36" s="357"/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</row>
    <row r="37" spans="1:15" s="3" customFormat="1" x14ac:dyDescent="0.3"/>
    <row r="38" spans="1:15" s="3" customFormat="1" ht="33.75" customHeight="1" x14ac:dyDescent="0.35">
      <c r="A38" s="84">
        <f>+'GRUPO D'!B20</f>
        <v>0</v>
      </c>
      <c r="B38" s="85">
        <f>+'GRUPO D'!C20</f>
        <v>0</v>
      </c>
      <c r="C38" s="85"/>
      <c r="D38" s="379">
        <f>+'GRUPO D'!E20</f>
        <v>0</v>
      </c>
      <c r="E38" s="379"/>
      <c r="F38" s="102" t="str">
        <f>IF(AND(G38&lt;&gt;"",I38&lt;&gt;""),IF(G38=I38,"E",IF(G38&gt;I38,"G","P")),"")</f>
        <v/>
      </c>
      <c r="G38" s="103"/>
      <c r="H38" s="79" t="s">
        <v>15</v>
      </c>
      <c r="I38" s="103"/>
      <c r="J38" s="102" t="str">
        <f>IF(AND(I38&lt;&gt;"",G38&lt;&gt;""),IF(I38=G38,"E",IF(I38&gt;G38,"G","P")),"")</f>
        <v/>
      </c>
      <c r="K38" s="379">
        <f>+'GRUPO D'!K20</f>
        <v>0</v>
      </c>
      <c r="L38" s="379"/>
      <c r="M38" s="379"/>
      <c r="N38" s="379"/>
      <c r="O38" s="86">
        <f>+'GRUPO D'!M20</f>
        <v>0</v>
      </c>
    </row>
    <row r="39" spans="1:15" s="3" customFormat="1" ht="17.399999999999999" x14ac:dyDescent="0.3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</row>
    <row r="40" spans="1:15" s="3" customFormat="1" ht="33.75" customHeight="1" x14ac:dyDescent="0.35">
      <c r="A40" s="87">
        <f>+'GRUPO D'!B23</f>
        <v>0</v>
      </c>
      <c r="B40" s="88">
        <f>+'GRUPO D'!C23</f>
        <v>0</v>
      </c>
      <c r="C40" s="88"/>
      <c r="D40" s="380">
        <f>+'GRUPO D'!E23</f>
        <v>0</v>
      </c>
      <c r="E40" s="380"/>
      <c r="F40" s="102" t="str">
        <f>IF(AND(G40&lt;&gt;"",I40&lt;&gt;""),IF(G40=I40,"E",IF(G40&gt;I40,"G","P")),"")</f>
        <v/>
      </c>
      <c r="G40" s="103"/>
      <c r="H40" s="79" t="s">
        <v>15</v>
      </c>
      <c r="I40" s="103"/>
      <c r="J40" s="102" t="str">
        <f>IF(AND(I40&lt;&gt;"",G40&lt;&gt;""),IF(I40=G40,"E",IF(I40&gt;G40,"G","P")),"")</f>
        <v/>
      </c>
      <c r="K40" s="380">
        <f>+'GRUPO D'!K23</f>
        <v>0</v>
      </c>
      <c r="L40" s="380"/>
      <c r="M40" s="380"/>
      <c r="N40" s="380"/>
      <c r="O40" s="90">
        <f>+'GRUPO D'!M23</f>
        <v>0</v>
      </c>
    </row>
    <row r="41" spans="1:15" s="3" customFormat="1" ht="15" customHeight="1" x14ac:dyDescent="0.3">
      <c r="A41" s="375" t="s">
        <v>40</v>
      </c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</row>
    <row r="42" spans="1:15" s="3" customFormat="1" ht="15" customHeight="1" x14ac:dyDescent="0.3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</row>
    <row r="43" spans="1:15" s="3" customFormat="1" ht="15" customHeight="1" x14ac:dyDescent="0.3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</row>
    <row r="44" spans="1:15" s="3" customFormat="1" ht="15" customHeight="1" x14ac:dyDescent="0.3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</row>
    <row r="45" spans="1:15" s="3" customFormat="1" ht="15" customHeight="1" x14ac:dyDescent="0.3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</row>
    <row r="46" spans="1:15" s="3" customFormat="1" x14ac:dyDescent="0.3">
      <c r="A46" s="373" t="s">
        <v>28</v>
      </c>
      <c r="B46" s="373"/>
      <c r="C46" s="373"/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</row>
    <row r="47" spans="1:15" s="3" customFormat="1" x14ac:dyDescent="0.3">
      <c r="A47" s="373" t="s">
        <v>29</v>
      </c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</row>
    <row r="48" spans="1:15" s="3" customFormat="1" x14ac:dyDescent="0.3">
      <c r="A48" s="374" t="s">
        <v>30</v>
      </c>
      <c r="B48" s="374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</row>
    <row r="49" spans="1:15" s="3" customFormat="1" x14ac:dyDescent="0.3">
      <c r="A49" s="373" t="s">
        <v>31</v>
      </c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3"/>
    </row>
  </sheetData>
  <mergeCells count="37"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A29:O29"/>
    <mergeCell ref="D31:E31"/>
    <mergeCell ref="K31:N31"/>
    <mergeCell ref="D33:E33"/>
    <mergeCell ref="K33:N33"/>
    <mergeCell ref="A34:O35"/>
    <mergeCell ref="A36:O36"/>
    <mergeCell ref="D38:E38"/>
    <mergeCell ref="K38:N38"/>
    <mergeCell ref="D40:E40"/>
    <mergeCell ref="K40:N40"/>
    <mergeCell ref="A46:O46"/>
    <mergeCell ref="A47:O47"/>
    <mergeCell ref="A48:O48"/>
    <mergeCell ref="A49:O49"/>
    <mergeCell ref="A41:O45"/>
  </mergeCells>
  <conditionalFormatting sqref="G16">
    <cfRule type="expression" dxfId="197" priority="74" stopIfTrue="1">
      <formula>F16="E"</formula>
    </cfRule>
    <cfRule type="expression" dxfId="196" priority="73" stopIfTrue="1">
      <formula>F16="P"</formula>
    </cfRule>
    <cfRule type="expression" dxfId="195" priority="75" stopIfTrue="1">
      <formula>F16="G"</formula>
    </cfRule>
  </conditionalFormatting>
  <conditionalFormatting sqref="G18">
    <cfRule type="expression" dxfId="194" priority="36" stopIfTrue="1">
      <formula>F18="G"</formula>
    </cfRule>
    <cfRule type="expression" dxfId="193" priority="35" stopIfTrue="1">
      <formula>F18="E"</formula>
    </cfRule>
    <cfRule type="expression" dxfId="192" priority="34" stopIfTrue="1">
      <formula>F18="P"</formula>
    </cfRule>
  </conditionalFormatting>
  <conditionalFormatting sqref="G24 G26">
    <cfRule type="expression" dxfId="191" priority="28" stopIfTrue="1">
      <formula>F24="P"</formula>
    </cfRule>
    <cfRule type="expression" dxfId="190" priority="30" stopIfTrue="1">
      <formula>F24="G"</formula>
    </cfRule>
    <cfRule type="expression" dxfId="189" priority="29" stopIfTrue="1">
      <formula>F24="E"</formula>
    </cfRule>
  </conditionalFormatting>
  <conditionalFormatting sqref="G31">
    <cfRule type="expression" dxfId="188" priority="24" stopIfTrue="1">
      <formula>F31="G"</formula>
    </cfRule>
    <cfRule type="expression" dxfId="187" priority="23" stopIfTrue="1">
      <formula>F31="E"</formula>
    </cfRule>
    <cfRule type="expression" dxfId="186" priority="22" stopIfTrue="1">
      <formula>F31="P"</formula>
    </cfRule>
  </conditionalFormatting>
  <conditionalFormatting sqref="G33">
    <cfRule type="expression" dxfId="185" priority="17" stopIfTrue="1">
      <formula>F33="E"</formula>
    </cfRule>
    <cfRule type="expression" dxfId="184" priority="16" stopIfTrue="1">
      <formula>F33="P"</formula>
    </cfRule>
    <cfRule type="expression" dxfId="183" priority="18" stopIfTrue="1">
      <formula>F33="G"</formula>
    </cfRule>
  </conditionalFormatting>
  <conditionalFormatting sqref="G38">
    <cfRule type="expression" dxfId="182" priority="11" stopIfTrue="1">
      <formula>F38="E"</formula>
    </cfRule>
    <cfRule type="expression" dxfId="181" priority="10" stopIfTrue="1">
      <formula>F38="P"</formula>
    </cfRule>
    <cfRule type="expression" dxfId="180" priority="12" stopIfTrue="1">
      <formula>F38="G"</formula>
    </cfRule>
  </conditionalFormatting>
  <conditionalFormatting sqref="G40">
    <cfRule type="expression" dxfId="179" priority="6" stopIfTrue="1">
      <formula>F40="G"</formula>
    </cfRule>
    <cfRule type="expression" dxfId="178" priority="4" stopIfTrue="1">
      <formula>F40="P"</formula>
    </cfRule>
    <cfRule type="expression" dxfId="177" priority="5" stopIfTrue="1">
      <formula>F40="E"</formula>
    </cfRule>
  </conditionalFormatting>
  <conditionalFormatting sqref="I16">
    <cfRule type="expression" dxfId="176" priority="70" stopIfTrue="1">
      <formula>J16="P"</formula>
    </cfRule>
    <cfRule type="expression" dxfId="175" priority="71" stopIfTrue="1">
      <formula>J16="E"</formula>
    </cfRule>
    <cfRule type="expression" dxfId="174" priority="72" stopIfTrue="1">
      <formula>J16="G"</formula>
    </cfRule>
  </conditionalFormatting>
  <conditionalFormatting sqref="I18">
    <cfRule type="expression" dxfId="173" priority="31" stopIfTrue="1">
      <formula>J18="P"</formula>
    </cfRule>
    <cfRule type="expression" dxfId="172" priority="33" stopIfTrue="1">
      <formula>J18="G"</formula>
    </cfRule>
    <cfRule type="expression" dxfId="171" priority="32" stopIfTrue="1">
      <formula>J18="E"</formula>
    </cfRule>
  </conditionalFormatting>
  <conditionalFormatting sqref="I24 I26">
    <cfRule type="expression" dxfId="170" priority="25" stopIfTrue="1">
      <formula>J24="P"</formula>
    </cfRule>
    <cfRule type="expression" dxfId="169" priority="26" stopIfTrue="1">
      <formula>J24="E"</formula>
    </cfRule>
    <cfRule type="expression" dxfId="168" priority="27" stopIfTrue="1">
      <formula>J24="G"</formula>
    </cfRule>
  </conditionalFormatting>
  <conditionalFormatting sqref="I31">
    <cfRule type="expression" dxfId="167" priority="21" stopIfTrue="1">
      <formula>J31="G"</formula>
    </cfRule>
    <cfRule type="expression" dxfId="166" priority="20" stopIfTrue="1">
      <formula>J31="E"</formula>
    </cfRule>
    <cfRule type="expression" dxfId="165" priority="19" stopIfTrue="1">
      <formula>J31="P"</formula>
    </cfRule>
  </conditionalFormatting>
  <conditionalFormatting sqref="I33">
    <cfRule type="expression" dxfId="164" priority="15" stopIfTrue="1">
      <formula>J33="G"</formula>
    </cfRule>
    <cfRule type="expression" dxfId="163" priority="14" stopIfTrue="1">
      <formula>J33="E"</formula>
    </cfRule>
    <cfRule type="expression" dxfId="162" priority="13" stopIfTrue="1">
      <formula>J33="P"</formula>
    </cfRule>
  </conditionalFormatting>
  <conditionalFormatting sqref="I38">
    <cfRule type="expression" dxfId="161" priority="9" stopIfTrue="1">
      <formula>J38="G"</formula>
    </cfRule>
    <cfRule type="expression" dxfId="160" priority="8" stopIfTrue="1">
      <formula>J38="E"</formula>
    </cfRule>
    <cfRule type="expression" dxfId="159" priority="7" stopIfTrue="1">
      <formula>J38="P"</formula>
    </cfRule>
  </conditionalFormatting>
  <conditionalFormatting sqref="I40">
    <cfRule type="expression" dxfId="158" priority="2" stopIfTrue="1">
      <formula>J40="E"</formula>
    </cfRule>
    <cfRule type="expression" dxfId="157" priority="1" stopIfTrue="1">
      <formula>J40="P"</formula>
    </cfRule>
    <cfRule type="expression" dxfId="156" priority="3" stopIfTrue="1">
      <formula>J40="G"</formula>
    </cfRule>
  </conditionalFormatting>
  <hyperlinks>
    <hyperlink ref="A48" r:id="rId1" display="mailto:soccermelgar@outlook.com" xr:uid="{00000000-0004-0000-0800-000000000000}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O49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81" t="s">
        <v>5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</row>
    <row r="2" spans="1:15" s="3" customFormat="1" ht="23.25" customHeight="1" x14ac:dyDescent="0.5">
      <c r="A2" s="382" t="s">
        <v>6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</row>
    <row r="3" spans="1:15" s="3" customFormat="1" ht="9.75" customHeight="1" x14ac:dyDescent="0.3">
      <c r="N3" s="94"/>
      <c r="O3" s="94"/>
    </row>
    <row r="4" spans="1:15" s="3" customFormat="1" ht="25.5" customHeight="1" x14ac:dyDescent="0.5">
      <c r="B4" s="121" t="str">
        <f>+'PRE INFANTIL GRUPOS'!C6</f>
        <v>GRUPO A</v>
      </c>
      <c r="C4" s="125"/>
      <c r="D4" s="123" t="str">
        <f>+'PRE INFANTIL GRUPOS'!E6</f>
        <v>GRUPO B</v>
      </c>
      <c r="E4" s="111"/>
      <c r="F4" s="111"/>
      <c r="G4" s="386" t="str">
        <f>+'PRE INFANTIL GRUPOS'!G6</f>
        <v>GRUPO C</v>
      </c>
      <c r="H4" s="386"/>
      <c r="I4" s="386"/>
      <c r="J4" s="386"/>
      <c r="K4" s="386"/>
      <c r="N4" s="128" t="str">
        <f>+'PRE INFANTIL GRUPOS'!I6</f>
        <v>GRUPO D</v>
      </c>
    </row>
    <row r="5" spans="1:15" s="3" customFormat="1" ht="45" customHeight="1" x14ac:dyDescent="0.3">
      <c r="B5" s="122" t="str">
        <f>+'PRE INFANTIL GRUPOS'!C7</f>
        <v>JAGUARES F. C.</v>
      </c>
      <c r="C5" s="126"/>
      <c r="D5" s="127" t="str">
        <f>+'PRE INFANTIL GRUPOS'!E7</f>
        <v>GOLDEN STEPS</v>
      </c>
      <c r="E5" s="31"/>
      <c r="F5" s="31"/>
      <c r="G5" s="385" t="str">
        <f>+'PRE INFANTIL GRUPOS'!G7</f>
        <v>LE MAX TEAM</v>
      </c>
      <c r="H5" s="385"/>
      <c r="I5" s="385"/>
      <c r="J5" s="385"/>
      <c r="K5" s="385"/>
      <c r="L5" s="31"/>
      <c r="M5" s="31"/>
      <c r="N5" s="129" t="str">
        <f>+'PRE INFANTIL GRUPOS'!I8</f>
        <v>E.D.F CHOCONTA</v>
      </c>
    </row>
    <row r="6" spans="1:15" s="3" customFormat="1" ht="45" customHeight="1" x14ac:dyDescent="0.3">
      <c r="B6" s="122" t="str">
        <f>+'PRE INFANTIL GRUPOS'!C8</f>
        <v>TROYA F. C.</v>
      </c>
      <c r="C6" s="126"/>
      <c r="D6" s="127" t="str">
        <f>+'PRE INFANTIL GRUPOS'!E8</f>
        <v>ATHLETIC MELGAR</v>
      </c>
      <c r="E6" s="31"/>
      <c r="F6" s="31"/>
      <c r="G6" s="385" t="str">
        <f>+'PRE INFANTIL GRUPOS'!G8</f>
        <v>CLUB DEPORTIVO NASSUAR</v>
      </c>
      <c r="H6" s="385"/>
      <c r="I6" s="385"/>
      <c r="J6" s="385"/>
      <c r="K6" s="385"/>
      <c r="L6" s="31"/>
      <c r="M6" s="31"/>
      <c r="N6" s="129" t="str">
        <f>+'PRE INFANTIL GRUPOS'!I7</f>
        <v>IMPERIUM FÚTBOL CLUB</v>
      </c>
    </row>
    <row r="7" spans="1:15" s="3" customFormat="1" ht="45" customHeight="1" x14ac:dyDescent="0.3">
      <c r="B7" s="122" t="str">
        <f>+'PRE INFANTIL GRUPOS'!C9</f>
        <v>JUDERCAR F. C.</v>
      </c>
      <c r="C7" s="126"/>
      <c r="D7" s="127" t="str">
        <f>+'PRE INFANTIL GRUPOS'!E9</f>
        <v>LIONTA F. C.</v>
      </c>
      <c r="E7" s="31"/>
      <c r="F7" s="31"/>
      <c r="G7" s="385" t="str">
        <f>+'PRE INFANTIL GRUPOS'!G9</f>
        <v>SPORTING CLUB VILLAVICENCIO</v>
      </c>
      <c r="H7" s="385"/>
      <c r="I7" s="385"/>
      <c r="J7" s="385"/>
      <c r="K7" s="385"/>
      <c r="L7" s="31"/>
      <c r="M7" s="31"/>
      <c r="N7" s="129" t="str">
        <f>+'PRE INFANTIL GRUPOS'!I9</f>
        <v>ACADEMIA F.C SEDE RESTREPO</v>
      </c>
    </row>
    <row r="8" spans="1:15" s="3" customFormat="1" ht="45" customHeight="1" x14ac:dyDescent="0.3">
      <c r="B8" s="122" t="e">
        <f>+'PRE INFANTIL GRUPOS'!#REF!</f>
        <v>#REF!</v>
      </c>
      <c r="C8" s="126"/>
      <c r="D8" s="127" t="e">
        <f>+'PRE INFANTIL GRUPOS'!#REF!</f>
        <v>#REF!</v>
      </c>
      <c r="E8" s="31"/>
      <c r="F8" s="31"/>
      <c r="G8" s="385" t="e">
        <f>+'PRE INFANTIL GRUPOS'!#REF!</f>
        <v>#REF!</v>
      </c>
      <c r="H8" s="385"/>
      <c r="I8" s="385"/>
      <c r="J8" s="385"/>
      <c r="K8" s="385"/>
      <c r="L8" s="31"/>
      <c r="M8" s="31"/>
      <c r="N8" s="129">
        <f>+'PRE INFANTIL GRUPOS'!I10</f>
        <v>0</v>
      </c>
    </row>
    <row r="9" spans="1:15" s="3" customFormat="1" ht="7.5" customHeight="1" x14ac:dyDescent="0.3"/>
    <row r="10" spans="1:15" s="3" customFormat="1" ht="24" customHeight="1" x14ac:dyDescent="0.55000000000000004">
      <c r="B10" s="75" t="str">
        <f>+'PRE INFANTIL GRUPOS'!C3</f>
        <v>DICIEMBRE 4 AL 6 DEL 2024</v>
      </c>
      <c r="C10" s="75"/>
      <c r="N10" s="389">
        <f>+'PRE INFANTIL GRUPOS'!C10</f>
        <v>0</v>
      </c>
      <c r="O10" s="389"/>
    </row>
    <row r="11" spans="1:15" s="3" customFormat="1" ht="21" x14ac:dyDescent="0.4">
      <c r="B11" s="93" t="str">
        <f>+'PRE INFANTIL GRUPOS'!C4</f>
        <v>NACIDOS 2010 2011</v>
      </c>
      <c r="C11" s="93"/>
      <c r="N11" s="389"/>
      <c r="O11" s="389"/>
    </row>
    <row r="12" spans="1:15" s="3" customFormat="1" ht="11.25" customHeight="1" x14ac:dyDescent="0.3">
      <c r="A12" s="383" t="str">
        <f>+'GRUPO A'!B4</f>
        <v>GRUPO A</v>
      </c>
      <c r="B12" s="383"/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</row>
    <row r="13" spans="1:15" s="3" customFormat="1" ht="21" customHeight="1" x14ac:dyDescent="0.3">
      <c r="A13" s="384"/>
      <c r="B13" s="384"/>
      <c r="C13" s="384"/>
      <c r="D13" s="384"/>
      <c r="E13" s="384"/>
      <c r="F13" s="384"/>
      <c r="G13" s="384"/>
      <c r="H13" s="384"/>
      <c r="I13" s="384"/>
      <c r="J13" s="384"/>
      <c r="K13" s="384"/>
      <c r="L13" s="384"/>
      <c r="M13" s="384"/>
      <c r="N13" s="384"/>
      <c r="O13" s="384"/>
    </row>
    <row r="14" spans="1:15" ht="23.4" x14ac:dyDescent="0.3">
      <c r="A14" s="356" t="s">
        <v>41</v>
      </c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57"/>
      <c r="N14" s="357"/>
      <c r="O14" s="357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4">
        <f>+'GRUPO A'!B26</f>
        <v>0</v>
      </c>
      <c r="B16" s="85">
        <f>+'GRUPO A'!C26</f>
        <v>0</v>
      </c>
      <c r="C16" s="85"/>
      <c r="D16" s="379">
        <f>+'GRUPO A'!E26</f>
        <v>0</v>
      </c>
      <c r="E16" s="379"/>
      <c r="F16" s="102" t="str">
        <f>IF(AND(G16&lt;&gt;"",I16&lt;&gt;""),IF(G16=I16,"E",IF(G16&gt;I16,"G","P")),"")</f>
        <v/>
      </c>
      <c r="G16" s="103"/>
      <c r="H16" s="79" t="s">
        <v>15</v>
      </c>
      <c r="I16" s="103"/>
      <c r="J16" s="102" t="str">
        <f>IF(AND(I16&lt;&gt;"",G16&lt;&gt;""),IF(I16=G16,"E",IF(I16&gt;G16,"G","P")),"")</f>
        <v/>
      </c>
      <c r="K16" s="379">
        <f>+'GRUPO A'!K26</f>
        <v>0</v>
      </c>
      <c r="L16" s="379"/>
      <c r="M16" s="379"/>
      <c r="N16" s="379"/>
      <c r="O16" s="86">
        <f>+'GRUPO A'!M26</f>
        <v>0</v>
      </c>
    </row>
    <row r="17" spans="1:15" ht="7.5" customHeight="1" x14ac:dyDescent="0.35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</row>
    <row r="18" spans="1:15" ht="33.75" customHeight="1" x14ac:dyDescent="0.35">
      <c r="A18" s="87">
        <f>+'GRUPO A'!B29</f>
        <v>42965</v>
      </c>
      <c r="B18" s="88" t="str">
        <f>+'GRUPO A'!C29</f>
        <v>12:50. p.m.</v>
      </c>
      <c r="C18" s="88"/>
      <c r="D18" s="380" t="str">
        <f>+'GRUPO A'!E29</f>
        <v>JAGUARES F. C.</v>
      </c>
      <c r="E18" s="380"/>
      <c r="F18" s="102" t="str">
        <f>IF(AND(G18&lt;&gt;"",I18&lt;&gt;""),IF(G18=I18,"E",IF(G18&gt;I18,"G","P")),"")</f>
        <v/>
      </c>
      <c r="G18" s="103"/>
      <c r="H18" s="79" t="s">
        <v>15</v>
      </c>
      <c r="I18" s="103"/>
      <c r="J18" s="102" t="str">
        <f>IF(AND(I18&lt;&gt;"",G18&lt;&gt;""),IF(I18=G18,"E",IF(I18&gt;G18,"G","P")),"")</f>
        <v/>
      </c>
      <c r="K18" s="380" t="str">
        <f>+'GRUPO A'!K29</f>
        <v>JUDERCAR F. C.</v>
      </c>
      <c r="L18" s="380"/>
      <c r="M18" s="380"/>
      <c r="N18" s="380"/>
      <c r="O18" s="90" t="str">
        <f>+'GRUPO A'!M29</f>
        <v>CANCHA 1 C</v>
      </c>
    </row>
    <row r="19" spans="1:15" ht="15" hidden="1" customHeight="1" x14ac:dyDescent="0.3"/>
    <row r="20" spans="1:15" s="3" customFormat="1" ht="11.25" customHeight="1" x14ac:dyDescent="0.3">
      <c r="A20" s="390" t="str">
        <f>+'GRUPO B'!B4</f>
        <v>GRUPO B</v>
      </c>
      <c r="B20" s="390"/>
      <c r="C20" s="390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0"/>
      <c r="O20" s="390"/>
    </row>
    <row r="21" spans="1:15" ht="21" customHeight="1" x14ac:dyDescent="0.3">
      <c r="A21" s="390"/>
      <c r="B21" s="390"/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</row>
    <row r="22" spans="1:15" ht="36.75" customHeight="1" x14ac:dyDescent="0.3">
      <c r="A22" s="356" t="s">
        <v>41</v>
      </c>
      <c r="B22" s="357"/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357"/>
      <c r="O22" s="357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4">
        <f>+'GRUPO B'!B26</f>
        <v>0</v>
      </c>
      <c r="B24" s="85">
        <f>+'GRUPO B'!C26</f>
        <v>0</v>
      </c>
      <c r="C24" s="85"/>
      <c r="D24" s="379">
        <f>+'GRUPO B'!E26</f>
        <v>0</v>
      </c>
      <c r="E24" s="379"/>
      <c r="F24" s="51" t="str">
        <f>IF(AND(G24&lt;&gt;"",I24&lt;&gt;""),IF(G24=I24,"E",IF(G24&gt;I24,"G","P")),"")</f>
        <v/>
      </c>
      <c r="G24" s="95"/>
      <c r="H24" s="11" t="s">
        <v>15</v>
      </c>
      <c r="I24" s="95"/>
      <c r="J24" s="51" t="str">
        <f>IF(AND(I24&lt;&gt;"",G24&lt;&gt;""),IF(I24=G24,"E",IF(I24&gt;G24,"G","P")),"")</f>
        <v/>
      </c>
      <c r="K24" s="379">
        <f>+'GRUPO B'!K26</f>
        <v>0</v>
      </c>
      <c r="L24" s="379"/>
      <c r="M24" s="379"/>
      <c r="N24" s="379"/>
      <c r="O24" s="86">
        <f>+'GRUPO B'!M26</f>
        <v>0</v>
      </c>
    </row>
    <row r="25" spans="1:15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87">
        <f>+'GRUPO B'!B29</f>
        <v>42967</v>
      </c>
      <c r="B26" s="88" t="str">
        <f>+'GRUPO B'!C29</f>
        <v>10:50. a.m.</v>
      </c>
      <c r="C26" s="88"/>
      <c r="D26" s="380" t="str">
        <f>+'GRUPO B'!E29</f>
        <v>GOLDEN STEPS</v>
      </c>
      <c r="E26" s="380"/>
      <c r="F26" s="51" t="str">
        <f>IF(AND(G26&lt;&gt;"",I26&lt;&gt;""),IF(G26=I26,"E",IF(G26&gt;I26,"G","P")),"")</f>
        <v/>
      </c>
      <c r="G26" s="95"/>
      <c r="H26" s="11" t="s">
        <v>15</v>
      </c>
      <c r="I26" s="95"/>
      <c r="J26" s="51" t="str">
        <f>IF(AND(I26&lt;&gt;"",G26&lt;&gt;""),IF(I26=G26,"E",IF(I26&gt;G26,"G","P")),"")</f>
        <v/>
      </c>
      <c r="K26" s="380" t="str">
        <f>+'GRUPO B'!K29</f>
        <v>LIONTA F. C.</v>
      </c>
      <c r="L26" s="380"/>
      <c r="M26" s="380"/>
      <c r="N26" s="380"/>
      <c r="O26" s="90" t="str">
        <f>+'GRUPO B'!M29</f>
        <v>CANCHA 1 A</v>
      </c>
    </row>
    <row r="27" spans="1:15" ht="11.25" customHeight="1" x14ac:dyDescent="0.3">
      <c r="A27" s="387" t="str">
        <f>+'GRUPO C'!B4</f>
        <v>GRUPO C</v>
      </c>
      <c r="B27" s="387"/>
      <c r="C27" s="387"/>
      <c r="D27" s="387"/>
      <c r="E27" s="387"/>
      <c r="F27" s="387"/>
      <c r="G27" s="387"/>
      <c r="H27" s="387"/>
      <c r="I27" s="387"/>
      <c r="J27" s="387"/>
      <c r="K27" s="387"/>
      <c r="L27" s="387"/>
      <c r="M27" s="387"/>
      <c r="N27" s="387"/>
      <c r="O27" s="387"/>
    </row>
    <row r="28" spans="1:15" ht="21" customHeight="1" x14ac:dyDescent="0.3">
      <c r="A28" s="388"/>
      <c r="B28" s="388"/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</row>
    <row r="29" spans="1:15" ht="30" customHeight="1" x14ac:dyDescent="0.3">
      <c r="A29" s="356" t="s">
        <v>41</v>
      </c>
      <c r="B29" s="357"/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</row>
    <row r="30" spans="1:15" s="3" customFormat="1" ht="7.5" customHeight="1" x14ac:dyDescent="0.3"/>
    <row r="31" spans="1:15" s="3" customFormat="1" ht="33.75" customHeight="1" x14ac:dyDescent="0.35">
      <c r="A31" s="84">
        <f>+'GRUPO C'!B26</f>
        <v>42966</v>
      </c>
      <c r="B31" s="85" t="str">
        <f>+'GRUPO C'!C26</f>
        <v>03:50. p.m.</v>
      </c>
      <c r="C31" s="85"/>
      <c r="D31" s="379" t="str">
        <f>+'GRUPO C'!E26</f>
        <v>LE MAX TEAM</v>
      </c>
      <c r="E31" s="379"/>
      <c r="F31" s="102" t="str">
        <f>IF(AND(G31&lt;&gt;"",I31&lt;&gt;""),IF(G31=I31,"E",IF(G31&gt;I31,"G","P")),"")</f>
        <v/>
      </c>
      <c r="G31" s="103"/>
      <c r="H31" s="79" t="s">
        <v>15</v>
      </c>
      <c r="I31" s="103"/>
      <c r="J31" s="102" t="str">
        <f>IF(AND(I31&lt;&gt;"",G31&lt;&gt;""),IF(I31=G31,"E",IF(I31&gt;G31,"G","P")),"")</f>
        <v/>
      </c>
      <c r="K31" s="379" t="str">
        <f>+'GRUPO C'!K26</f>
        <v>CLUB DEPORTIVO NASSUAR</v>
      </c>
      <c r="L31" s="379"/>
      <c r="M31" s="379"/>
      <c r="N31" s="379"/>
      <c r="O31" s="86" t="str">
        <f>+'GRUPO C'!M26</f>
        <v>CANCHA 1 C</v>
      </c>
    </row>
    <row r="32" spans="1:15" s="3" customFormat="1" ht="7.5" customHeight="1" x14ac:dyDescent="0.3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</row>
    <row r="33" spans="1:15" s="3" customFormat="1" ht="33.75" customHeight="1" x14ac:dyDescent="0.35">
      <c r="A33" s="87">
        <f>+'GRUPO C'!B29</f>
        <v>42965</v>
      </c>
      <c r="B33" s="88" t="str">
        <f>+'GRUPO C'!C29</f>
        <v>12:50. p.m.</v>
      </c>
      <c r="C33" s="88"/>
      <c r="D33" s="380" t="str">
        <f>+'GRUPO C'!E29</f>
        <v>LE MAX TEAM</v>
      </c>
      <c r="E33" s="380"/>
      <c r="F33" s="102" t="str">
        <f>IF(AND(G33&lt;&gt;"",I33&lt;&gt;""),IF(G33=I33,"E",IF(G33&gt;I33,"G","P")),"")</f>
        <v/>
      </c>
      <c r="G33" s="103"/>
      <c r="H33" s="79" t="s">
        <v>15</v>
      </c>
      <c r="I33" s="103"/>
      <c r="J33" s="102" t="str">
        <f>IF(AND(I33&lt;&gt;"",G33&lt;&gt;""),IF(I33=G33,"E",IF(I33&gt;G33,"G","P")),"")</f>
        <v/>
      </c>
      <c r="K33" s="380" t="str">
        <f>+'GRUPO C'!K29</f>
        <v>SPORTING CLUB VILLAVICENCIO</v>
      </c>
      <c r="L33" s="380"/>
      <c r="M33" s="380"/>
      <c r="N33" s="380"/>
      <c r="O33" s="90" t="str">
        <f>+'GRUPO C'!M29</f>
        <v>CANCHA 1 A</v>
      </c>
    </row>
    <row r="34" spans="1:15" s="3" customFormat="1" ht="11.25" customHeight="1" x14ac:dyDescent="0.3">
      <c r="A34" s="376" t="str">
        <f>+'GRUPO D'!B4</f>
        <v>GRUPO D</v>
      </c>
      <c r="B34" s="377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</row>
    <row r="35" spans="1:15" s="3" customFormat="1" ht="21" customHeight="1" x14ac:dyDescent="0.3">
      <c r="A35" s="378"/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</row>
    <row r="36" spans="1:15" s="3" customFormat="1" ht="23.4" x14ac:dyDescent="0.3">
      <c r="A36" s="356" t="s">
        <v>41</v>
      </c>
      <c r="B36" s="357"/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</row>
    <row r="37" spans="1:15" s="3" customFormat="1" ht="7.5" customHeight="1" x14ac:dyDescent="0.3"/>
    <row r="38" spans="1:15" s="3" customFormat="1" ht="33.75" customHeight="1" x14ac:dyDescent="0.35">
      <c r="A38" s="84">
        <f>+'GRUPO D'!B26</f>
        <v>42967</v>
      </c>
      <c r="B38" s="85" t="str">
        <f>+'GRUPO D'!C26</f>
        <v>09:50. a.m.</v>
      </c>
      <c r="C38" s="85"/>
      <c r="D38" s="379" t="str">
        <f>+'GRUPO D'!E26</f>
        <v>E.D.F CHOCONTA</v>
      </c>
      <c r="E38" s="379"/>
      <c r="F38" s="102" t="str">
        <f>IF(AND(G38&lt;&gt;"",I38&lt;&gt;""),IF(G38=I38,"E",IF(G38&gt;I38,"G","P")),"")</f>
        <v/>
      </c>
      <c r="G38" s="103"/>
      <c r="H38" s="79" t="s">
        <v>15</v>
      </c>
      <c r="I38" s="103"/>
      <c r="J38" s="102" t="str">
        <f>IF(AND(I38&lt;&gt;"",G38&lt;&gt;""),IF(I38=G38,"E",IF(I38&gt;G38,"G","P")),"")</f>
        <v/>
      </c>
      <c r="K38" s="379" t="str">
        <f>+'GRUPO D'!K26</f>
        <v>IMPERIUM FÚTBOL CLUB</v>
      </c>
      <c r="L38" s="379"/>
      <c r="M38" s="379"/>
      <c r="N38" s="379"/>
      <c r="O38" s="86" t="str">
        <f>+'GRUPO D'!M26</f>
        <v>CANCHA 1 B</v>
      </c>
    </row>
    <row r="39" spans="1:15" s="3" customFormat="1" ht="7.5" customHeight="1" x14ac:dyDescent="0.3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</row>
    <row r="40" spans="1:15" s="3" customFormat="1" ht="33.75" customHeight="1" x14ac:dyDescent="0.35">
      <c r="A40" s="87">
        <f>+'GRUPO D'!B29</f>
        <v>42965</v>
      </c>
      <c r="B40" s="88" t="str">
        <f>+'GRUPO D'!C29</f>
        <v>11:55. a.m.</v>
      </c>
      <c r="C40" s="88"/>
      <c r="D40" s="380" t="str">
        <f>+'GRUPO D'!E29</f>
        <v>E.D.F CHOCONTA</v>
      </c>
      <c r="E40" s="380"/>
      <c r="F40" s="102" t="str">
        <f>IF(AND(G40&lt;&gt;"",I40&lt;&gt;""),IF(G40=I40,"E",IF(G40&gt;I40,"G","P")),"")</f>
        <v/>
      </c>
      <c r="G40" s="103"/>
      <c r="H40" s="79" t="s">
        <v>15</v>
      </c>
      <c r="I40" s="103"/>
      <c r="J40" s="102" t="str">
        <f>IF(AND(I40&lt;&gt;"",G40&lt;&gt;""),IF(I40=G40,"E",IF(I40&gt;G40,"G","P")),"")</f>
        <v/>
      </c>
      <c r="K40" s="380" t="str">
        <f>+'GRUPO D'!K29</f>
        <v>ACADEMIA F.C SEDE RESTREPO</v>
      </c>
      <c r="L40" s="380"/>
      <c r="M40" s="380"/>
      <c r="N40" s="380"/>
      <c r="O40" s="90" t="str">
        <f>+'GRUPO D'!M29</f>
        <v>CANCHA 1 A</v>
      </c>
    </row>
    <row r="41" spans="1:15" s="3" customFormat="1" x14ac:dyDescent="0.3">
      <c r="A41" s="375" t="s">
        <v>40</v>
      </c>
      <c r="B41" s="375"/>
      <c r="C41" s="375"/>
      <c r="D41" s="375"/>
      <c r="E41" s="375"/>
      <c r="F41" s="375"/>
      <c r="G41" s="375"/>
      <c r="H41" s="375"/>
      <c r="I41" s="375"/>
      <c r="J41" s="375"/>
      <c r="K41" s="375"/>
      <c r="L41" s="375"/>
      <c r="M41" s="375"/>
      <c r="N41" s="375"/>
      <c r="O41" s="375"/>
    </row>
    <row r="42" spans="1:15" s="3" customFormat="1" x14ac:dyDescent="0.3">
      <c r="A42" s="375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</row>
    <row r="43" spans="1:15" s="3" customFormat="1" x14ac:dyDescent="0.3">
      <c r="A43" s="375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</row>
    <row r="44" spans="1:15" s="3" customFormat="1" x14ac:dyDescent="0.3">
      <c r="A44" s="375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</row>
    <row r="45" spans="1:15" s="3" customFormat="1" x14ac:dyDescent="0.3">
      <c r="A45" s="375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</row>
    <row r="46" spans="1:15" s="3" customFormat="1" x14ac:dyDescent="0.3">
      <c r="A46" s="373" t="s">
        <v>28</v>
      </c>
      <c r="B46" s="373"/>
      <c r="C46" s="373"/>
      <c r="D46" s="373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</row>
    <row r="47" spans="1:15" s="3" customFormat="1" x14ac:dyDescent="0.3">
      <c r="A47" s="373" t="s">
        <v>29</v>
      </c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</row>
    <row r="48" spans="1:15" s="3" customFormat="1" x14ac:dyDescent="0.3">
      <c r="A48" s="374" t="s">
        <v>30</v>
      </c>
      <c r="B48" s="374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</row>
    <row r="49" spans="1:15" s="3" customFormat="1" x14ac:dyDescent="0.3">
      <c r="A49" s="373" t="s">
        <v>31</v>
      </c>
      <c r="B49" s="373"/>
      <c r="C49" s="373"/>
      <c r="D49" s="373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3"/>
    </row>
  </sheetData>
  <mergeCells count="37">
    <mergeCell ref="A29:O29"/>
    <mergeCell ref="D31:E31"/>
    <mergeCell ref="K31:N31"/>
    <mergeCell ref="D33:E33"/>
    <mergeCell ref="K33:N33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1:O1"/>
    <mergeCell ref="A2:O2"/>
    <mergeCell ref="G4:K4"/>
    <mergeCell ref="G5:K5"/>
    <mergeCell ref="G6:K6"/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</mergeCells>
  <conditionalFormatting sqref="G16">
    <cfRule type="expression" dxfId="155" priority="41" stopIfTrue="1">
      <formula>F16="E"</formula>
    </cfRule>
    <cfRule type="expression" dxfId="154" priority="40" stopIfTrue="1">
      <formula>F16="P"</formula>
    </cfRule>
    <cfRule type="expression" dxfId="153" priority="42" stopIfTrue="1">
      <formula>F16="G"</formula>
    </cfRule>
  </conditionalFormatting>
  <conditionalFormatting sqref="G18">
    <cfRule type="expression" dxfId="152" priority="36" stopIfTrue="1">
      <formula>F18="G"</formula>
    </cfRule>
    <cfRule type="expression" dxfId="151" priority="35" stopIfTrue="1">
      <formula>F18="E"</formula>
    </cfRule>
    <cfRule type="expression" dxfId="150" priority="34" stopIfTrue="1">
      <formula>F18="P"</formula>
    </cfRule>
  </conditionalFormatting>
  <conditionalFormatting sqref="G24 G26">
    <cfRule type="expression" dxfId="149" priority="28" stopIfTrue="1">
      <formula>F24="P"</formula>
    </cfRule>
    <cfRule type="expression" dxfId="148" priority="30" stopIfTrue="1">
      <formula>F24="G"</formula>
    </cfRule>
    <cfRule type="expression" dxfId="147" priority="29" stopIfTrue="1">
      <formula>F24="E"</formula>
    </cfRule>
  </conditionalFormatting>
  <conditionalFormatting sqref="G31">
    <cfRule type="expression" dxfId="146" priority="24" stopIfTrue="1">
      <formula>F31="G"</formula>
    </cfRule>
    <cfRule type="expression" dxfId="145" priority="23" stopIfTrue="1">
      <formula>F31="E"</formula>
    </cfRule>
    <cfRule type="expression" dxfId="144" priority="22" stopIfTrue="1">
      <formula>F31="P"</formula>
    </cfRule>
  </conditionalFormatting>
  <conditionalFormatting sqref="G33">
    <cfRule type="expression" dxfId="143" priority="17" stopIfTrue="1">
      <formula>F33="E"</formula>
    </cfRule>
    <cfRule type="expression" dxfId="142" priority="16" stopIfTrue="1">
      <formula>F33="P"</formula>
    </cfRule>
    <cfRule type="expression" dxfId="141" priority="18" stopIfTrue="1">
      <formula>F33="G"</formula>
    </cfRule>
  </conditionalFormatting>
  <conditionalFormatting sqref="G38">
    <cfRule type="expression" dxfId="140" priority="11" stopIfTrue="1">
      <formula>F38="E"</formula>
    </cfRule>
    <cfRule type="expression" dxfId="139" priority="10" stopIfTrue="1">
      <formula>F38="P"</formula>
    </cfRule>
    <cfRule type="expression" dxfId="138" priority="12" stopIfTrue="1">
      <formula>F38="G"</formula>
    </cfRule>
  </conditionalFormatting>
  <conditionalFormatting sqref="G40">
    <cfRule type="expression" dxfId="137" priority="6" stopIfTrue="1">
      <formula>F40="G"</formula>
    </cfRule>
    <cfRule type="expression" dxfId="136" priority="4" stopIfTrue="1">
      <formula>F40="P"</formula>
    </cfRule>
    <cfRule type="expression" dxfId="135" priority="5" stopIfTrue="1">
      <formula>F40="E"</formula>
    </cfRule>
  </conditionalFormatting>
  <conditionalFormatting sqref="I16">
    <cfRule type="expression" dxfId="134" priority="37" stopIfTrue="1">
      <formula>J16="P"</formula>
    </cfRule>
    <cfRule type="expression" dxfId="133" priority="38" stopIfTrue="1">
      <formula>J16="E"</formula>
    </cfRule>
    <cfRule type="expression" dxfId="132" priority="39" stopIfTrue="1">
      <formula>J16="G"</formula>
    </cfRule>
  </conditionalFormatting>
  <conditionalFormatting sqref="I18">
    <cfRule type="expression" dxfId="131" priority="31" stopIfTrue="1">
      <formula>J18="P"</formula>
    </cfRule>
    <cfRule type="expression" dxfId="130" priority="33" stopIfTrue="1">
      <formula>J18="G"</formula>
    </cfRule>
    <cfRule type="expression" dxfId="129" priority="32" stopIfTrue="1">
      <formula>J18="E"</formula>
    </cfRule>
  </conditionalFormatting>
  <conditionalFormatting sqref="I24 I26">
    <cfRule type="expression" dxfId="128" priority="25" stopIfTrue="1">
      <formula>J24="P"</formula>
    </cfRule>
    <cfRule type="expression" dxfId="127" priority="26" stopIfTrue="1">
      <formula>J24="E"</formula>
    </cfRule>
    <cfRule type="expression" dxfId="126" priority="27" stopIfTrue="1">
      <formula>J24="G"</formula>
    </cfRule>
  </conditionalFormatting>
  <conditionalFormatting sqref="I31">
    <cfRule type="expression" dxfId="125" priority="21" stopIfTrue="1">
      <formula>J31="G"</formula>
    </cfRule>
    <cfRule type="expression" dxfId="124" priority="20" stopIfTrue="1">
      <formula>J31="E"</formula>
    </cfRule>
    <cfRule type="expression" dxfId="123" priority="19" stopIfTrue="1">
      <formula>J31="P"</formula>
    </cfRule>
  </conditionalFormatting>
  <conditionalFormatting sqref="I33">
    <cfRule type="expression" dxfId="122" priority="15" stopIfTrue="1">
      <formula>J33="G"</formula>
    </cfRule>
    <cfRule type="expression" dxfId="121" priority="14" stopIfTrue="1">
      <formula>J33="E"</formula>
    </cfRule>
    <cfRule type="expression" dxfId="120" priority="13" stopIfTrue="1">
      <formula>J33="P"</formula>
    </cfRule>
  </conditionalFormatting>
  <conditionalFormatting sqref="I38">
    <cfRule type="expression" dxfId="119" priority="9" stopIfTrue="1">
      <formula>J38="G"</formula>
    </cfRule>
    <cfRule type="expression" dxfId="118" priority="8" stopIfTrue="1">
      <formula>J38="E"</formula>
    </cfRule>
    <cfRule type="expression" dxfId="117" priority="7" stopIfTrue="1">
      <formula>J38="P"</formula>
    </cfRule>
  </conditionalFormatting>
  <conditionalFormatting sqref="I40">
    <cfRule type="expression" dxfId="116" priority="2" stopIfTrue="1">
      <formula>J40="E"</formula>
    </cfRule>
    <cfRule type="expression" dxfId="115" priority="1" stopIfTrue="1">
      <formula>J40="P"</formula>
    </cfRule>
    <cfRule type="expression" dxfId="114" priority="3" stopIfTrue="1">
      <formula>J40="G"</formula>
    </cfRule>
  </conditionalFormatting>
  <hyperlinks>
    <hyperlink ref="A48" r:id="rId1" display="mailto:soccermelgar@outlook.com" xr:uid="{00000000-0004-0000-0900-000000000000}"/>
  </hyperlinks>
  <pageMargins left="0.7" right="0.7" top="0.75" bottom="0.75" header="0.3" footer="0.3"/>
  <pageSetup scale="68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0" t="s">
        <v>5</v>
      </c>
      <c r="C1" s="50"/>
    </row>
    <row r="2" spans="2:12" ht="40.5" customHeight="1" x14ac:dyDescent="0.5">
      <c r="B2" s="52" t="s">
        <v>6</v>
      </c>
      <c r="C2" s="52"/>
      <c r="D2" s="52"/>
      <c r="E2" s="52"/>
      <c r="F2" s="52"/>
      <c r="G2" s="52"/>
      <c r="H2" s="52"/>
      <c r="I2" s="52"/>
      <c r="J2" s="52"/>
      <c r="K2" s="52"/>
    </row>
    <row r="3" spans="2:12" ht="41.25" customHeight="1" x14ac:dyDescent="0.6">
      <c r="G3" s="74" t="str">
        <f>+'PRE INFANTIL GRUPOS'!C3</f>
        <v>DICIEMBRE 4 AL 6 DEL 2024</v>
      </c>
    </row>
    <row r="4" spans="2:12" ht="29.25" customHeight="1" x14ac:dyDescent="0.6">
      <c r="C4" s="54"/>
      <c r="D4" s="55"/>
      <c r="E4" s="55"/>
      <c r="F4" s="55"/>
      <c r="G4" s="91" t="str">
        <f>+'PRE INFANTIL GRUPOS'!C4</f>
        <v>NACIDOS 2010 2011</v>
      </c>
      <c r="I4" s="55"/>
      <c r="J4" s="55"/>
      <c r="K4" s="55"/>
    </row>
    <row r="5" spans="2:12" ht="15" customHeight="1" thickBot="1" x14ac:dyDescent="0.65">
      <c r="C5" s="54"/>
      <c r="D5" s="55"/>
      <c r="E5" s="55"/>
      <c r="F5" s="55"/>
      <c r="G5" s="55"/>
      <c r="H5" s="55"/>
      <c r="I5" s="55"/>
      <c r="J5" s="55"/>
      <c r="K5" s="55"/>
    </row>
    <row r="6" spans="2:12" ht="15" customHeight="1" x14ac:dyDescent="0.3">
      <c r="B6" s="402" t="str">
        <f>+'PRE INFANTIL GRUPOS'!C6</f>
        <v>GRUPO A</v>
      </c>
      <c r="C6" s="403"/>
      <c r="D6" s="413" t="e">
        <f>+'GRUPO A'!Q20:Q21</f>
        <v>#VALUE!</v>
      </c>
      <c r="E6" s="412" t="e">
        <f>+'GRUPO A'!R20:R21</f>
        <v>#VALUE!</v>
      </c>
      <c r="F6" s="412" t="e">
        <f>+'GRUPO A'!S20:S21</f>
        <v>#VALUE!</v>
      </c>
      <c r="G6" s="412" t="e">
        <f>+'GRUPO A'!T20:T21</f>
        <v>#VALUE!</v>
      </c>
      <c r="H6" s="412" t="e">
        <f>+'GRUPO A'!U20:U21</f>
        <v>#VALUE!</v>
      </c>
      <c r="I6" s="412" t="e">
        <f>+'GRUPO A'!V20:V21</f>
        <v>#VALUE!</v>
      </c>
      <c r="J6" s="412" t="e">
        <f>+'GRUPO A'!W20:W21</f>
        <v>#VALUE!</v>
      </c>
      <c r="K6" s="412" t="e">
        <f>+'GRUPO A'!X20:X21</f>
        <v>#VALUE!</v>
      </c>
      <c r="L6" s="419" t="e">
        <f>+'GRUPO A'!Y20:Y21</f>
        <v>#VALUE!</v>
      </c>
    </row>
    <row r="7" spans="2:12" ht="15" customHeight="1" thickBot="1" x14ac:dyDescent="0.35">
      <c r="B7" s="404"/>
      <c r="C7" s="405"/>
      <c r="D7" s="411"/>
      <c r="E7" s="406"/>
      <c r="F7" s="406"/>
      <c r="G7" s="406"/>
      <c r="H7" s="406"/>
      <c r="I7" s="406"/>
      <c r="J7" s="406"/>
      <c r="K7" s="406"/>
      <c r="L7" s="420"/>
    </row>
    <row r="8" spans="2:12" ht="22.65" customHeight="1" x14ac:dyDescent="0.3">
      <c r="B8" s="407" t="e">
        <f>+'GRUPO A'!P22:P23</f>
        <v>#VALUE!</v>
      </c>
      <c r="C8" s="408"/>
      <c r="D8" s="413" t="e">
        <f>+'GRUPO A'!Q22:Q23</f>
        <v>#VALUE!</v>
      </c>
      <c r="E8" s="412" t="e">
        <f>+'GRUPO A'!R22:R23</f>
        <v>#VALUE!</v>
      </c>
      <c r="F8" s="412" t="e">
        <f>+'GRUPO A'!S22:S23</f>
        <v>#VALUE!</v>
      </c>
      <c r="G8" s="412" t="e">
        <f>+'GRUPO A'!T22:T23</f>
        <v>#VALUE!</v>
      </c>
      <c r="H8" s="412" t="e">
        <f>+'GRUPO A'!U22:U23</f>
        <v>#VALUE!</v>
      </c>
      <c r="I8" s="412" t="e">
        <f>+'GRUPO A'!V22:V23</f>
        <v>#VALUE!</v>
      </c>
      <c r="J8" s="412" t="e">
        <f>+'GRUPO A'!W22:W23</f>
        <v>#VALUE!</v>
      </c>
      <c r="K8" s="412" t="e">
        <f>+'GRUPO A'!X22:X23</f>
        <v>#VALUE!</v>
      </c>
      <c r="L8" s="421" t="e">
        <f>+'GRUPO A'!Y22:Y23</f>
        <v>#VALUE!</v>
      </c>
    </row>
    <row r="9" spans="2:12" ht="11.1" customHeight="1" x14ac:dyDescent="0.3">
      <c r="B9" s="400"/>
      <c r="C9" s="401"/>
      <c r="D9" s="392"/>
      <c r="E9" s="391"/>
      <c r="F9" s="391"/>
      <c r="G9" s="391"/>
      <c r="H9" s="391"/>
      <c r="I9" s="391"/>
      <c r="J9" s="391"/>
      <c r="K9" s="391"/>
      <c r="L9" s="422"/>
    </row>
    <row r="10" spans="2:12" ht="22.65" customHeight="1" x14ac:dyDescent="0.3">
      <c r="B10" s="400" t="e">
        <f>+'GRUPO A'!P24:P25</f>
        <v>#VALUE!</v>
      </c>
      <c r="C10" s="401"/>
      <c r="D10" s="392" t="e">
        <f>+'GRUPO A'!Q24:Q25</f>
        <v>#VALUE!</v>
      </c>
      <c r="E10" s="391" t="e">
        <f>+'GRUPO A'!R24:R25</f>
        <v>#VALUE!</v>
      </c>
      <c r="F10" s="391" t="e">
        <f>+'GRUPO A'!S24:S25</f>
        <v>#VALUE!</v>
      </c>
      <c r="G10" s="391" t="e">
        <f>+'GRUPO A'!T24:T25</f>
        <v>#VALUE!</v>
      </c>
      <c r="H10" s="391" t="e">
        <f>+'GRUPO A'!U24:U25</f>
        <v>#VALUE!</v>
      </c>
      <c r="I10" s="391" t="e">
        <f>+'GRUPO A'!V24:V25</f>
        <v>#VALUE!</v>
      </c>
      <c r="J10" s="391" t="e">
        <f>+'GRUPO A'!W24:W25</f>
        <v>#VALUE!</v>
      </c>
      <c r="K10" s="391" t="e">
        <f>+'GRUPO A'!X24:X25</f>
        <v>#VALUE!</v>
      </c>
      <c r="L10" s="422" t="e">
        <f>+'GRUPO A'!Y24:Y25</f>
        <v>#VALUE!</v>
      </c>
    </row>
    <row r="11" spans="2:12" ht="11.1" customHeight="1" x14ac:dyDescent="0.3">
      <c r="B11" s="400"/>
      <c r="C11" s="401"/>
      <c r="D11" s="392"/>
      <c r="E11" s="391"/>
      <c r="F11" s="391"/>
      <c r="G11" s="391"/>
      <c r="H11" s="391"/>
      <c r="I11" s="391"/>
      <c r="J11" s="391"/>
      <c r="K11" s="391"/>
      <c r="L11" s="422"/>
    </row>
    <row r="12" spans="2:12" ht="22.65" customHeight="1" x14ac:dyDescent="0.3">
      <c r="B12" s="400" t="e">
        <f>+'GRUPO A'!P26:P27</f>
        <v>#VALUE!</v>
      </c>
      <c r="C12" s="401"/>
      <c r="D12" s="392" t="e">
        <f>+'GRUPO A'!Q26:Q27</f>
        <v>#VALUE!</v>
      </c>
      <c r="E12" s="391" t="e">
        <f>+'GRUPO A'!R26:R27</f>
        <v>#VALUE!</v>
      </c>
      <c r="F12" s="391" t="e">
        <f>+'GRUPO A'!S26:S27</f>
        <v>#VALUE!</v>
      </c>
      <c r="G12" s="391" t="e">
        <f>+'GRUPO A'!T26:T27</f>
        <v>#VALUE!</v>
      </c>
      <c r="H12" s="391" t="e">
        <f>+'GRUPO A'!U26:U27</f>
        <v>#VALUE!</v>
      </c>
      <c r="I12" s="391" t="e">
        <f>+'GRUPO A'!V26:V27</f>
        <v>#VALUE!</v>
      </c>
      <c r="J12" s="391" t="e">
        <f>+'GRUPO A'!W26:W27</f>
        <v>#VALUE!</v>
      </c>
      <c r="K12" s="391" t="e">
        <f>+'GRUPO A'!X26:X27</f>
        <v>#VALUE!</v>
      </c>
      <c r="L12" s="422" t="e">
        <f>+'GRUPO A'!Y26:Y27</f>
        <v>#VALUE!</v>
      </c>
    </row>
    <row r="13" spans="2:12" ht="11.1" customHeight="1" x14ac:dyDescent="0.3">
      <c r="B13" s="400"/>
      <c r="C13" s="401"/>
      <c r="D13" s="392"/>
      <c r="E13" s="391"/>
      <c r="F13" s="391"/>
      <c r="G13" s="391"/>
      <c r="H13" s="391"/>
      <c r="I13" s="391"/>
      <c r="J13" s="391"/>
      <c r="K13" s="391"/>
      <c r="L13" s="422"/>
    </row>
    <row r="14" spans="2:12" ht="22.65" customHeight="1" x14ac:dyDescent="0.3">
      <c r="B14" s="400" t="e">
        <f>+'GRUPO A'!P28:P29</f>
        <v>#VALUE!</v>
      </c>
      <c r="C14" s="401"/>
      <c r="D14" s="392" t="e">
        <f>+'GRUPO A'!Q28:Q29</f>
        <v>#VALUE!</v>
      </c>
      <c r="E14" s="391" t="e">
        <f>+'GRUPO A'!R28:R29</f>
        <v>#VALUE!</v>
      </c>
      <c r="F14" s="391" t="e">
        <f>+'GRUPO A'!S28:S29</f>
        <v>#VALUE!</v>
      </c>
      <c r="G14" s="391" t="e">
        <f>+'GRUPO A'!T28:T29</f>
        <v>#VALUE!</v>
      </c>
      <c r="H14" s="391" t="e">
        <f>+'GRUPO A'!U28:U29</f>
        <v>#VALUE!</v>
      </c>
      <c r="I14" s="391" t="e">
        <f>+'GRUPO A'!V28:V29</f>
        <v>#VALUE!</v>
      </c>
      <c r="J14" s="391" t="e">
        <f>+'GRUPO A'!W28:W29</f>
        <v>#VALUE!</v>
      </c>
      <c r="K14" s="391" t="e">
        <f>+'GRUPO A'!X28:X29</f>
        <v>#VALUE!</v>
      </c>
      <c r="L14" s="422" t="e">
        <f>+'GRUPO A'!Y28:Y29</f>
        <v>#VALUE!</v>
      </c>
    </row>
    <row r="15" spans="2:12" ht="11.1" customHeight="1" thickBot="1" x14ac:dyDescent="0.35">
      <c r="B15" s="409"/>
      <c r="C15" s="410"/>
      <c r="D15" s="411"/>
      <c r="E15" s="406"/>
      <c r="F15" s="406"/>
      <c r="G15" s="406"/>
      <c r="H15" s="406"/>
      <c r="I15" s="406"/>
      <c r="J15" s="406"/>
      <c r="K15" s="406"/>
      <c r="L15" s="423"/>
    </row>
    <row r="16" spans="2:12" ht="7.5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3" ht="23.25" customHeight="1" x14ac:dyDescent="0.3">
      <c r="A17" s="396" t="s">
        <v>34</v>
      </c>
      <c r="B17" s="334"/>
      <c r="C17" s="334"/>
      <c r="D17" s="334"/>
      <c r="E17" s="334"/>
      <c r="F17" s="334"/>
      <c r="G17" s="334"/>
      <c r="H17" s="334"/>
      <c r="I17" s="334"/>
      <c r="J17" s="334"/>
      <c r="K17" s="334"/>
      <c r="L17" s="334"/>
    </row>
    <row r="18" spans="1:13" ht="7.5" customHeight="1" x14ac:dyDescent="0.3"/>
    <row r="19" spans="1:13" ht="33.75" customHeight="1" x14ac:dyDescent="0.3">
      <c r="A19" s="84">
        <f>+'GRUPO A'!B32</f>
        <v>42967</v>
      </c>
      <c r="B19" s="85" t="str">
        <f>+'GRUPO A'!C32</f>
        <v>09:50. a.m.</v>
      </c>
      <c r="C19" s="112" t="str">
        <f>+'GRUPO A'!E32</f>
        <v>TROYA F. C.</v>
      </c>
      <c r="D19" s="89"/>
      <c r="E19" s="79" t="s">
        <v>15</v>
      </c>
      <c r="F19" s="89"/>
      <c r="G19" s="394" t="str">
        <f>+'GRUPO A'!K32</f>
        <v>JUDERCAR F. C.</v>
      </c>
      <c r="H19" s="379"/>
      <c r="I19" s="379"/>
      <c r="J19" s="379"/>
      <c r="K19" s="98" t="str">
        <f>+'GRUPO A'!M32</f>
        <v>CANCHA 1 A</v>
      </c>
      <c r="L19" s="86"/>
    </row>
    <row r="20" spans="1:13" ht="7.5" customHeight="1" x14ac:dyDescent="0.3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96"/>
      <c r="L20" s="78"/>
    </row>
    <row r="21" spans="1:13" ht="33.75" customHeight="1" x14ac:dyDescent="0.3">
      <c r="A21" s="87">
        <f>+'GRUPO A'!B35</f>
        <v>0</v>
      </c>
      <c r="B21" s="88">
        <f>+'GRUPO A'!C35</f>
        <v>0</v>
      </c>
      <c r="C21" s="113">
        <f>+'GRUPO A'!E35</f>
        <v>0</v>
      </c>
      <c r="D21" s="89"/>
      <c r="E21" s="79" t="s">
        <v>15</v>
      </c>
      <c r="F21" s="89"/>
      <c r="G21" s="395">
        <f>+'GRUPO A'!K35</f>
        <v>0</v>
      </c>
      <c r="H21" s="380"/>
      <c r="I21" s="380"/>
      <c r="J21" s="380"/>
      <c r="K21" s="97">
        <f>+'GRUPO A'!M35</f>
        <v>0</v>
      </c>
      <c r="L21" s="90"/>
    </row>
    <row r="22" spans="1:13" ht="7.5" customHeight="1" thickBot="1" x14ac:dyDescent="0.35">
      <c r="A22" s="56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spans="1:13" ht="15" customHeight="1" x14ac:dyDescent="0.3">
      <c r="B23" s="425" t="str">
        <f>+'PRE INFANTIL GRUPOS'!E6</f>
        <v>GRUPO B</v>
      </c>
      <c r="C23" s="426"/>
      <c r="D23" s="429" t="str">
        <f>+'GRUPO B'!Q8</f>
        <v>Pts.</v>
      </c>
      <c r="E23" s="431" t="str">
        <f>+'GRUPO B'!R8</f>
        <v>PJ</v>
      </c>
      <c r="F23" s="431" t="str">
        <f>+'GRUPO B'!S8</f>
        <v>Gan.</v>
      </c>
      <c r="G23" s="431" t="str">
        <f>+'GRUPO B'!T8</f>
        <v>Emp.</v>
      </c>
      <c r="H23" s="431" t="str">
        <f>+'GRUPO B'!U8</f>
        <v>Per.</v>
      </c>
      <c r="I23" s="431" t="str">
        <f>+'GRUPO B'!V8</f>
        <v>GF</v>
      </c>
      <c r="J23" s="431" t="str">
        <f>+'GRUPO B'!W8</f>
        <v>GC</v>
      </c>
      <c r="K23" s="431" t="str">
        <f>+'GRUPO B'!X8</f>
        <v>Dif.</v>
      </c>
      <c r="L23" s="419" t="str">
        <f>+'GRUPO B'!Y8</f>
        <v>Tj</v>
      </c>
    </row>
    <row r="24" spans="1:13" ht="15" customHeight="1" thickBot="1" x14ac:dyDescent="0.35">
      <c r="B24" s="427"/>
      <c r="C24" s="428"/>
      <c r="D24" s="430"/>
      <c r="E24" s="432"/>
      <c r="F24" s="432"/>
      <c r="G24" s="432"/>
      <c r="H24" s="432"/>
      <c r="I24" s="432"/>
      <c r="J24" s="432"/>
      <c r="K24" s="432"/>
      <c r="L24" s="420"/>
    </row>
    <row r="25" spans="1:13" ht="10.5" customHeight="1" x14ac:dyDescent="0.3">
      <c r="B25" s="407" t="str">
        <f>+'GRUPO B'!P10</f>
        <v xml:space="preserve">  1)  ATHLETIC MELGAR</v>
      </c>
      <c r="C25" s="424"/>
      <c r="D25" s="413">
        <f>+'GRUPO B'!Q10</f>
        <v>6</v>
      </c>
      <c r="E25" s="412">
        <f>+'GRUPO B'!R10</f>
        <v>3</v>
      </c>
      <c r="F25" s="412">
        <f>+'GRUPO B'!S10</f>
        <v>2</v>
      </c>
      <c r="G25" s="412">
        <f>+'GRUPO B'!T10</f>
        <v>0</v>
      </c>
      <c r="H25" s="412">
        <f>+'GRUPO B'!U10</f>
        <v>1</v>
      </c>
      <c r="I25" s="412">
        <f>+'GRUPO B'!V10</f>
        <v>9</v>
      </c>
      <c r="J25" s="412">
        <f>+'GRUPO B'!W10</f>
        <v>2</v>
      </c>
      <c r="K25" s="412">
        <f>+'GRUPO B'!X10</f>
        <v>7</v>
      </c>
      <c r="L25" s="419">
        <f>+'GRUPO B'!Y10</f>
        <v>0</v>
      </c>
    </row>
    <row r="26" spans="1:13" ht="22.5" customHeight="1" x14ac:dyDescent="0.3">
      <c r="B26" s="400"/>
      <c r="C26" s="418"/>
      <c r="D26" s="392"/>
      <c r="E26" s="391"/>
      <c r="F26" s="391"/>
      <c r="G26" s="391"/>
      <c r="H26" s="391"/>
      <c r="I26" s="391"/>
      <c r="J26" s="391"/>
      <c r="K26" s="391"/>
      <c r="L26" s="397"/>
    </row>
    <row r="27" spans="1:13" ht="10.5" customHeight="1" x14ac:dyDescent="0.3">
      <c r="B27" s="400" t="str">
        <f>+'GRUPO B'!P12</f>
        <v xml:space="preserve">  2)  GOLDEN STEPS</v>
      </c>
      <c r="C27" s="418"/>
      <c r="D27" s="392">
        <f>+'GRUPO B'!Q12</f>
        <v>4</v>
      </c>
      <c r="E27" s="391">
        <f>+'GRUPO B'!R12</f>
        <v>3</v>
      </c>
      <c r="F27" s="391">
        <f>+'GRUPO B'!S12</f>
        <v>1</v>
      </c>
      <c r="G27" s="391">
        <f>+'GRUPO B'!T12</f>
        <v>1</v>
      </c>
      <c r="H27" s="391">
        <f>+'GRUPO B'!U12</f>
        <v>1</v>
      </c>
      <c r="I27" s="391">
        <f>+'GRUPO B'!V12</f>
        <v>4</v>
      </c>
      <c r="J27" s="391">
        <f>+'GRUPO B'!W12</f>
        <v>5</v>
      </c>
      <c r="K27" s="391">
        <f>+'GRUPO B'!X12</f>
        <v>-1</v>
      </c>
      <c r="L27" s="397">
        <f>+'GRUPO B'!Y12</f>
        <v>0</v>
      </c>
    </row>
    <row r="28" spans="1:13" ht="22.5" customHeight="1" x14ac:dyDescent="0.3">
      <c r="B28" s="400"/>
      <c r="C28" s="418"/>
      <c r="D28" s="392"/>
      <c r="E28" s="391"/>
      <c r="F28" s="391"/>
      <c r="G28" s="391"/>
      <c r="H28" s="391"/>
      <c r="I28" s="391"/>
      <c r="J28" s="391"/>
      <c r="K28" s="391"/>
      <c r="L28" s="397"/>
    </row>
    <row r="29" spans="1:13" ht="22.5" customHeight="1" x14ac:dyDescent="0.3">
      <c r="B29" s="400" t="str">
        <f>+'GRUPO B'!P14</f>
        <v xml:space="preserve">  3)  LIONTA F. C.</v>
      </c>
      <c r="C29" s="418"/>
      <c r="D29" s="392">
        <f>+'GRUPO B'!Q14</f>
        <v>0</v>
      </c>
      <c r="E29" s="391">
        <f>+'GRUPO B'!R14</f>
        <v>3</v>
      </c>
      <c r="F29" s="391">
        <f>+'GRUPO B'!S14</f>
        <v>0</v>
      </c>
      <c r="G29" s="391">
        <f>+'GRUPO B'!T14</f>
        <v>0</v>
      </c>
      <c r="H29" s="391">
        <f>+'GRUPO B'!U14</f>
        <v>3</v>
      </c>
      <c r="I29" s="391">
        <f>+'GRUPO B'!V14</f>
        <v>0</v>
      </c>
      <c r="J29" s="391">
        <f>+'GRUPO B'!W14</f>
        <v>13</v>
      </c>
      <c r="K29" s="391">
        <f>+'GRUPO B'!X14</f>
        <v>-13</v>
      </c>
      <c r="L29" s="397">
        <f>+'GRUPO B'!Y14</f>
        <v>0</v>
      </c>
    </row>
    <row r="30" spans="1:13" ht="11.1" customHeight="1" x14ac:dyDescent="0.3">
      <c r="B30" s="400"/>
      <c r="C30" s="418"/>
      <c r="D30" s="392"/>
      <c r="E30" s="391"/>
      <c r="F30" s="391"/>
      <c r="G30" s="391"/>
      <c r="H30" s="391"/>
      <c r="I30" s="391"/>
      <c r="J30" s="391"/>
      <c r="K30" s="391"/>
      <c r="L30" s="397"/>
    </row>
    <row r="31" spans="1:13" ht="22.5" customHeight="1" x14ac:dyDescent="0.3">
      <c r="B31" s="400">
        <f>+'GRUPO B'!P16</f>
        <v>0</v>
      </c>
      <c r="C31" s="418"/>
      <c r="D31" s="392">
        <f>+'GRUPO B'!Q16</f>
        <v>0</v>
      </c>
      <c r="E31" s="391">
        <f>+'GRUPO B'!R16</f>
        <v>0</v>
      </c>
      <c r="F31" s="391">
        <f>+'GRUPO B'!S16</f>
        <v>0</v>
      </c>
      <c r="G31" s="391">
        <f>+'GRUPO B'!T16</f>
        <v>0</v>
      </c>
      <c r="H31" s="391">
        <f>+'GRUPO B'!U16</f>
        <v>0</v>
      </c>
      <c r="I31" s="391">
        <f>+'GRUPO B'!V16</f>
        <v>0</v>
      </c>
      <c r="J31" s="391">
        <f>+'GRUPO B'!W16</f>
        <v>0</v>
      </c>
      <c r="K31" s="391">
        <f>+'GRUPO B'!X16</f>
        <v>0</v>
      </c>
      <c r="L31" s="397">
        <f>+'GRUPO B'!Y16</f>
        <v>0</v>
      </c>
    </row>
    <row r="32" spans="1:13" ht="11.1" customHeight="1" thickBot="1" x14ac:dyDescent="0.35">
      <c r="B32" s="409"/>
      <c r="C32" s="435"/>
      <c r="D32" s="411"/>
      <c r="E32" s="406"/>
      <c r="F32" s="406"/>
      <c r="G32" s="406"/>
      <c r="H32" s="406"/>
      <c r="I32" s="406"/>
      <c r="J32" s="406"/>
      <c r="K32" s="406"/>
      <c r="L32" s="420"/>
    </row>
    <row r="33" spans="1:13" ht="7.5" customHeight="1" x14ac:dyDescent="0.3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3" ht="23.25" customHeight="1" x14ac:dyDescent="0.3">
      <c r="A34" s="396" t="s">
        <v>34</v>
      </c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</row>
    <row r="35" spans="1:13" ht="7.5" customHeight="1" x14ac:dyDescent="0.3"/>
    <row r="36" spans="1:13" ht="33.75" customHeight="1" x14ac:dyDescent="0.3">
      <c r="A36" s="84">
        <f>+'GRUPO B'!B32</f>
        <v>42965</v>
      </c>
      <c r="B36" s="85" t="str">
        <f>+'GRUPO B'!C32</f>
        <v>04:30. p.m.</v>
      </c>
      <c r="C36" s="112" t="str">
        <f>+'GRUPO B'!E32</f>
        <v>ATHLETIC MELGAR</v>
      </c>
      <c r="D36" s="89"/>
      <c r="E36" s="79" t="s">
        <v>15</v>
      </c>
      <c r="F36" s="89"/>
      <c r="G36" s="394" t="str">
        <f>+'GRUPO B'!K32</f>
        <v>LIONTA F. C.</v>
      </c>
      <c r="H36" s="379"/>
      <c r="I36" s="379"/>
      <c r="J36" s="379"/>
      <c r="K36" s="98" t="str">
        <f>+'GRUPO B'!M32</f>
        <v>CANCHA 1 A</v>
      </c>
      <c r="L36" s="86"/>
    </row>
    <row r="37" spans="1:13" ht="7.5" customHeight="1" x14ac:dyDescent="0.3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96"/>
      <c r="L37" s="78"/>
    </row>
    <row r="38" spans="1:13" ht="33.75" customHeight="1" x14ac:dyDescent="0.3">
      <c r="A38" s="87">
        <f>+'GRUPO B'!B35</f>
        <v>0</v>
      </c>
      <c r="B38" s="88" t="str">
        <f>+'GRUPO B'!C32</f>
        <v>04:30. p.m.</v>
      </c>
      <c r="C38" s="113">
        <f>+'GRUPO B'!E35</f>
        <v>0</v>
      </c>
      <c r="D38" s="89"/>
      <c r="E38" s="79" t="s">
        <v>15</v>
      </c>
      <c r="F38" s="89"/>
      <c r="G38" s="395">
        <f>+'GRUPO B'!K35</f>
        <v>0</v>
      </c>
      <c r="H38" s="380"/>
      <c r="I38" s="380"/>
      <c r="J38" s="380"/>
      <c r="K38" s="97">
        <f>+'GRUPO B'!M35</f>
        <v>0</v>
      </c>
      <c r="L38" s="90"/>
    </row>
    <row r="39" spans="1:13" ht="7.5" customHeight="1" thickBot="1" x14ac:dyDescent="0.35">
      <c r="A39" s="56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spans="1:13" ht="7.5" hidden="1" customHeight="1" thickBot="1" x14ac:dyDescent="0.35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3" ht="15" hidden="1" customHeight="1" x14ac:dyDescent="0.3">
      <c r="B41" s="414" t="str">
        <f>+'PRE INFANTIL GRUPOS'!G6</f>
        <v>GRUPO C</v>
      </c>
      <c r="C41" s="415"/>
      <c r="D41" s="413" t="str">
        <f>+'GRUPO B'!Q8</f>
        <v>Pts.</v>
      </c>
      <c r="E41" s="412" t="str">
        <f>+'GRUPO B'!R8</f>
        <v>PJ</v>
      </c>
      <c r="F41" s="412" t="str">
        <f>+'GRUPO B'!S8</f>
        <v>Gan.</v>
      </c>
      <c r="G41" s="412" t="str">
        <f>+'GRUPO B'!T8</f>
        <v>Emp.</v>
      </c>
      <c r="H41" s="412" t="str">
        <f>+'GRUPO B'!U8</f>
        <v>Per.</v>
      </c>
      <c r="I41" s="412" t="str">
        <f>+'GRUPO B'!V8</f>
        <v>GF</v>
      </c>
      <c r="J41" s="412" t="str">
        <f>+'GRUPO B'!W8</f>
        <v>GC</v>
      </c>
      <c r="K41" s="412" t="str">
        <f>+'GRUPO B'!X8</f>
        <v>Dif.</v>
      </c>
      <c r="L41" s="419" t="str">
        <f>+'GRUPO B'!Y8</f>
        <v>Tj</v>
      </c>
    </row>
    <row r="42" spans="1:13" ht="7.5" hidden="1" customHeight="1" thickBot="1" x14ac:dyDescent="0.35">
      <c r="B42" s="416"/>
      <c r="C42" s="417"/>
      <c r="D42" s="411"/>
      <c r="E42" s="406"/>
      <c r="F42" s="406"/>
      <c r="G42" s="406"/>
      <c r="H42" s="406"/>
      <c r="I42" s="406"/>
      <c r="J42" s="406"/>
      <c r="K42" s="406"/>
      <c r="L42" s="420"/>
    </row>
    <row r="43" spans="1:13" ht="15" hidden="1" customHeight="1" x14ac:dyDescent="0.3">
      <c r="B43" s="398" t="str">
        <f>+'GRUPO B'!P10</f>
        <v xml:space="preserve">  1)  ATHLETIC MELGAR</v>
      </c>
      <c r="C43" s="399"/>
      <c r="D43" s="413">
        <f>+'GRUPO B'!Q10</f>
        <v>6</v>
      </c>
      <c r="E43" s="412">
        <f>+'GRUPO B'!R10</f>
        <v>3</v>
      </c>
      <c r="F43" s="412">
        <f>+'GRUPO B'!S10</f>
        <v>2</v>
      </c>
      <c r="G43" s="412">
        <f>+'GRUPO B'!T10</f>
        <v>0</v>
      </c>
      <c r="H43" s="412">
        <f>+'GRUPO B'!U10</f>
        <v>1</v>
      </c>
      <c r="I43" s="412">
        <f>+'GRUPO B'!V10</f>
        <v>9</v>
      </c>
      <c r="J43" s="412">
        <f>+'GRUPO B'!W10</f>
        <v>2</v>
      </c>
      <c r="K43" s="412">
        <f>+'GRUPO B'!X10</f>
        <v>7</v>
      </c>
      <c r="L43" s="419">
        <f>+'GRUPO B'!Y10</f>
        <v>0</v>
      </c>
    </row>
    <row r="44" spans="1:13" ht="15" hidden="1" customHeight="1" x14ac:dyDescent="0.3">
      <c r="B44" s="400"/>
      <c r="C44" s="401"/>
      <c r="D44" s="392"/>
      <c r="E44" s="391"/>
      <c r="F44" s="391"/>
      <c r="G44" s="391"/>
      <c r="H44" s="391"/>
      <c r="I44" s="391"/>
      <c r="J44" s="391"/>
      <c r="K44" s="391"/>
      <c r="L44" s="397"/>
    </row>
    <row r="45" spans="1:13" ht="15" hidden="1" customHeight="1" x14ac:dyDescent="0.3">
      <c r="B45" s="400" t="str">
        <f>+'GRUPO B'!P12</f>
        <v xml:space="preserve">  2)  GOLDEN STEPS</v>
      </c>
      <c r="C45" s="401"/>
      <c r="D45" s="392">
        <f>+'GRUPO B'!Q12</f>
        <v>4</v>
      </c>
      <c r="E45" s="391">
        <f>+'GRUPO B'!R12</f>
        <v>3</v>
      </c>
      <c r="F45" s="391">
        <f>+'GRUPO B'!S12</f>
        <v>1</v>
      </c>
      <c r="G45" s="391">
        <f>+'GRUPO B'!T12</f>
        <v>1</v>
      </c>
      <c r="H45" s="391">
        <f>+'GRUPO B'!U12</f>
        <v>1</v>
      </c>
      <c r="I45" s="391">
        <f>+'GRUPO B'!V12</f>
        <v>4</v>
      </c>
      <c r="J45" s="391">
        <f>+'GRUPO B'!W12</f>
        <v>5</v>
      </c>
      <c r="K45" s="391">
        <f>+'GRUPO B'!X12</f>
        <v>-1</v>
      </c>
      <c r="L45" s="397">
        <f>+'GRUPO B'!Y12</f>
        <v>0</v>
      </c>
    </row>
    <row r="46" spans="1:13" ht="15" hidden="1" customHeight="1" x14ac:dyDescent="0.3">
      <c r="B46" s="400"/>
      <c r="C46" s="401"/>
      <c r="D46" s="392"/>
      <c r="E46" s="391"/>
      <c r="F46" s="391"/>
      <c r="G46" s="391"/>
      <c r="H46" s="391"/>
      <c r="I46" s="391"/>
      <c r="J46" s="391"/>
      <c r="K46" s="391"/>
      <c r="L46" s="397"/>
    </row>
    <row r="47" spans="1:13" ht="15" hidden="1" customHeight="1" x14ac:dyDescent="0.3">
      <c r="B47" s="400" t="str">
        <f>+'GRUPO B'!P14</f>
        <v xml:space="preserve">  3)  LIONTA F. C.</v>
      </c>
      <c r="C47" s="401"/>
      <c r="D47" s="392">
        <f>+'GRUPO B'!Q14</f>
        <v>0</v>
      </c>
      <c r="E47" s="391">
        <f>+'GRUPO B'!R14</f>
        <v>3</v>
      </c>
      <c r="F47" s="391">
        <f>+'GRUPO B'!S14</f>
        <v>0</v>
      </c>
      <c r="G47" s="391">
        <f>+'GRUPO B'!T14</f>
        <v>0</v>
      </c>
      <c r="H47" s="391">
        <f>+'GRUPO B'!U14</f>
        <v>3</v>
      </c>
      <c r="I47" s="391">
        <f>+'GRUPO B'!V14</f>
        <v>0</v>
      </c>
      <c r="J47" s="391">
        <f>+'GRUPO B'!W14</f>
        <v>13</v>
      </c>
      <c r="K47" s="391">
        <f>+'GRUPO B'!X14</f>
        <v>-13</v>
      </c>
      <c r="L47" s="397">
        <f>+'GRUPO B'!Y14</f>
        <v>0</v>
      </c>
    </row>
    <row r="48" spans="1:13" ht="15" hidden="1" customHeight="1" x14ac:dyDescent="0.3">
      <c r="B48" s="400"/>
      <c r="C48" s="401"/>
      <c r="D48" s="392"/>
      <c r="E48" s="391"/>
      <c r="F48" s="391"/>
      <c r="G48" s="391"/>
      <c r="H48" s="391"/>
      <c r="I48" s="391"/>
      <c r="J48" s="391"/>
      <c r="K48" s="391"/>
      <c r="L48" s="397"/>
    </row>
    <row r="49" spans="1:13" hidden="1" x14ac:dyDescent="0.3">
      <c r="B49" s="400">
        <f>+'GRUPO B'!P16</f>
        <v>0</v>
      </c>
      <c r="C49" s="401"/>
      <c r="D49" s="392">
        <f>+'GRUPO B'!Q16</f>
        <v>0</v>
      </c>
      <c r="E49" s="391">
        <f>+'GRUPO B'!R16</f>
        <v>0</v>
      </c>
      <c r="F49" s="391">
        <f>+'GRUPO B'!S16</f>
        <v>0</v>
      </c>
      <c r="G49" s="391">
        <f>+'GRUPO B'!T16</f>
        <v>0</v>
      </c>
      <c r="H49" s="391">
        <f>+'GRUPO B'!U16</f>
        <v>0</v>
      </c>
      <c r="I49" s="391">
        <f>+'GRUPO B'!V16</f>
        <v>0</v>
      </c>
      <c r="J49" s="391">
        <f>+'GRUPO B'!W16</f>
        <v>0</v>
      </c>
      <c r="K49" s="391">
        <f>+'GRUPO B'!X16</f>
        <v>0</v>
      </c>
      <c r="L49" s="397">
        <f>+'GRUPO B'!Y16</f>
        <v>0</v>
      </c>
    </row>
    <row r="50" spans="1:13" ht="15" hidden="1" thickBot="1" x14ac:dyDescent="0.35">
      <c r="B50" s="409"/>
      <c r="C50" s="410"/>
      <c r="D50" s="411"/>
      <c r="E50" s="406"/>
      <c r="F50" s="406"/>
      <c r="G50" s="406"/>
      <c r="H50" s="406"/>
      <c r="I50" s="406"/>
      <c r="J50" s="406"/>
      <c r="K50" s="406"/>
      <c r="L50" s="420"/>
    </row>
    <row r="51" spans="1:13" ht="7.5" hidden="1" customHeight="1" x14ac:dyDescent="0.3"/>
    <row r="52" spans="1:13" ht="23.4" hidden="1" x14ac:dyDescent="0.3">
      <c r="A52" s="396" t="s">
        <v>34</v>
      </c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</row>
    <row r="53" spans="1:13" hidden="1" x14ac:dyDescent="0.3"/>
    <row r="54" spans="1:13" ht="33.75" hidden="1" customHeight="1" x14ac:dyDescent="0.3">
      <c r="A54" s="84">
        <f>+'GRUPO C'!B32</f>
        <v>42967</v>
      </c>
      <c r="B54" s="85" t="str">
        <f>+'GRUPO C'!C32</f>
        <v>09:50. a.m.</v>
      </c>
      <c r="C54" s="112" t="str">
        <f>+'GRUPO C'!E32</f>
        <v>CLUB DEPORTIVO NASSUAR</v>
      </c>
      <c r="D54" s="89"/>
      <c r="E54" s="79" t="s">
        <v>15</v>
      </c>
      <c r="F54" s="89"/>
      <c r="G54" s="394" t="str">
        <f>+'GRUPO C'!K32</f>
        <v>SPORTING CLUB VILLAVICENCIO</v>
      </c>
      <c r="H54" s="379"/>
      <c r="I54" s="379"/>
      <c r="J54" s="379"/>
      <c r="K54" s="98" t="str">
        <f>+'GRUPO C'!M32</f>
        <v>CANCHA 1 C</v>
      </c>
      <c r="L54" s="98"/>
    </row>
    <row r="55" spans="1:13" ht="17.399999999999999" hidden="1" x14ac:dyDescent="0.3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96"/>
      <c r="L55" s="96"/>
    </row>
    <row r="56" spans="1:13" ht="33.75" hidden="1" customHeight="1" x14ac:dyDescent="0.3">
      <c r="A56" s="87">
        <f>+'GRUPO C'!B35</f>
        <v>0</v>
      </c>
      <c r="B56" s="88">
        <f>+'GRUPO C'!C35</f>
        <v>0</v>
      </c>
      <c r="C56" s="113">
        <f>+'GRUPO C'!E35</f>
        <v>0</v>
      </c>
      <c r="D56" s="89"/>
      <c r="E56" s="79" t="s">
        <v>15</v>
      </c>
      <c r="F56" s="89"/>
      <c r="G56" s="395">
        <f>+'GRUPO C'!K35</f>
        <v>0</v>
      </c>
      <c r="H56" s="380"/>
      <c r="I56" s="380"/>
      <c r="J56" s="380"/>
      <c r="K56" s="101">
        <f>+'GRUPO C'!M35</f>
        <v>0</v>
      </c>
      <c r="L56" s="101"/>
    </row>
    <row r="57" spans="1:13" ht="15" hidden="1" thickBot="1" x14ac:dyDescent="0.35">
      <c r="A57" s="56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spans="1:13" ht="15" hidden="1" thickBot="1" x14ac:dyDescent="0.35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3" ht="15" hidden="1" customHeight="1" x14ac:dyDescent="0.3">
      <c r="B59" s="433" t="str">
        <f>+'PRE INFANTIL GRUPOS'!I6</f>
        <v>GRUPO D</v>
      </c>
      <c r="C59" s="433"/>
      <c r="D59" s="413" t="str">
        <f>+'GRUPO D'!Q8</f>
        <v>Pts.</v>
      </c>
      <c r="E59" s="412" t="str">
        <f>+'GRUPO D'!R8</f>
        <v>PJ</v>
      </c>
      <c r="F59" s="412" t="str">
        <f>+'GRUPO D'!S8</f>
        <v>Gan.</v>
      </c>
      <c r="G59" s="412" t="str">
        <f>+'GRUPO D'!T8</f>
        <v>Emp.</v>
      </c>
      <c r="H59" s="412" t="str">
        <f>+'GRUPO D'!U8</f>
        <v>Per.</v>
      </c>
      <c r="I59" s="412" t="str">
        <f>+'GRUPO D'!V8</f>
        <v>GF</v>
      </c>
      <c r="J59" s="412" t="str">
        <f>+'GRUPO D'!W8</f>
        <v>GC</v>
      </c>
      <c r="K59" s="412" t="str">
        <f>+'GRUPO D'!X8</f>
        <v>Dif.</v>
      </c>
      <c r="L59" s="419" t="str">
        <f>+'GRUPO D'!Y8</f>
        <v>Tj</v>
      </c>
    </row>
    <row r="60" spans="1:13" ht="15.75" hidden="1" customHeight="1" thickBot="1" x14ac:dyDescent="0.35">
      <c r="B60" s="434"/>
      <c r="C60" s="434"/>
      <c r="D60" s="392"/>
      <c r="E60" s="391"/>
      <c r="F60" s="391"/>
      <c r="G60" s="391"/>
      <c r="H60" s="391"/>
      <c r="I60" s="391"/>
      <c r="J60" s="391"/>
      <c r="K60" s="391"/>
      <c r="L60" s="397"/>
    </row>
    <row r="61" spans="1:13" ht="15" hidden="1" customHeight="1" x14ac:dyDescent="0.3">
      <c r="B61" s="398" t="str">
        <f>+'GRUPO D'!P10</f>
        <v xml:space="preserve">  1)  IMPERIUM FÚTBOL CLUB</v>
      </c>
      <c r="C61" s="399"/>
      <c r="D61" s="392">
        <f>+'GRUPO D'!Q10</f>
        <v>7</v>
      </c>
      <c r="E61" s="391">
        <f>+'GRUPO D'!R10</f>
        <v>3</v>
      </c>
      <c r="F61" s="391">
        <f>+'GRUPO D'!S10</f>
        <v>2</v>
      </c>
      <c r="G61" s="391">
        <f>+'GRUPO D'!T10</f>
        <v>1</v>
      </c>
      <c r="H61" s="391">
        <f>+'GRUPO D'!U10</f>
        <v>0</v>
      </c>
      <c r="I61" s="391">
        <f>+'GRUPO D'!V10</f>
        <v>7</v>
      </c>
      <c r="J61" s="391">
        <f>+'GRUPO D'!W10</f>
        <v>3</v>
      </c>
      <c r="K61" s="391">
        <f>+'GRUPO D'!X10</f>
        <v>4</v>
      </c>
      <c r="L61" s="397">
        <f>+'GRUPO D'!Y10</f>
        <v>0</v>
      </c>
    </row>
    <row r="62" spans="1:13" ht="15" hidden="1" customHeight="1" x14ac:dyDescent="0.3">
      <c r="B62" s="400"/>
      <c r="C62" s="401"/>
      <c r="D62" s="392"/>
      <c r="E62" s="391"/>
      <c r="F62" s="391"/>
      <c r="G62" s="391"/>
      <c r="H62" s="391"/>
      <c r="I62" s="391"/>
      <c r="J62" s="391"/>
      <c r="K62" s="391"/>
      <c r="L62" s="397"/>
    </row>
    <row r="63" spans="1:13" ht="15" hidden="1" customHeight="1" x14ac:dyDescent="0.3">
      <c r="B63" s="398" t="str">
        <f>+'GRUPO D'!P12</f>
        <v xml:space="preserve">  2)  E.D.F CHOCONTA</v>
      </c>
      <c r="C63" s="399"/>
      <c r="D63" s="392">
        <f>+'GRUPO D'!Q12</f>
        <v>1</v>
      </c>
      <c r="E63" s="391">
        <f>+'GRUPO D'!R12</f>
        <v>3</v>
      </c>
      <c r="F63" s="391">
        <f>+'GRUPO D'!S12</f>
        <v>0</v>
      </c>
      <c r="G63" s="391">
        <f>+'GRUPO D'!T12</f>
        <v>1</v>
      </c>
      <c r="H63" s="391">
        <f>+'GRUPO D'!U12</f>
        <v>2</v>
      </c>
      <c r="I63" s="391">
        <f>+'GRUPO D'!V12</f>
        <v>2</v>
      </c>
      <c r="J63" s="391">
        <f>+'GRUPO D'!W12</f>
        <v>4</v>
      </c>
      <c r="K63" s="391">
        <f>+'GRUPO D'!X12</f>
        <v>-2</v>
      </c>
      <c r="L63" s="397">
        <f>+'GRUPO D'!Y12</f>
        <v>0</v>
      </c>
    </row>
    <row r="64" spans="1:13" ht="15" hidden="1" customHeight="1" x14ac:dyDescent="0.3">
      <c r="B64" s="400"/>
      <c r="C64" s="401"/>
      <c r="D64" s="392"/>
      <c r="E64" s="391"/>
      <c r="F64" s="391"/>
      <c r="G64" s="391"/>
      <c r="H64" s="391"/>
      <c r="I64" s="391"/>
      <c r="J64" s="391"/>
      <c r="K64" s="391"/>
      <c r="L64" s="397"/>
    </row>
    <row r="65" spans="1:13" ht="15" hidden="1" customHeight="1" x14ac:dyDescent="0.3">
      <c r="B65" s="398" t="str">
        <f>+'GRUPO D'!P14</f>
        <v xml:space="preserve">  3)  ACADEMIA F.C SEDE RESTREPO</v>
      </c>
      <c r="C65" s="399"/>
      <c r="D65" s="392">
        <f>+'GRUPO D'!Q14</f>
        <v>1</v>
      </c>
      <c r="E65" s="391">
        <f>+'GRUPO D'!R14</f>
        <v>3</v>
      </c>
      <c r="F65" s="391">
        <f>+'GRUPO D'!S14</f>
        <v>0</v>
      </c>
      <c r="G65" s="391">
        <f>+'GRUPO D'!T14</f>
        <v>1</v>
      </c>
      <c r="H65" s="391">
        <f>+'GRUPO D'!U14</f>
        <v>2</v>
      </c>
      <c r="I65" s="391">
        <f>+'GRUPO D'!V14</f>
        <v>4</v>
      </c>
      <c r="J65" s="391">
        <f>+'GRUPO D'!W14</f>
        <v>8</v>
      </c>
      <c r="K65" s="391">
        <f>+'GRUPO D'!X14</f>
        <v>-4</v>
      </c>
      <c r="L65" s="397">
        <f>+'GRUPO D'!Y14</f>
        <v>0</v>
      </c>
    </row>
    <row r="66" spans="1:13" ht="15" hidden="1" customHeight="1" x14ac:dyDescent="0.3">
      <c r="B66" s="400"/>
      <c r="C66" s="401"/>
      <c r="D66" s="392"/>
      <c r="E66" s="391"/>
      <c r="F66" s="391"/>
      <c r="G66" s="391"/>
      <c r="H66" s="391"/>
      <c r="I66" s="391"/>
      <c r="J66" s="391"/>
      <c r="K66" s="391"/>
      <c r="L66" s="397"/>
    </row>
    <row r="67" spans="1:13" ht="15" hidden="1" customHeight="1" x14ac:dyDescent="0.3">
      <c r="B67" s="398">
        <f>+'GRUPO D'!P16</f>
        <v>0</v>
      </c>
      <c r="C67" s="399"/>
      <c r="D67" s="392">
        <f>+'GRUPO D'!Q16</f>
        <v>0</v>
      </c>
      <c r="E67" s="391">
        <f>+'GRUPO D'!R16</f>
        <v>0</v>
      </c>
      <c r="F67" s="391">
        <f>+'GRUPO D'!S16</f>
        <v>0</v>
      </c>
      <c r="G67" s="391">
        <f>+'GRUPO D'!T16</f>
        <v>0</v>
      </c>
      <c r="H67" s="391">
        <f>+'GRUPO D'!U16</f>
        <v>0</v>
      </c>
      <c r="I67" s="391">
        <f>+'GRUPO D'!V16</f>
        <v>0</v>
      </c>
      <c r="J67" s="391">
        <f>+'GRUPO D'!W16</f>
        <v>0</v>
      </c>
      <c r="K67" s="391">
        <f>+'GRUPO D'!X16</f>
        <v>0</v>
      </c>
      <c r="L67" s="397">
        <f>+'GRUPO D'!Y16</f>
        <v>0</v>
      </c>
    </row>
    <row r="68" spans="1:13" ht="15.75" hidden="1" customHeight="1" thickBot="1" x14ac:dyDescent="0.35">
      <c r="B68" s="400"/>
      <c r="C68" s="401"/>
      <c r="D68" s="411"/>
      <c r="E68" s="406"/>
      <c r="F68" s="406"/>
      <c r="G68" s="406"/>
      <c r="H68" s="406"/>
      <c r="I68" s="406"/>
      <c r="J68" s="406"/>
      <c r="K68" s="406"/>
      <c r="L68" s="420"/>
    </row>
    <row r="69" spans="1:13" hidden="1" x14ac:dyDescent="0.3"/>
    <row r="70" spans="1:13" ht="23.4" hidden="1" x14ac:dyDescent="0.3">
      <c r="A70" s="396" t="s">
        <v>34</v>
      </c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</row>
    <row r="71" spans="1:13" hidden="1" x14ac:dyDescent="0.3"/>
    <row r="72" spans="1:13" ht="33.75" hidden="1" customHeight="1" x14ac:dyDescent="0.3">
      <c r="A72" s="84">
        <f>+'GRUPO D'!B32</f>
        <v>42966</v>
      </c>
      <c r="B72" s="85" t="str">
        <f>+'GRUPO D'!C32</f>
        <v>12:40. p.m.</v>
      </c>
      <c r="C72" s="112" t="str">
        <f>+'GRUPO D'!E32</f>
        <v>IMPERIUM FÚTBOL CLUB</v>
      </c>
      <c r="D72" s="89"/>
      <c r="E72" s="79" t="s">
        <v>15</v>
      </c>
      <c r="F72" s="89"/>
      <c r="G72" s="394" t="str">
        <f>+'GRUPO D'!K32</f>
        <v>ACADEMIA F.C SEDE RESTREPO</v>
      </c>
      <c r="H72" s="379"/>
      <c r="I72" s="379"/>
      <c r="J72" s="379"/>
      <c r="K72" s="98" t="str">
        <f>+'GRUPO D'!M32</f>
        <v>CANCHA 1 A</v>
      </c>
      <c r="L72" s="98"/>
    </row>
    <row r="73" spans="1:13" ht="17.399999999999999" hidden="1" x14ac:dyDescent="0.3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96"/>
      <c r="L73" s="96"/>
    </row>
    <row r="74" spans="1:13" ht="33.75" hidden="1" customHeight="1" x14ac:dyDescent="0.3">
      <c r="A74" s="87">
        <f>+'GRUPO D'!B35</f>
        <v>0</v>
      </c>
      <c r="B74" s="88" t="str">
        <f>+'GRUPO D'!C32</f>
        <v>12:40. p.m.</v>
      </c>
      <c r="C74" s="113">
        <f>+'GRUPO D'!E35</f>
        <v>0</v>
      </c>
      <c r="D74" s="89"/>
      <c r="E74" s="79" t="s">
        <v>15</v>
      </c>
      <c r="F74" s="89"/>
      <c r="G74" s="395">
        <f>+'GRUPO D'!K35</f>
        <v>0</v>
      </c>
      <c r="H74" s="380"/>
      <c r="I74" s="380"/>
      <c r="J74" s="380"/>
      <c r="K74" s="101">
        <f>+'GRUPO D'!M35</f>
        <v>0</v>
      </c>
      <c r="L74" s="101"/>
    </row>
    <row r="75" spans="1:13" x14ac:dyDescent="0.3">
      <c r="A75" s="393" t="s">
        <v>32</v>
      </c>
      <c r="B75" s="393"/>
      <c r="C75" s="393"/>
      <c r="D75" s="393"/>
      <c r="E75" s="393"/>
      <c r="F75" s="393"/>
      <c r="G75" s="393"/>
      <c r="H75" s="393"/>
      <c r="I75" s="393"/>
      <c r="J75" s="393"/>
      <c r="K75" s="393"/>
      <c r="L75" s="393"/>
      <c r="M75" s="393"/>
    </row>
    <row r="76" spans="1:13" x14ac:dyDescent="0.3">
      <c r="A76" s="393"/>
      <c r="B76" s="393"/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</row>
    <row r="77" spans="1:13" x14ac:dyDescent="0.3">
      <c r="A77" s="393"/>
      <c r="B77" s="393"/>
      <c r="C77" s="393"/>
      <c r="D77" s="393"/>
      <c r="E77" s="393"/>
      <c r="F77" s="393"/>
      <c r="G77" s="393"/>
      <c r="H77" s="393"/>
      <c r="I77" s="393"/>
      <c r="J77" s="393"/>
      <c r="K77" s="393"/>
      <c r="L77" s="393"/>
      <c r="M77" s="393"/>
    </row>
    <row r="78" spans="1:13" x14ac:dyDescent="0.3">
      <c r="A78" s="373" t="s">
        <v>28</v>
      </c>
      <c r="B78" s="373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</row>
    <row r="79" spans="1:13" x14ac:dyDescent="0.3">
      <c r="A79" s="373" t="s">
        <v>29</v>
      </c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</row>
    <row r="80" spans="1:13" x14ac:dyDescent="0.3">
      <c r="A80" s="374" t="s">
        <v>30</v>
      </c>
      <c r="B80" s="374"/>
      <c r="C80" s="374"/>
      <c r="D80" s="374"/>
      <c r="E80" s="374"/>
      <c r="F80" s="374"/>
      <c r="G80" s="374"/>
      <c r="H80" s="374"/>
      <c r="I80" s="374"/>
      <c r="J80" s="374"/>
      <c r="K80" s="374"/>
      <c r="L80" s="374"/>
      <c r="M80" s="374"/>
    </row>
    <row r="81" spans="1:13" x14ac:dyDescent="0.3">
      <c r="A81" s="373" t="s">
        <v>31</v>
      </c>
      <c r="B81" s="373"/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373"/>
    </row>
  </sheetData>
  <mergeCells count="217"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21">
    <cfRule type="expression" dxfId="110" priority="30" stopIfTrue="1">
      <formula>#REF!="G"</formula>
    </cfRule>
    <cfRule type="expression" dxfId="109" priority="29" stopIfTrue="1">
      <formula>#REF!="E"</formula>
    </cfRule>
    <cfRule type="expression" dxfId="108" priority="28" stopIfTrue="1">
      <formula>#REF!="P"</formula>
    </cfRule>
  </conditionalFormatting>
  <conditionalFormatting sqref="D36">
    <cfRule type="expression" dxfId="107" priority="16" stopIfTrue="1">
      <formula>#REF!="P"</formula>
    </cfRule>
    <cfRule type="expression" dxfId="106" priority="17" stopIfTrue="1">
      <formula>#REF!="E"</formula>
    </cfRule>
    <cfRule type="expression" dxfId="105" priority="18" stopIfTrue="1">
      <formula>#REF!="G"</formula>
    </cfRule>
  </conditionalFormatting>
  <conditionalFormatting sqref="D38">
    <cfRule type="expression" dxfId="104" priority="10" stopIfTrue="1">
      <formula>#REF!="P"</formula>
    </cfRule>
    <cfRule type="expression" dxfId="103" priority="11" stopIfTrue="1">
      <formula>#REF!="E"</formula>
    </cfRule>
    <cfRule type="expression" dxfId="102" priority="12" stopIfTrue="1">
      <formula>#REF!="G"</formula>
    </cfRule>
  </conditionalFormatting>
  <conditionalFormatting sqref="D54">
    <cfRule type="expression" dxfId="101" priority="39" stopIfTrue="1">
      <formula>#REF!="G"</formula>
    </cfRule>
    <cfRule type="expression" dxfId="100" priority="38" stopIfTrue="1">
      <formula>#REF!="E"</formula>
    </cfRule>
    <cfRule type="expression" dxfId="99" priority="37" stopIfTrue="1">
      <formula>#REF!="P"</formula>
    </cfRule>
  </conditionalFormatting>
  <conditionalFormatting sqref="D72">
    <cfRule type="expression" dxfId="98" priority="1" stopIfTrue="1">
      <formula>#REF!="P"</formula>
    </cfRule>
    <cfRule type="expression" dxfId="97" priority="2" stopIfTrue="1">
      <formula>#REF!="E"</formula>
    </cfRule>
    <cfRule type="expression" dxfId="96" priority="3" stopIfTrue="1">
      <formula>#REF!="G"</formula>
    </cfRule>
  </conditionalFormatting>
  <conditionalFormatting sqref="D74">
    <cfRule type="expression" dxfId="95" priority="4" stopIfTrue="1">
      <formula>#REF!="P"</formula>
    </cfRule>
    <cfRule type="expression" dxfId="94" priority="5" stopIfTrue="1">
      <formula>#REF!="E"</formula>
    </cfRule>
    <cfRule type="expression" dxfId="93" priority="6" stopIfTrue="1">
      <formula>#REF!="G"</formula>
    </cfRule>
  </conditionalFormatting>
  <conditionalFormatting sqref="F19 F54 F56">
    <cfRule type="expression" dxfId="92" priority="87" stopIfTrue="1">
      <formula>#REF!="G"</formula>
    </cfRule>
    <cfRule type="expression" dxfId="91" priority="85" stopIfTrue="1">
      <formula>#REF!="P"</formula>
    </cfRule>
    <cfRule type="expression" dxfId="90" priority="86" stopIfTrue="1">
      <formula>#REF!="E"</formula>
    </cfRule>
  </conditionalFormatting>
  <conditionalFormatting sqref="F21">
    <cfRule type="expression" dxfId="89" priority="31" stopIfTrue="1">
      <formula>#REF!="P"</formula>
    </cfRule>
    <cfRule type="expression" dxfId="88" priority="32" stopIfTrue="1">
      <formula>#REF!="E"</formula>
    </cfRule>
    <cfRule type="expression" dxfId="87" priority="33" stopIfTrue="1">
      <formula>#REF!="G"</formula>
    </cfRule>
  </conditionalFormatting>
  <conditionalFormatting sqref="F36">
    <cfRule type="expression" dxfId="86" priority="20" stopIfTrue="1">
      <formula>#REF!="E"</formula>
    </cfRule>
    <cfRule type="expression" dxfId="85" priority="21" stopIfTrue="1">
      <formula>#REF!="G"</formula>
    </cfRule>
    <cfRule type="expression" dxfId="84" priority="19" stopIfTrue="1">
      <formula>#REF!="P"</formula>
    </cfRule>
  </conditionalFormatting>
  <conditionalFormatting sqref="F38">
    <cfRule type="expression" dxfId="83" priority="15" stopIfTrue="1">
      <formula>#REF!="G"</formula>
    </cfRule>
    <cfRule type="expression" dxfId="82" priority="14" stopIfTrue="1">
      <formula>#REF!="E"</formula>
    </cfRule>
    <cfRule type="expression" dxfId="81" priority="13" stopIfTrue="1">
      <formula>#REF!="P"</formula>
    </cfRule>
  </conditionalFormatting>
  <conditionalFormatting sqref="F72 F74">
    <cfRule type="expression" dxfId="80" priority="9" stopIfTrue="1">
      <formula>#REF!="G"</formula>
    </cfRule>
    <cfRule type="expression" dxfId="79" priority="8" stopIfTrue="1">
      <formula>#REF!="E"</formula>
    </cfRule>
    <cfRule type="expression" dxfId="78" priority="7" stopIfTrue="1">
      <formula>#REF!="P"</formula>
    </cfRule>
  </conditionalFormatting>
  <hyperlinks>
    <hyperlink ref="A80" r:id="rId1" display="mailto:soccermelgar@outlook.com" xr:uid="{00000000-0004-0000-0A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0" t="s">
        <v>5</v>
      </c>
      <c r="C1" s="50"/>
    </row>
    <row r="2" spans="2:12" ht="40.5" customHeight="1" x14ac:dyDescent="0.5">
      <c r="B2" s="52" t="s">
        <v>6</v>
      </c>
      <c r="C2" s="52"/>
      <c r="D2" s="52"/>
      <c r="E2" s="52"/>
      <c r="F2" s="52"/>
      <c r="G2" s="52"/>
      <c r="H2" s="52"/>
      <c r="I2" s="52"/>
      <c r="J2" s="52"/>
      <c r="K2" s="52"/>
    </row>
    <row r="3" spans="2:12" ht="41.25" customHeight="1" x14ac:dyDescent="0.6">
      <c r="G3" s="74" t="str">
        <f>+'PRE INFANTIL GRUPOS'!C3</f>
        <v>DICIEMBRE 4 AL 6 DEL 2024</v>
      </c>
    </row>
    <row r="4" spans="2:12" ht="29.25" customHeight="1" x14ac:dyDescent="0.6">
      <c r="C4" s="54"/>
      <c r="D4" s="55"/>
      <c r="E4" s="55"/>
      <c r="F4" s="55"/>
      <c r="G4" s="91" t="str">
        <f>+'PRE INFANTIL GRUPOS'!C4</f>
        <v>NACIDOS 2010 2011</v>
      </c>
      <c r="I4" s="55"/>
      <c r="J4" s="55"/>
      <c r="K4" s="55"/>
    </row>
    <row r="5" spans="2:12" ht="15" hidden="1" customHeight="1" thickBot="1" x14ac:dyDescent="0.65">
      <c r="C5" s="54"/>
      <c r="D5" s="55"/>
      <c r="E5" s="55"/>
      <c r="F5" s="55"/>
      <c r="G5" s="55"/>
      <c r="H5" s="55"/>
      <c r="I5" s="55"/>
      <c r="J5" s="55"/>
      <c r="K5" s="55"/>
    </row>
    <row r="6" spans="2:12" ht="15" hidden="1" customHeight="1" x14ac:dyDescent="0.3">
      <c r="B6" s="402" t="str">
        <f>+'PRE INFANTIL GRUPOS'!C6</f>
        <v>GRUPO A</v>
      </c>
      <c r="C6" s="403"/>
      <c r="D6" s="413" t="e">
        <f>+'GRUPO A'!Q20:Q21</f>
        <v>#VALUE!</v>
      </c>
      <c r="E6" s="412" t="e">
        <f>+'GRUPO A'!R20:R21</f>
        <v>#VALUE!</v>
      </c>
      <c r="F6" s="412" t="e">
        <f>+'GRUPO A'!S20:S21</f>
        <v>#VALUE!</v>
      </c>
      <c r="G6" s="412" t="e">
        <f>+'GRUPO A'!T20:T21</f>
        <v>#VALUE!</v>
      </c>
      <c r="H6" s="412" t="e">
        <f>+'GRUPO A'!U20:U21</f>
        <v>#VALUE!</v>
      </c>
      <c r="I6" s="412" t="e">
        <f>+'GRUPO A'!V20:V21</f>
        <v>#VALUE!</v>
      </c>
      <c r="J6" s="412" t="e">
        <f>+'GRUPO A'!W20:W21</f>
        <v>#VALUE!</v>
      </c>
      <c r="K6" s="412" t="e">
        <f>+'GRUPO A'!X20:X21</f>
        <v>#VALUE!</v>
      </c>
      <c r="L6" s="419" t="e">
        <f>+'GRUPO A'!Y20:Y21</f>
        <v>#VALUE!</v>
      </c>
    </row>
    <row r="7" spans="2:12" ht="15" hidden="1" customHeight="1" thickBot="1" x14ac:dyDescent="0.35">
      <c r="B7" s="404"/>
      <c r="C7" s="405"/>
      <c r="D7" s="411"/>
      <c r="E7" s="406"/>
      <c r="F7" s="406"/>
      <c r="G7" s="406"/>
      <c r="H7" s="406"/>
      <c r="I7" s="406"/>
      <c r="J7" s="406"/>
      <c r="K7" s="406"/>
      <c r="L7" s="420"/>
    </row>
    <row r="8" spans="2:12" ht="22.65" hidden="1" customHeight="1" x14ac:dyDescent="0.3">
      <c r="B8" s="407" t="e">
        <f>+'GRUPO A'!P22:P23</f>
        <v>#VALUE!</v>
      </c>
      <c r="C8" s="408"/>
      <c r="D8" s="413" t="e">
        <f>+'GRUPO A'!Q22:Q23</f>
        <v>#VALUE!</v>
      </c>
      <c r="E8" s="412" t="e">
        <f>+'GRUPO A'!R22:R23</f>
        <v>#VALUE!</v>
      </c>
      <c r="F8" s="412" t="e">
        <f>+'GRUPO A'!S22:S23</f>
        <v>#VALUE!</v>
      </c>
      <c r="G8" s="412" t="e">
        <f>+'GRUPO A'!T22:T23</f>
        <v>#VALUE!</v>
      </c>
      <c r="H8" s="412" t="e">
        <f>+'GRUPO A'!U22:U23</f>
        <v>#VALUE!</v>
      </c>
      <c r="I8" s="412" t="e">
        <f>+'GRUPO A'!V22:V23</f>
        <v>#VALUE!</v>
      </c>
      <c r="J8" s="412" t="e">
        <f>+'GRUPO A'!W22:W23</f>
        <v>#VALUE!</v>
      </c>
      <c r="K8" s="412" t="e">
        <f>+'GRUPO A'!X22:X23</f>
        <v>#VALUE!</v>
      </c>
      <c r="L8" s="421" t="e">
        <f>+'GRUPO A'!Y22:Y23</f>
        <v>#VALUE!</v>
      </c>
    </row>
    <row r="9" spans="2:12" ht="11.1" hidden="1" customHeight="1" x14ac:dyDescent="0.3">
      <c r="B9" s="400"/>
      <c r="C9" s="401"/>
      <c r="D9" s="392"/>
      <c r="E9" s="391"/>
      <c r="F9" s="391"/>
      <c r="G9" s="391"/>
      <c r="H9" s="391"/>
      <c r="I9" s="391"/>
      <c r="J9" s="391"/>
      <c r="K9" s="391"/>
      <c r="L9" s="422"/>
    </row>
    <row r="10" spans="2:12" ht="22.65" hidden="1" customHeight="1" x14ac:dyDescent="0.3">
      <c r="B10" s="400" t="e">
        <f>+'GRUPO A'!P24:P25</f>
        <v>#VALUE!</v>
      </c>
      <c r="C10" s="401"/>
      <c r="D10" s="392" t="e">
        <f>+'GRUPO A'!Q24:Q25</f>
        <v>#VALUE!</v>
      </c>
      <c r="E10" s="391" t="e">
        <f>+'GRUPO A'!R24:R25</f>
        <v>#VALUE!</v>
      </c>
      <c r="F10" s="391" t="e">
        <f>+'GRUPO A'!S24:S25</f>
        <v>#VALUE!</v>
      </c>
      <c r="G10" s="391" t="e">
        <f>+'GRUPO A'!T24:T25</f>
        <v>#VALUE!</v>
      </c>
      <c r="H10" s="391" t="e">
        <f>+'GRUPO A'!U24:U25</f>
        <v>#VALUE!</v>
      </c>
      <c r="I10" s="391" t="e">
        <f>+'GRUPO A'!V24:V25</f>
        <v>#VALUE!</v>
      </c>
      <c r="J10" s="391" t="e">
        <f>+'GRUPO A'!W24:W25</f>
        <v>#VALUE!</v>
      </c>
      <c r="K10" s="391" t="e">
        <f>+'GRUPO A'!X24:X25</f>
        <v>#VALUE!</v>
      </c>
      <c r="L10" s="422" t="e">
        <f>+'GRUPO A'!Y24:Y25</f>
        <v>#VALUE!</v>
      </c>
    </row>
    <row r="11" spans="2:12" ht="11.1" hidden="1" customHeight="1" x14ac:dyDescent="0.3">
      <c r="B11" s="400"/>
      <c r="C11" s="401"/>
      <c r="D11" s="392"/>
      <c r="E11" s="391"/>
      <c r="F11" s="391"/>
      <c r="G11" s="391"/>
      <c r="H11" s="391"/>
      <c r="I11" s="391"/>
      <c r="J11" s="391"/>
      <c r="K11" s="391"/>
      <c r="L11" s="422"/>
    </row>
    <row r="12" spans="2:12" ht="22.65" hidden="1" customHeight="1" x14ac:dyDescent="0.3">
      <c r="B12" s="400" t="e">
        <f>+'GRUPO A'!P26:P27</f>
        <v>#VALUE!</v>
      </c>
      <c r="C12" s="401"/>
      <c r="D12" s="392" t="e">
        <f>+'GRUPO A'!Q26:Q27</f>
        <v>#VALUE!</v>
      </c>
      <c r="E12" s="391" t="e">
        <f>+'GRUPO A'!R26:R27</f>
        <v>#VALUE!</v>
      </c>
      <c r="F12" s="391" t="e">
        <f>+'GRUPO A'!S26:S27</f>
        <v>#VALUE!</v>
      </c>
      <c r="G12" s="391" t="e">
        <f>+'GRUPO A'!T26:T27</f>
        <v>#VALUE!</v>
      </c>
      <c r="H12" s="391" t="e">
        <f>+'GRUPO A'!U26:U27</f>
        <v>#VALUE!</v>
      </c>
      <c r="I12" s="391" t="e">
        <f>+'GRUPO A'!V26:V27</f>
        <v>#VALUE!</v>
      </c>
      <c r="J12" s="391" t="e">
        <f>+'GRUPO A'!W26:W27</f>
        <v>#VALUE!</v>
      </c>
      <c r="K12" s="391" t="e">
        <f>+'GRUPO A'!X26:X27</f>
        <v>#VALUE!</v>
      </c>
      <c r="L12" s="422" t="e">
        <f>+'GRUPO A'!Y26:Y27</f>
        <v>#VALUE!</v>
      </c>
    </row>
    <row r="13" spans="2:12" ht="11.1" hidden="1" customHeight="1" x14ac:dyDescent="0.3">
      <c r="B13" s="400"/>
      <c r="C13" s="401"/>
      <c r="D13" s="392"/>
      <c r="E13" s="391"/>
      <c r="F13" s="391"/>
      <c r="G13" s="391"/>
      <c r="H13" s="391"/>
      <c r="I13" s="391"/>
      <c r="J13" s="391"/>
      <c r="K13" s="391"/>
      <c r="L13" s="422"/>
    </row>
    <row r="14" spans="2:12" ht="22.65" hidden="1" customHeight="1" x14ac:dyDescent="0.3">
      <c r="B14" s="400" t="e">
        <f>+'GRUPO A'!P28:P29</f>
        <v>#VALUE!</v>
      </c>
      <c r="C14" s="401"/>
      <c r="D14" s="392" t="e">
        <f>+'GRUPO A'!Q28:Q29</f>
        <v>#VALUE!</v>
      </c>
      <c r="E14" s="391" t="e">
        <f>+'GRUPO A'!R28:R29</f>
        <v>#VALUE!</v>
      </c>
      <c r="F14" s="391" t="e">
        <f>+'GRUPO A'!S28:S29</f>
        <v>#VALUE!</v>
      </c>
      <c r="G14" s="391" t="e">
        <f>+'GRUPO A'!T28:T29</f>
        <v>#VALUE!</v>
      </c>
      <c r="H14" s="391" t="e">
        <f>+'GRUPO A'!U28:U29</f>
        <v>#VALUE!</v>
      </c>
      <c r="I14" s="391" t="e">
        <f>+'GRUPO A'!V28:V29</f>
        <v>#VALUE!</v>
      </c>
      <c r="J14" s="391" t="e">
        <f>+'GRUPO A'!W28:W29</f>
        <v>#VALUE!</v>
      </c>
      <c r="K14" s="391" t="e">
        <f>+'GRUPO A'!X28:X29</f>
        <v>#VALUE!</v>
      </c>
      <c r="L14" s="422" t="e">
        <f>+'GRUPO A'!Y28:Y29</f>
        <v>#VALUE!</v>
      </c>
    </row>
    <row r="15" spans="2:12" ht="11.1" hidden="1" customHeight="1" thickBot="1" x14ac:dyDescent="0.35">
      <c r="B15" s="409"/>
      <c r="C15" s="410"/>
      <c r="D15" s="411"/>
      <c r="E15" s="406"/>
      <c r="F15" s="406"/>
      <c r="G15" s="406"/>
      <c r="H15" s="406"/>
      <c r="I15" s="406"/>
      <c r="J15" s="406"/>
      <c r="K15" s="406"/>
      <c r="L15" s="423"/>
    </row>
    <row r="16" spans="2:12" ht="7.5" hidden="1" customHeight="1" x14ac:dyDescent="0.3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3" ht="23.25" hidden="1" customHeight="1" x14ac:dyDescent="0.3">
      <c r="A17" s="396" t="s">
        <v>34</v>
      </c>
      <c r="B17" s="334"/>
      <c r="C17" s="334"/>
      <c r="D17" s="334"/>
      <c r="E17" s="334"/>
      <c r="F17" s="334"/>
      <c r="G17" s="334"/>
      <c r="H17" s="334"/>
      <c r="I17" s="334"/>
      <c r="J17" s="334"/>
      <c r="K17" s="334"/>
      <c r="L17" s="334"/>
    </row>
    <row r="18" spans="1:13" ht="7.5" hidden="1" customHeight="1" x14ac:dyDescent="0.3"/>
    <row r="19" spans="1:13" ht="33.75" hidden="1" customHeight="1" x14ac:dyDescent="0.3">
      <c r="A19" s="84">
        <f>+'GRUPO A'!B32</f>
        <v>42967</v>
      </c>
      <c r="B19" s="85" t="str">
        <f>+'GRUPO A'!C32</f>
        <v>09:50. a.m.</v>
      </c>
      <c r="C19" s="112" t="str">
        <f>+'GRUPO A'!E32</f>
        <v>TROYA F. C.</v>
      </c>
      <c r="D19" s="89"/>
      <c r="E19" s="79" t="s">
        <v>15</v>
      </c>
      <c r="F19" s="89"/>
      <c r="G19" s="394" t="str">
        <f>+'GRUPO A'!K32</f>
        <v>JUDERCAR F. C.</v>
      </c>
      <c r="H19" s="379"/>
      <c r="I19" s="379"/>
      <c r="J19" s="379"/>
      <c r="K19" s="98" t="str">
        <f>+'GRUPO A'!M32</f>
        <v>CANCHA 1 A</v>
      </c>
      <c r="L19" s="86"/>
    </row>
    <row r="20" spans="1:13" ht="7.5" hidden="1" customHeight="1" x14ac:dyDescent="0.3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96"/>
      <c r="L20" s="78"/>
    </row>
    <row r="21" spans="1:13" ht="33.75" hidden="1" customHeight="1" x14ac:dyDescent="0.3">
      <c r="A21" s="87">
        <f>+'GRUPO A'!B35</f>
        <v>0</v>
      </c>
      <c r="B21" s="88">
        <f>+'GRUPO A'!C35</f>
        <v>0</v>
      </c>
      <c r="C21" s="113">
        <f>+'GRUPO A'!E35</f>
        <v>0</v>
      </c>
      <c r="D21" s="89"/>
      <c r="E21" s="79" t="s">
        <v>15</v>
      </c>
      <c r="F21" s="89"/>
      <c r="G21" s="395">
        <f>+'GRUPO A'!K35</f>
        <v>0</v>
      </c>
      <c r="H21" s="380"/>
      <c r="I21" s="380"/>
      <c r="J21" s="380"/>
      <c r="K21" s="97">
        <f>+'GRUPO A'!M35</f>
        <v>0</v>
      </c>
      <c r="L21" s="90"/>
    </row>
    <row r="22" spans="1:13" ht="7.5" hidden="1" customHeight="1" thickBot="1" x14ac:dyDescent="0.35">
      <c r="A22" s="56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spans="1:13" ht="15" hidden="1" customHeight="1" x14ac:dyDescent="0.3">
      <c r="B23" s="425" t="str">
        <f>+'PRE INFANTIL GRUPOS'!E6</f>
        <v>GRUPO B</v>
      </c>
      <c r="C23" s="426"/>
      <c r="D23" s="429" t="str">
        <f>+'GRUPO B'!Q8</f>
        <v>Pts.</v>
      </c>
      <c r="E23" s="431" t="str">
        <f>+'GRUPO B'!R8</f>
        <v>PJ</v>
      </c>
      <c r="F23" s="431" t="str">
        <f>+'GRUPO B'!S8</f>
        <v>Gan.</v>
      </c>
      <c r="G23" s="431" t="str">
        <f>+'GRUPO B'!T8</f>
        <v>Emp.</v>
      </c>
      <c r="H23" s="431" t="str">
        <f>+'GRUPO B'!U8</f>
        <v>Per.</v>
      </c>
      <c r="I23" s="431" t="str">
        <f>+'GRUPO B'!V8</f>
        <v>GF</v>
      </c>
      <c r="J23" s="431" t="str">
        <f>+'GRUPO B'!W8</f>
        <v>GC</v>
      </c>
      <c r="K23" s="431" t="str">
        <f>+'GRUPO B'!X8</f>
        <v>Dif.</v>
      </c>
      <c r="L23" s="419" t="str">
        <f>+'GRUPO B'!Y8</f>
        <v>Tj</v>
      </c>
    </row>
    <row r="24" spans="1:13" ht="15" hidden="1" customHeight="1" thickBot="1" x14ac:dyDescent="0.35">
      <c r="B24" s="427"/>
      <c r="C24" s="428"/>
      <c r="D24" s="430"/>
      <c r="E24" s="432"/>
      <c r="F24" s="432"/>
      <c r="G24" s="432"/>
      <c r="H24" s="432"/>
      <c r="I24" s="432"/>
      <c r="J24" s="432"/>
      <c r="K24" s="432"/>
      <c r="L24" s="420"/>
    </row>
    <row r="25" spans="1:13" ht="10.5" hidden="1" customHeight="1" x14ac:dyDescent="0.3">
      <c r="B25" s="407" t="str">
        <f>+'GRUPO B'!P10</f>
        <v xml:space="preserve">  1)  ATHLETIC MELGAR</v>
      </c>
      <c r="C25" s="424"/>
      <c r="D25" s="413">
        <f>+'GRUPO B'!Q10</f>
        <v>6</v>
      </c>
      <c r="E25" s="412">
        <f>+'GRUPO B'!R10</f>
        <v>3</v>
      </c>
      <c r="F25" s="412">
        <f>+'GRUPO B'!S10</f>
        <v>2</v>
      </c>
      <c r="G25" s="412">
        <f>+'GRUPO B'!T10</f>
        <v>0</v>
      </c>
      <c r="H25" s="412">
        <f>+'GRUPO B'!U10</f>
        <v>1</v>
      </c>
      <c r="I25" s="412">
        <f>+'GRUPO B'!V10</f>
        <v>9</v>
      </c>
      <c r="J25" s="412">
        <f>+'GRUPO B'!W10</f>
        <v>2</v>
      </c>
      <c r="K25" s="412">
        <f>+'GRUPO B'!X10</f>
        <v>7</v>
      </c>
      <c r="L25" s="419">
        <f>+'GRUPO B'!Y10</f>
        <v>0</v>
      </c>
    </row>
    <row r="26" spans="1:13" ht="22.5" hidden="1" customHeight="1" x14ac:dyDescent="0.3">
      <c r="B26" s="400"/>
      <c r="C26" s="418"/>
      <c r="D26" s="392"/>
      <c r="E26" s="391"/>
      <c r="F26" s="391"/>
      <c r="G26" s="391"/>
      <c r="H26" s="391"/>
      <c r="I26" s="391"/>
      <c r="J26" s="391"/>
      <c r="K26" s="391"/>
      <c r="L26" s="397"/>
    </row>
    <row r="27" spans="1:13" ht="10.5" hidden="1" customHeight="1" x14ac:dyDescent="0.3">
      <c r="B27" s="400" t="str">
        <f>+'GRUPO B'!P12</f>
        <v xml:space="preserve">  2)  GOLDEN STEPS</v>
      </c>
      <c r="C27" s="418"/>
      <c r="D27" s="392">
        <f>+'GRUPO B'!Q12</f>
        <v>4</v>
      </c>
      <c r="E27" s="391">
        <f>+'GRUPO B'!R12</f>
        <v>3</v>
      </c>
      <c r="F27" s="391">
        <f>+'GRUPO B'!S12</f>
        <v>1</v>
      </c>
      <c r="G27" s="391">
        <f>+'GRUPO B'!T12</f>
        <v>1</v>
      </c>
      <c r="H27" s="391">
        <f>+'GRUPO B'!U12</f>
        <v>1</v>
      </c>
      <c r="I27" s="391">
        <f>+'GRUPO B'!V12</f>
        <v>4</v>
      </c>
      <c r="J27" s="391">
        <f>+'GRUPO B'!W12</f>
        <v>5</v>
      </c>
      <c r="K27" s="391">
        <f>+'GRUPO B'!X12</f>
        <v>-1</v>
      </c>
      <c r="L27" s="397">
        <f>+'GRUPO B'!Y12</f>
        <v>0</v>
      </c>
    </row>
    <row r="28" spans="1:13" ht="22.5" hidden="1" customHeight="1" x14ac:dyDescent="0.3">
      <c r="B28" s="400"/>
      <c r="C28" s="418"/>
      <c r="D28" s="392"/>
      <c r="E28" s="391"/>
      <c r="F28" s="391"/>
      <c r="G28" s="391"/>
      <c r="H28" s="391"/>
      <c r="I28" s="391"/>
      <c r="J28" s="391"/>
      <c r="K28" s="391"/>
      <c r="L28" s="397"/>
    </row>
    <row r="29" spans="1:13" ht="22.5" hidden="1" customHeight="1" x14ac:dyDescent="0.3">
      <c r="B29" s="400" t="str">
        <f>+'GRUPO B'!P14</f>
        <v xml:space="preserve">  3)  LIONTA F. C.</v>
      </c>
      <c r="C29" s="418"/>
      <c r="D29" s="392">
        <f>+'GRUPO B'!Q14</f>
        <v>0</v>
      </c>
      <c r="E29" s="391">
        <f>+'GRUPO B'!R14</f>
        <v>3</v>
      </c>
      <c r="F29" s="391">
        <f>+'GRUPO B'!S14</f>
        <v>0</v>
      </c>
      <c r="G29" s="391">
        <f>+'GRUPO B'!T14</f>
        <v>0</v>
      </c>
      <c r="H29" s="391">
        <f>+'GRUPO B'!U14</f>
        <v>3</v>
      </c>
      <c r="I29" s="391">
        <f>+'GRUPO B'!V14</f>
        <v>0</v>
      </c>
      <c r="J29" s="391">
        <f>+'GRUPO B'!W14</f>
        <v>13</v>
      </c>
      <c r="K29" s="391">
        <f>+'GRUPO B'!X14</f>
        <v>-13</v>
      </c>
      <c r="L29" s="397">
        <f>+'GRUPO B'!Y14</f>
        <v>0</v>
      </c>
    </row>
    <row r="30" spans="1:13" ht="11.1" hidden="1" customHeight="1" x14ac:dyDescent="0.3">
      <c r="B30" s="400"/>
      <c r="C30" s="418"/>
      <c r="D30" s="392"/>
      <c r="E30" s="391"/>
      <c r="F30" s="391"/>
      <c r="G30" s="391"/>
      <c r="H30" s="391"/>
      <c r="I30" s="391"/>
      <c r="J30" s="391"/>
      <c r="K30" s="391"/>
      <c r="L30" s="397"/>
    </row>
    <row r="31" spans="1:13" ht="22.5" hidden="1" customHeight="1" x14ac:dyDescent="0.3">
      <c r="B31" s="400">
        <f>+'GRUPO B'!P16</f>
        <v>0</v>
      </c>
      <c r="C31" s="418"/>
      <c r="D31" s="392">
        <f>+'GRUPO B'!Q16</f>
        <v>0</v>
      </c>
      <c r="E31" s="391">
        <f>+'GRUPO B'!R16</f>
        <v>0</v>
      </c>
      <c r="F31" s="391">
        <f>+'GRUPO B'!S16</f>
        <v>0</v>
      </c>
      <c r="G31" s="391">
        <f>+'GRUPO B'!T16</f>
        <v>0</v>
      </c>
      <c r="H31" s="391">
        <f>+'GRUPO B'!U16</f>
        <v>0</v>
      </c>
      <c r="I31" s="391">
        <f>+'GRUPO B'!V16</f>
        <v>0</v>
      </c>
      <c r="J31" s="391">
        <f>+'GRUPO B'!W16</f>
        <v>0</v>
      </c>
      <c r="K31" s="391">
        <f>+'GRUPO B'!X16</f>
        <v>0</v>
      </c>
      <c r="L31" s="397">
        <f>+'GRUPO B'!Y16</f>
        <v>0</v>
      </c>
    </row>
    <row r="32" spans="1:13" ht="11.1" hidden="1" customHeight="1" thickBot="1" x14ac:dyDescent="0.35">
      <c r="B32" s="409"/>
      <c r="C32" s="435"/>
      <c r="D32" s="411"/>
      <c r="E32" s="406"/>
      <c r="F32" s="406"/>
      <c r="G32" s="406"/>
      <c r="H32" s="406"/>
      <c r="I32" s="406"/>
      <c r="J32" s="406"/>
      <c r="K32" s="406"/>
      <c r="L32" s="420"/>
    </row>
    <row r="33" spans="1:13" ht="7.5" hidden="1" customHeight="1" x14ac:dyDescent="0.3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3" ht="23.25" hidden="1" customHeight="1" x14ac:dyDescent="0.3">
      <c r="A34" s="396" t="s">
        <v>34</v>
      </c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</row>
    <row r="35" spans="1:13" ht="7.5" hidden="1" customHeight="1" x14ac:dyDescent="0.3"/>
    <row r="36" spans="1:13" ht="33.75" hidden="1" customHeight="1" x14ac:dyDescent="0.3">
      <c r="A36" s="84">
        <f>+'GRUPO B'!B32</f>
        <v>42965</v>
      </c>
      <c r="B36" s="85" t="str">
        <f>+'GRUPO B'!C32</f>
        <v>04:30. p.m.</v>
      </c>
      <c r="C36" s="112" t="str">
        <f>+'GRUPO B'!E32</f>
        <v>ATHLETIC MELGAR</v>
      </c>
      <c r="D36" s="89"/>
      <c r="E36" s="79" t="s">
        <v>15</v>
      </c>
      <c r="F36" s="89"/>
      <c r="G36" s="394" t="str">
        <f>+'GRUPO B'!K32</f>
        <v>LIONTA F. C.</v>
      </c>
      <c r="H36" s="379"/>
      <c r="I36" s="379"/>
      <c r="J36" s="379"/>
      <c r="K36" s="98" t="str">
        <f>+'GRUPO B'!M32</f>
        <v>CANCHA 1 A</v>
      </c>
      <c r="L36" s="86"/>
    </row>
    <row r="37" spans="1:13" ht="7.5" hidden="1" customHeight="1" x14ac:dyDescent="0.3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96"/>
      <c r="L37" s="78"/>
    </row>
    <row r="38" spans="1:13" ht="33.75" hidden="1" customHeight="1" x14ac:dyDescent="0.3">
      <c r="A38" s="87">
        <f>+'GRUPO B'!B35</f>
        <v>0</v>
      </c>
      <c r="B38" s="88" t="str">
        <f>+'GRUPO B'!C32</f>
        <v>04:30. p.m.</v>
      </c>
      <c r="C38" s="113">
        <f>+'GRUPO B'!E35</f>
        <v>0</v>
      </c>
      <c r="D38" s="124"/>
      <c r="E38" s="79" t="s">
        <v>15</v>
      </c>
      <c r="F38" s="124"/>
      <c r="G38" s="395">
        <f>+'GRUPO B'!K35</f>
        <v>0</v>
      </c>
      <c r="H38" s="380"/>
      <c r="I38" s="380"/>
      <c r="J38" s="380"/>
      <c r="K38" s="97">
        <f>+'GRUPO B'!M35</f>
        <v>0</v>
      </c>
      <c r="L38" s="90"/>
    </row>
    <row r="39" spans="1:13" ht="7.5" customHeight="1" x14ac:dyDescent="0.3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ht="7.5" customHeight="1" thickBot="1" x14ac:dyDescent="0.35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3" ht="15" customHeight="1" x14ac:dyDescent="0.3">
      <c r="B41" s="414" t="str">
        <f>+'PRE INFANTIL GRUPOS'!G6</f>
        <v>GRUPO C</v>
      </c>
      <c r="C41" s="415"/>
      <c r="D41" s="413" t="str">
        <f>+'GRUPO B'!Q8</f>
        <v>Pts.</v>
      </c>
      <c r="E41" s="412" t="str">
        <f>+'GRUPO B'!R8</f>
        <v>PJ</v>
      </c>
      <c r="F41" s="412" t="str">
        <f>+'GRUPO B'!S8</f>
        <v>Gan.</v>
      </c>
      <c r="G41" s="412" t="str">
        <f>+'GRUPO B'!T8</f>
        <v>Emp.</v>
      </c>
      <c r="H41" s="412" t="str">
        <f>+'GRUPO B'!U8</f>
        <v>Per.</v>
      </c>
      <c r="I41" s="412" t="str">
        <f>+'GRUPO B'!V8</f>
        <v>GF</v>
      </c>
      <c r="J41" s="412" t="str">
        <f>+'GRUPO B'!W8</f>
        <v>GC</v>
      </c>
      <c r="K41" s="412" t="str">
        <f>+'GRUPO B'!X8</f>
        <v>Dif.</v>
      </c>
      <c r="L41" s="419" t="str">
        <f>+'GRUPO B'!Y8</f>
        <v>Tj</v>
      </c>
    </row>
    <row r="42" spans="1:13" ht="15" customHeight="1" thickBot="1" x14ac:dyDescent="0.35">
      <c r="B42" s="416"/>
      <c r="C42" s="417"/>
      <c r="D42" s="411"/>
      <c r="E42" s="406"/>
      <c r="F42" s="406"/>
      <c r="G42" s="406"/>
      <c r="H42" s="406"/>
      <c r="I42" s="406"/>
      <c r="J42" s="406"/>
      <c r="K42" s="406"/>
      <c r="L42" s="420"/>
    </row>
    <row r="43" spans="1:13" ht="15" customHeight="1" x14ac:dyDescent="0.3">
      <c r="B43" s="398" t="str">
        <f>+'GRUPO B'!P10</f>
        <v xml:space="preserve">  1)  ATHLETIC MELGAR</v>
      </c>
      <c r="C43" s="399"/>
      <c r="D43" s="413">
        <f>+'GRUPO B'!Q10</f>
        <v>6</v>
      </c>
      <c r="E43" s="412">
        <f>+'GRUPO B'!R10</f>
        <v>3</v>
      </c>
      <c r="F43" s="412">
        <f>+'GRUPO B'!S10</f>
        <v>2</v>
      </c>
      <c r="G43" s="412">
        <f>+'GRUPO B'!T10</f>
        <v>0</v>
      </c>
      <c r="H43" s="412">
        <f>+'GRUPO B'!U10</f>
        <v>1</v>
      </c>
      <c r="I43" s="412">
        <f>+'GRUPO B'!V10</f>
        <v>9</v>
      </c>
      <c r="J43" s="412">
        <f>+'GRUPO B'!W10</f>
        <v>2</v>
      </c>
      <c r="K43" s="412">
        <f>+'GRUPO B'!X10</f>
        <v>7</v>
      </c>
      <c r="L43" s="419">
        <f>+'GRUPO B'!Y10</f>
        <v>0</v>
      </c>
    </row>
    <row r="44" spans="1:13" ht="15" customHeight="1" x14ac:dyDescent="0.3">
      <c r="B44" s="400"/>
      <c r="C44" s="401"/>
      <c r="D44" s="392"/>
      <c r="E44" s="391"/>
      <c r="F44" s="391"/>
      <c r="G44" s="391"/>
      <c r="H44" s="391"/>
      <c r="I44" s="391"/>
      <c r="J44" s="391"/>
      <c r="K44" s="391"/>
      <c r="L44" s="397"/>
    </row>
    <row r="45" spans="1:13" ht="15" customHeight="1" x14ac:dyDescent="0.3">
      <c r="B45" s="400" t="str">
        <f>+'GRUPO B'!P12</f>
        <v xml:space="preserve">  2)  GOLDEN STEPS</v>
      </c>
      <c r="C45" s="401"/>
      <c r="D45" s="392">
        <f>+'GRUPO B'!Q12</f>
        <v>4</v>
      </c>
      <c r="E45" s="391">
        <f>+'GRUPO B'!R12</f>
        <v>3</v>
      </c>
      <c r="F45" s="391">
        <f>+'GRUPO B'!S12</f>
        <v>1</v>
      </c>
      <c r="G45" s="391">
        <f>+'GRUPO B'!T12</f>
        <v>1</v>
      </c>
      <c r="H45" s="391">
        <f>+'GRUPO B'!U12</f>
        <v>1</v>
      </c>
      <c r="I45" s="391">
        <f>+'GRUPO B'!V12</f>
        <v>4</v>
      </c>
      <c r="J45" s="391">
        <f>+'GRUPO B'!W12</f>
        <v>5</v>
      </c>
      <c r="K45" s="391">
        <f>+'GRUPO B'!X12</f>
        <v>-1</v>
      </c>
      <c r="L45" s="397">
        <f>+'GRUPO B'!Y12</f>
        <v>0</v>
      </c>
    </row>
    <row r="46" spans="1:13" ht="15" customHeight="1" x14ac:dyDescent="0.3">
      <c r="B46" s="400"/>
      <c r="C46" s="401"/>
      <c r="D46" s="392"/>
      <c r="E46" s="391"/>
      <c r="F46" s="391"/>
      <c r="G46" s="391"/>
      <c r="H46" s="391"/>
      <c r="I46" s="391"/>
      <c r="J46" s="391"/>
      <c r="K46" s="391"/>
      <c r="L46" s="397"/>
    </row>
    <row r="47" spans="1:13" ht="15" customHeight="1" x14ac:dyDescent="0.3">
      <c r="B47" s="400" t="str">
        <f>+'GRUPO B'!P14</f>
        <v xml:space="preserve">  3)  LIONTA F. C.</v>
      </c>
      <c r="C47" s="401"/>
      <c r="D47" s="392">
        <f>+'GRUPO B'!Q14</f>
        <v>0</v>
      </c>
      <c r="E47" s="391">
        <f>+'GRUPO B'!R14</f>
        <v>3</v>
      </c>
      <c r="F47" s="391">
        <f>+'GRUPO B'!S14</f>
        <v>0</v>
      </c>
      <c r="G47" s="391">
        <f>+'GRUPO B'!T14</f>
        <v>0</v>
      </c>
      <c r="H47" s="391">
        <f>+'GRUPO B'!U14</f>
        <v>3</v>
      </c>
      <c r="I47" s="391">
        <f>+'GRUPO B'!V14</f>
        <v>0</v>
      </c>
      <c r="J47" s="391">
        <f>+'GRUPO B'!W14</f>
        <v>13</v>
      </c>
      <c r="K47" s="391">
        <f>+'GRUPO B'!X14</f>
        <v>-13</v>
      </c>
      <c r="L47" s="397">
        <f>+'GRUPO B'!Y14</f>
        <v>0</v>
      </c>
    </row>
    <row r="48" spans="1:13" ht="15" customHeight="1" x14ac:dyDescent="0.3">
      <c r="B48" s="400"/>
      <c r="C48" s="401"/>
      <c r="D48" s="392"/>
      <c r="E48" s="391"/>
      <c r="F48" s="391"/>
      <c r="G48" s="391"/>
      <c r="H48" s="391"/>
      <c r="I48" s="391"/>
      <c r="J48" s="391"/>
      <c r="K48" s="391"/>
      <c r="L48" s="397"/>
    </row>
    <row r="49" spans="1:13" x14ac:dyDescent="0.3">
      <c r="B49" s="400">
        <f>+'GRUPO B'!P16</f>
        <v>0</v>
      </c>
      <c r="C49" s="401"/>
      <c r="D49" s="392">
        <f>+'GRUPO B'!Q16</f>
        <v>0</v>
      </c>
      <c r="E49" s="391">
        <f>+'GRUPO B'!R16</f>
        <v>0</v>
      </c>
      <c r="F49" s="391">
        <f>+'GRUPO B'!S16</f>
        <v>0</v>
      </c>
      <c r="G49" s="391">
        <f>+'GRUPO B'!T16</f>
        <v>0</v>
      </c>
      <c r="H49" s="391">
        <f>+'GRUPO B'!U16</f>
        <v>0</v>
      </c>
      <c r="I49" s="391">
        <f>+'GRUPO B'!V16</f>
        <v>0</v>
      </c>
      <c r="J49" s="391">
        <f>+'GRUPO B'!W16</f>
        <v>0</v>
      </c>
      <c r="K49" s="391">
        <f>+'GRUPO B'!X16</f>
        <v>0</v>
      </c>
      <c r="L49" s="397">
        <f>+'GRUPO B'!Y16</f>
        <v>0</v>
      </c>
    </row>
    <row r="50" spans="1:13" ht="15" thickBot="1" x14ac:dyDescent="0.35">
      <c r="B50" s="409"/>
      <c r="C50" s="410"/>
      <c r="D50" s="411"/>
      <c r="E50" s="406"/>
      <c r="F50" s="406"/>
      <c r="G50" s="406"/>
      <c r="H50" s="406"/>
      <c r="I50" s="406"/>
      <c r="J50" s="406"/>
      <c r="K50" s="406"/>
      <c r="L50" s="420"/>
    </row>
    <row r="51" spans="1:13" ht="7.5" customHeight="1" x14ac:dyDescent="0.3"/>
    <row r="52" spans="1:13" ht="23.4" x14ac:dyDescent="0.3">
      <c r="A52" s="396" t="s">
        <v>34</v>
      </c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</row>
    <row r="54" spans="1:13" ht="33.75" customHeight="1" x14ac:dyDescent="0.3">
      <c r="A54" s="84">
        <f>+'GRUPO C'!B32</f>
        <v>42967</v>
      </c>
      <c r="B54" s="85" t="str">
        <f>+'GRUPO C'!C32</f>
        <v>09:50. a.m.</v>
      </c>
      <c r="C54" s="112" t="str">
        <f>+'GRUPO C'!E32</f>
        <v>CLUB DEPORTIVO NASSUAR</v>
      </c>
      <c r="D54" s="89"/>
      <c r="E54" s="79" t="s">
        <v>15</v>
      </c>
      <c r="F54" s="89"/>
      <c r="G54" s="394" t="str">
        <f>+'GRUPO C'!K32</f>
        <v>SPORTING CLUB VILLAVICENCIO</v>
      </c>
      <c r="H54" s="379"/>
      <c r="I54" s="379"/>
      <c r="J54" s="379"/>
      <c r="K54" s="98" t="str">
        <f>+'GRUPO C'!M32</f>
        <v>CANCHA 1 C</v>
      </c>
      <c r="L54" s="98"/>
    </row>
    <row r="55" spans="1:13" ht="17.399999999999999" x14ac:dyDescent="0.3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96"/>
      <c r="L55" s="96"/>
    </row>
    <row r="56" spans="1:13" ht="33.75" customHeight="1" x14ac:dyDescent="0.3">
      <c r="A56" s="87">
        <f>+'GRUPO C'!B35</f>
        <v>0</v>
      </c>
      <c r="B56" s="88">
        <f>+'GRUPO C'!C35</f>
        <v>0</v>
      </c>
      <c r="C56" s="113">
        <f>+'GRUPO C'!E35</f>
        <v>0</v>
      </c>
      <c r="D56" s="89"/>
      <c r="E56" s="79" t="s">
        <v>15</v>
      </c>
      <c r="F56" s="89"/>
      <c r="G56" s="395">
        <f>+'GRUPO C'!K35</f>
        <v>0</v>
      </c>
      <c r="H56" s="380"/>
      <c r="I56" s="380"/>
      <c r="J56" s="380"/>
      <c r="K56" s="101">
        <f>+'GRUPO C'!M35</f>
        <v>0</v>
      </c>
      <c r="L56" s="101"/>
    </row>
    <row r="57" spans="1:13" ht="15" thickBot="1" x14ac:dyDescent="0.35">
      <c r="A57" s="56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spans="1:13" ht="15" thickBot="1" x14ac:dyDescent="0.35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3" ht="15" customHeight="1" x14ac:dyDescent="0.3">
      <c r="B59" s="433" t="str">
        <f>+'PRE INFANTIL GRUPOS'!I6</f>
        <v>GRUPO D</v>
      </c>
      <c r="C59" s="433"/>
      <c r="D59" s="413" t="str">
        <f>+'GRUPO D'!Q8</f>
        <v>Pts.</v>
      </c>
      <c r="E59" s="412" t="str">
        <f>+'GRUPO D'!R8</f>
        <v>PJ</v>
      </c>
      <c r="F59" s="412" t="str">
        <f>+'GRUPO D'!S8</f>
        <v>Gan.</v>
      </c>
      <c r="G59" s="412" t="str">
        <f>+'GRUPO D'!T8</f>
        <v>Emp.</v>
      </c>
      <c r="H59" s="412" t="str">
        <f>+'GRUPO D'!U8</f>
        <v>Per.</v>
      </c>
      <c r="I59" s="412" t="str">
        <f>+'GRUPO D'!V8</f>
        <v>GF</v>
      </c>
      <c r="J59" s="412" t="str">
        <f>+'GRUPO D'!W8</f>
        <v>GC</v>
      </c>
      <c r="K59" s="412" t="str">
        <f>+'GRUPO D'!X8</f>
        <v>Dif.</v>
      </c>
      <c r="L59" s="419" t="str">
        <f>+'GRUPO D'!Y8</f>
        <v>Tj</v>
      </c>
    </row>
    <row r="60" spans="1:13" ht="15.75" customHeight="1" thickBot="1" x14ac:dyDescent="0.35">
      <c r="B60" s="434"/>
      <c r="C60" s="434"/>
      <c r="D60" s="392"/>
      <c r="E60" s="391"/>
      <c r="F60" s="391"/>
      <c r="G60" s="391"/>
      <c r="H60" s="391"/>
      <c r="I60" s="391"/>
      <c r="J60" s="391"/>
      <c r="K60" s="391"/>
      <c r="L60" s="397"/>
    </row>
    <row r="61" spans="1:13" ht="15" customHeight="1" x14ac:dyDescent="0.3">
      <c r="B61" s="398" t="str">
        <f>+'GRUPO D'!P10</f>
        <v xml:space="preserve">  1)  IMPERIUM FÚTBOL CLUB</v>
      </c>
      <c r="C61" s="399"/>
      <c r="D61" s="392">
        <f>+'GRUPO D'!Q10</f>
        <v>7</v>
      </c>
      <c r="E61" s="391">
        <f>+'GRUPO D'!R10</f>
        <v>3</v>
      </c>
      <c r="F61" s="391">
        <f>+'GRUPO D'!S10</f>
        <v>2</v>
      </c>
      <c r="G61" s="391">
        <f>+'GRUPO D'!T10</f>
        <v>1</v>
      </c>
      <c r="H61" s="391">
        <f>+'GRUPO D'!U10</f>
        <v>0</v>
      </c>
      <c r="I61" s="391">
        <f>+'GRUPO D'!V10</f>
        <v>7</v>
      </c>
      <c r="J61" s="391">
        <f>+'GRUPO D'!W10</f>
        <v>3</v>
      </c>
      <c r="K61" s="391">
        <f>+'GRUPO D'!X10</f>
        <v>4</v>
      </c>
      <c r="L61" s="397">
        <f>+'GRUPO D'!Y10</f>
        <v>0</v>
      </c>
    </row>
    <row r="62" spans="1:13" ht="15" customHeight="1" x14ac:dyDescent="0.3">
      <c r="B62" s="400"/>
      <c r="C62" s="401"/>
      <c r="D62" s="392"/>
      <c r="E62" s="391"/>
      <c r="F62" s="391"/>
      <c r="G62" s="391"/>
      <c r="H62" s="391"/>
      <c r="I62" s="391"/>
      <c r="J62" s="391"/>
      <c r="K62" s="391"/>
      <c r="L62" s="397"/>
    </row>
    <row r="63" spans="1:13" ht="15" customHeight="1" x14ac:dyDescent="0.3">
      <c r="B63" s="398" t="str">
        <f>+'GRUPO D'!P12</f>
        <v xml:space="preserve">  2)  E.D.F CHOCONTA</v>
      </c>
      <c r="C63" s="399"/>
      <c r="D63" s="392">
        <f>+'GRUPO D'!Q12</f>
        <v>1</v>
      </c>
      <c r="E63" s="391">
        <f>+'GRUPO D'!R12</f>
        <v>3</v>
      </c>
      <c r="F63" s="391">
        <f>+'GRUPO D'!S12</f>
        <v>0</v>
      </c>
      <c r="G63" s="391">
        <f>+'GRUPO D'!T12</f>
        <v>1</v>
      </c>
      <c r="H63" s="391">
        <f>+'GRUPO D'!U12</f>
        <v>2</v>
      </c>
      <c r="I63" s="391">
        <f>+'GRUPO D'!V12</f>
        <v>2</v>
      </c>
      <c r="J63" s="391">
        <f>+'GRUPO D'!W12</f>
        <v>4</v>
      </c>
      <c r="K63" s="391">
        <f>+'GRUPO D'!X12</f>
        <v>-2</v>
      </c>
      <c r="L63" s="397">
        <f>+'GRUPO D'!Y12</f>
        <v>0</v>
      </c>
    </row>
    <row r="64" spans="1:13" ht="15" customHeight="1" x14ac:dyDescent="0.3">
      <c r="B64" s="400"/>
      <c r="C64" s="401"/>
      <c r="D64" s="392"/>
      <c r="E64" s="391"/>
      <c r="F64" s="391"/>
      <c r="G64" s="391"/>
      <c r="H64" s="391"/>
      <c r="I64" s="391"/>
      <c r="J64" s="391"/>
      <c r="K64" s="391"/>
      <c r="L64" s="397"/>
    </row>
    <row r="65" spans="1:13" ht="15" customHeight="1" x14ac:dyDescent="0.3">
      <c r="B65" s="398" t="str">
        <f>+'GRUPO D'!P14</f>
        <v xml:space="preserve">  3)  ACADEMIA F.C SEDE RESTREPO</v>
      </c>
      <c r="C65" s="399"/>
      <c r="D65" s="392">
        <f>+'GRUPO D'!Q14</f>
        <v>1</v>
      </c>
      <c r="E65" s="391">
        <f>+'GRUPO D'!R14</f>
        <v>3</v>
      </c>
      <c r="F65" s="391">
        <f>+'GRUPO D'!S14</f>
        <v>0</v>
      </c>
      <c r="G65" s="391">
        <f>+'GRUPO D'!T14</f>
        <v>1</v>
      </c>
      <c r="H65" s="391">
        <f>+'GRUPO D'!U14</f>
        <v>2</v>
      </c>
      <c r="I65" s="391">
        <f>+'GRUPO D'!V14</f>
        <v>4</v>
      </c>
      <c r="J65" s="391">
        <f>+'GRUPO D'!W14</f>
        <v>8</v>
      </c>
      <c r="K65" s="391">
        <f>+'GRUPO D'!X14</f>
        <v>-4</v>
      </c>
      <c r="L65" s="397">
        <f>+'GRUPO D'!Y14</f>
        <v>0</v>
      </c>
    </row>
    <row r="66" spans="1:13" ht="15" customHeight="1" x14ac:dyDescent="0.3">
      <c r="B66" s="400"/>
      <c r="C66" s="401"/>
      <c r="D66" s="392"/>
      <c r="E66" s="391"/>
      <c r="F66" s="391"/>
      <c r="G66" s="391"/>
      <c r="H66" s="391"/>
      <c r="I66" s="391"/>
      <c r="J66" s="391"/>
      <c r="K66" s="391"/>
      <c r="L66" s="397"/>
    </row>
    <row r="67" spans="1:13" ht="15" customHeight="1" x14ac:dyDescent="0.3">
      <c r="B67" s="398">
        <f>+'GRUPO D'!P16</f>
        <v>0</v>
      </c>
      <c r="C67" s="399"/>
      <c r="D67" s="392">
        <f>+'GRUPO D'!Q16</f>
        <v>0</v>
      </c>
      <c r="E67" s="391">
        <f>+'GRUPO D'!R16</f>
        <v>0</v>
      </c>
      <c r="F67" s="391">
        <f>+'GRUPO D'!S16</f>
        <v>0</v>
      </c>
      <c r="G67" s="391">
        <f>+'GRUPO D'!T16</f>
        <v>0</v>
      </c>
      <c r="H67" s="391">
        <f>+'GRUPO D'!U16</f>
        <v>0</v>
      </c>
      <c r="I67" s="391">
        <f>+'GRUPO D'!V16</f>
        <v>0</v>
      </c>
      <c r="J67" s="391">
        <f>+'GRUPO D'!W16</f>
        <v>0</v>
      </c>
      <c r="K67" s="391">
        <f>+'GRUPO D'!X16</f>
        <v>0</v>
      </c>
      <c r="L67" s="397">
        <f>+'GRUPO D'!Y16</f>
        <v>0</v>
      </c>
    </row>
    <row r="68" spans="1:13" ht="15.75" customHeight="1" thickBot="1" x14ac:dyDescent="0.35">
      <c r="B68" s="400"/>
      <c r="C68" s="401"/>
      <c r="D68" s="411"/>
      <c r="E68" s="406"/>
      <c r="F68" s="406"/>
      <c r="G68" s="406"/>
      <c r="H68" s="406"/>
      <c r="I68" s="406"/>
      <c r="J68" s="406"/>
      <c r="K68" s="406"/>
      <c r="L68" s="420"/>
    </row>
    <row r="70" spans="1:13" ht="23.4" x14ac:dyDescent="0.3">
      <c r="A70" s="396" t="s">
        <v>34</v>
      </c>
      <c r="B70" s="334"/>
      <c r="C70" s="334"/>
      <c r="D70" s="334"/>
      <c r="E70" s="334"/>
      <c r="F70" s="334"/>
      <c r="G70" s="334"/>
      <c r="H70" s="334"/>
      <c r="I70" s="334"/>
      <c r="J70" s="334"/>
      <c r="K70" s="334"/>
      <c r="L70" s="334"/>
    </row>
    <row r="72" spans="1:13" ht="33.75" customHeight="1" x14ac:dyDescent="0.3">
      <c r="A72" s="84">
        <f>+'GRUPO D'!B32</f>
        <v>42966</v>
      </c>
      <c r="B72" s="85" t="str">
        <f>+'GRUPO D'!C32</f>
        <v>12:40. p.m.</v>
      </c>
      <c r="C72" s="112" t="str">
        <f>+'GRUPO D'!E32</f>
        <v>IMPERIUM FÚTBOL CLUB</v>
      </c>
      <c r="D72" s="89"/>
      <c r="E72" s="79" t="s">
        <v>15</v>
      </c>
      <c r="F72" s="89"/>
      <c r="G72" s="394" t="str">
        <f>+'GRUPO D'!K32</f>
        <v>ACADEMIA F.C SEDE RESTREPO</v>
      </c>
      <c r="H72" s="379"/>
      <c r="I72" s="379"/>
      <c r="J72" s="379"/>
      <c r="K72" s="98" t="str">
        <f>+'GRUPO D'!M32</f>
        <v>CANCHA 1 A</v>
      </c>
      <c r="L72" s="98"/>
    </row>
    <row r="73" spans="1:13" ht="17.399999999999999" x14ac:dyDescent="0.3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96"/>
      <c r="L73" s="96"/>
    </row>
    <row r="74" spans="1:13" ht="33.75" customHeight="1" x14ac:dyDescent="0.3">
      <c r="A74" s="87">
        <f>+'GRUPO D'!B35</f>
        <v>0</v>
      </c>
      <c r="B74" s="88" t="str">
        <f>+'GRUPO D'!C32</f>
        <v>12:40. p.m.</v>
      </c>
      <c r="C74" s="113">
        <f>+'GRUPO D'!E35</f>
        <v>0</v>
      </c>
      <c r="D74" s="89"/>
      <c r="E74" s="79" t="s">
        <v>15</v>
      </c>
      <c r="F74" s="89"/>
      <c r="G74" s="395">
        <f>+'GRUPO D'!K35</f>
        <v>0</v>
      </c>
      <c r="H74" s="380"/>
      <c r="I74" s="380"/>
      <c r="J74" s="380"/>
      <c r="K74" s="101">
        <f>+'GRUPO D'!M35</f>
        <v>0</v>
      </c>
      <c r="L74" s="101"/>
    </row>
    <row r="75" spans="1:13" x14ac:dyDescent="0.3">
      <c r="A75" s="393" t="s">
        <v>32</v>
      </c>
      <c r="B75" s="393"/>
      <c r="C75" s="393"/>
      <c r="D75" s="393"/>
      <c r="E75" s="393"/>
      <c r="F75" s="393"/>
      <c r="G75" s="393"/>
      <c r="H75" s="393"/>
      <c r="I75" s="393"/>
      <c r="J75" s="393"/>
      <c r="K75" s="393"/>
      <c r="L75" s="393"/>
      <c r="M75" s="393"/>
    </row>
    <row r="76" spans="1:13" x14ac:dyDescent="0.3">
      <c r="A76" s="393"/>
      <c r="B76" s="393"/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</row>
    <row r="77" spans="1:13" x14ac:dyDescent="0.3">
      <c r="A77" s="393"/>
      <c r="B77" s="393"/>
      <c r="C77" s="393"/>
      <c r="D77" s="393"/>
      <c r="E77" s="393"/>
      <c r="F77" s="393"/>
      <c r="G77" s="393"/>
      <c r="H77" s="393"/>
      <c r="I77" s="393"/>
      <c r="J77" s="393"/>
      <c r="K77" s="393"/>
      <c r="L77" s="393"/>
      <c r="M77" s="393"/>
    </row>
    <row r="78" spans="1:13" x14ac:dyDescent="0.3">
      <c r="A78" s="373" t="s">
        <v>28</v>
      </c>
      <c r="B78" s="373"/>
      <c r="C78" s="373"/>
      <c r="D78" s="373"/>
      <c r="E78" s="373"/>
      <c r="F78" s="373"/>
      <c r="G78" s="373"/>
      <c r="H78" s="373"/>
      <c r="I78" s="373"/>
      <c r="J78" s="373"/>
      <c r="K78" s="373"/>
      <c r="L78" s="373"/>
      <c r="M78" s="373"/>
    </row>
    <row r="79" spans="1:13" x14ac:dyDescent="0.3">
      <c r="A79" s="373" t="s">
        <v>29</v>
      </c>
      <c r="B79" s="373"/>
      <c r="C79" s="373"/>
      <c r="D79" s="373"/>
      <c r="E79" s="373"/>
      <c r="F79" s="373"/>
      <c r="G79" s="373"/>
      <c r="H79" s="373"/>
      <c r="I79" s="373"/>
      <c r="J79" s="373"/>
      <c r="K79" s="373"/>
      <c r="L79" s="373"/>
      <c r="M79" s="373"/>
    </row>
    <row r="80" spans="1:13" x14ac:dyDescent="0.3">
      <c r="A80" s="374" t="s">
        <v>30</v>
      </c>
      <c r="B80" s="374"/>
      <c r="C80" s="374"/>
      <c r="D80" s="374"/>
      <c r="E80" s="374"/>
      <c r="F80" s="374"/>
      <c r="G80" s="374"/>
      <c r="H80" s="374"/>
      <c r="I80" s="374"/>
      <c r="J80" s="374"/>
      <c r="K80" s="374"/>
      <c r="L80" s="374"/>
      <c r="M80" s="374"/>
    </row>
    <row r="81" spans="1:13" x14ac:dyDescent="0.3">
      <c r="A81" s="373" t="s">
        <v>31</v>
      </c>
      <c r="B81" s="373"/>
      <c r="C81" s="373"/>
      <c r="D81" s="373"/>
      <c r="E81" s="373"/>
      <c r="F81" s="373"/>
      <c r="G81" s="373"/>
      <c r="H81" s="373"/>
      <c r="I81" s="373"/>
      <c r="J81" s="373"/>
      <c r="K81" s="373"/>
      <c r="L81" s="373"/>
      <c r="M81" s="373"/>
    </row>
  </sheetData>
  <mergeCells count="217"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21">
    <cfRule type="expression" dxfId="74" priority="24" stopIfTrue="1">
      <formula>#REF!="G"</formula>
    </cfRule>
    <cfRule type="expression" dxfId="73" priority="23" stopIfTrue="1">
      <formula>#REF!="E"</formula>
    </cfRule>
    <cfRule type="expression" dxfId="72" priority="22" stopIfTrue="1">
      <formula>#REF!="P"</formula>
    </cfRule>
  </conditionalFormatting>
  <conditionalFormatting sqref="D36">
    <cfRule type="expression" dxfId="71" priority="16" stopIfTrue="1">
      <formula>#REF!="P"</formula>
    </cfRule>
    <cfRule type="expression" dxfId="70" priority="17" stopIfTrue="1">
      <formula>#REF!="E"</formula>
    </cfRule>
    <cfRule type="expression" dxfId="69" priority="18" stopIfTrue="1">
      <formula>#REF!="G"</formula>
    </cfRule>
  </conditionalFormatting>
  <conditionalFormatting sqref="D38">
    <cfRule type="expression" dxfId="68" priority="10" stopIfTrue="1">
      <formula>#REF!="P"</formula>
    </cfRule>
    <cfRule type="expression" dxfId="67" priority="11" stopIfTrue="1">
      <formula>#REF!="E"</formula>
    </cfRule>
    <cfRule type="expression" dxfId="66" priority="12" stopIfTrue="1">
      <formula>#REF!="G"</formula>
    </cfRule>
  </conditionalFormatting>
  <conditionalFormatting sqref="D54">
    <cfRule type="expression" dxfId="65" priority="30" stopIfTrue="1">
      <formula>#REF!="G"</formula>
    </cfRule>
    <cfRule type="expression" dxfId="64" priority="29" stopIfTrue="1">
      <formula>#REF!="E"</formula>
    </cfRule>
    <cfRule type="expression" dxfId="63" priority="28" stopIfTrue="1">
      <formula>#REF!="P"</formula>
    </cfRule>
  </conditionalFormatting>
  <conditionalFormatting sqref="D72">
    <cfRule type="expression" dxfId="62" priority="1" stopIfTrue="1">
      <formula>#REF!="P"</formula>
    </cfRule>
    <cfRule type="expression" dxfId="61" priority="2" stopIfTrue="1">
      <formula>#REF!="E"</formula>
    </cfRule>
    <cfRule type="expression" dxfId="60" priority="3" stopIfTrue="1">
      <formula>#REF!="G"</formula>
    </cfRule>
  </conditionalFormatting>
  <conditionalFormatting sqref="D74">
    <cfRule type="expression" dxfId="59" priority="4" stopIfTrue="1">
      <formula>#REF!="P"</formula>
    </cfRule>
    <cfRule type="expression" dxfId="58" priority="5" stopIfTrue="1">
      <formula>#REF!="E"</formula>
    </cfRule>
    <cfRule type="expression" dxfId="57" priority="6" stopIfTrue="1">
      <formula>#REF!="G"</formula>
    </cfRule>
  </conditionalFormatting>
  <conditionalFormatting sqref="F19 F54 F56">
    <cfRule type="expression" dxfId="56" priority="36" stopIfTrue="1">
      <formula>#REF!="G"</formula>
    </cfRule>
    <cfRule type="expression" dxfId="55" priority="34" stopIfTrue="1">
      <formula>#REF!="P"</formula>
    </cfRule>
    <cfRule type="expression" dxfId="54" priority="35" stopIfTrue="1">
      <formula>#REF!="E"</formula>
    </cfRule>
  </conditionalFormatting>
  <conditionalFormatting sqref="F21">
    <cfRule type="expression" dxfId="53" priority="25" stopIfTrue="1">
      <formula>#REF!="P"</formula>
    </cfRule>
    <cfRule type="expression" dxfId="52" priority="26" stopIfTrue="1">
      <formula>#REF!="E"</formula>
    </cfRule>
    <cfRule type="expression" dxfId="51" priority="27" stopIfTrue="1">
      <formula>#REF!="G"</formula>
    </cfRule>
  </conditionalFormatting>
  <conditionalFormatting sqref="F36">
    <cfRule type="expression" dxfId="50" priority="20" stopIfTrue="1">
      <formula>#REF!="E"</formula>
    </cfRule>
    <cfRule type="expression" dxfId="49" priority="21" stopIfTrue="1">
      <formula>#REF!="G"</formula>
    </cfRule>
    <cfRule type="expression" dxfId="48" priority="19" stopIfTrue="1">
      <formula>#REF!="P"</formula>
    </cfRule>
  </conditionalFormatting>
  <conditionalFormatting sqref="F38">
    <cfRule type="expression" dxfId="47" priority="15" stopIfTrue="1">
      <formula>#REF!="G"</formula>
    </cfRule>
    <cfRule type="expression" dxfId="46" priority="14" stopIfTrue="1">
      <formula>#REF!="E"</formula>
    </cfRule>
    <cfRule type="expression" dxfId="45" priority="13" stopIfTrue="1">
      <formula>#REF!="P"</formula>
    </cfRule>
  </conditionalFormatting>
  <conditionalFormatting sqref="F72 F74">
    <cfRule type="expression" dxfId="44" priority="9" stopIfTrue="1">
      <formula>#REF!="G"</formula>
    </cfRule>
    <cfRule type="expression" dxfId="43" priority="8" stopIfTrue="1">
      <formula>#REF!="E"</formula>
    </cfRule>
    <cfRule type="expression" dxfId="42" priority="7" stopIfTrue="1">
      <formula>#REF!="P"</formula>
    </cfRule>
  </conditionalFormatting>
  <hyperlinks>
    <hyperlink ref="A80" r:id="rId1" display="mailto:soccermelgar@outlook.com" xr:uid="{00000000-0004-0000-0B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CP23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10" t="s">
        <v>5</v>
      </c>
      <c r="I1" s="310"/>
      <c r="J1" s="310"/>
      <c r="K1" s="310"/>
      <c r="L1" s="310"/>
      <c r="M1" s="310"/>
      <c r="N1" s="310"/>
      <c r="O1" s="310"/>
      <c r="P1" s="310"/>
      <c r="Q1" s="39"/>
    </row>
    <row r="2" spans="1:17" s="3" customFormat="1" ht="38.25" customHeight="1" x14ac:dyDescent="0.3">
      <c r="B2" s="130" t="s">
        <v>42</v>
      </c>
      <c r="C2" s="131"/>
      <c r="D2" s="131"/>
      <c r="E2" s="131"/>
      <c r="F2" s="131"/>
      <c r="G2" s="131"/>
      <c r="H2" s="333" t="s">
        <v>6</v>
      </c>
      <c r="I2" s="333"/>
      <c r="J2" s="333"/>
      <c r="K2" s="333"/>
      <c r="L2" s="333"/>
      <c r="M2" s="333"/>
      <c r="N2" s="333"/>
      <c r="O2" s="333"/>
      <c r="P2" s="333"/>
      <c r="Q2" s="40"/>
    </row>
    <row r="3" spans="1:17" s="3" customFormat="1" ht="15" customHeight="1" x14ac:dyDescent="0.3">
      <c r="B3" s="132" t="s">
        <v>17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</row>
    <row r="4" spans="1:17" ht="21.75" customHeight="1" x14ac:dyDescent="0.45">
      <c r="A4" s="3"/>
      <c r="B4" s="334" t="s">
        <v>4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5"/>
      <c r="O4" s="16"/>
      <c r="P4" s="14" t="s">
        <v>18</v>
      </c>
    </row>
    <row r="5" spans="1:17" ht="15" thickBot="1" x14ac:dyDescent="0.35">
      <c r="A5" s="3"/>
      <c r="B5" s="133"/>
      <c r="C5" s="133"/>
      <c r="D5" s="133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7" x14ac:dyDescent="0.3">
      <c r="A6" s="3"/>
      <c r="B6" s="336">
        <f>+'CUARTOS DE FINAL.'!B6:B7</f>
        <v>42596</v>
      </c>
      <c r="C6" s="336" t="str">
        <f>+'CUARTOS DE FINAL.'!C6:C7</f>
        <v>LLAVE A</v>
      </c>
      <c r="D6" s="336" t="str">
        <f>+'CUARTOS DE FINAL.'!D6:D7</f>
        <v>03:00. p.m.</v>
      </c>
      <c r="E6" s="134"/>
      <c r="F6" s="135" t="str">
        <f>IF(AND(H6&lt;&gt;"",J6&lt;&gt;""),IF(H6=J6,"E",IF(H6&gt;J6,"G","P")),"")</f>
        <v>E</v>
      </c>
      <c r="G6" s="342" t="e">
        <f>+'CUARTOS DE FINAL.'!G6:G7</f>
        <v>#N/A</v>
      </c>
      <c r="H6" s="260" t="s">
        <v>36</v>
      </c>
      <c r="I6" s="277" t="s">
        <v>15</v>
      </c>
      <c r="J6" s="260" t="s">
        <v>36</v>
      </c>
      <c r="K6" s="277" t="str">
        <f>IF(AND(J6&lt;&gt;"",H6&lt;&gt;""),IF(J6=H6,"E",IF(J6&gt;H6,"G","P")),"")</f>
        <v>E</v>
      </c>
      <c r="L6" s="349" t="str">
        <f>+'CUARTOS DE FINAL.'!L6:L7</f>
        <v>SPORTING CLUB VILLAVICENCIO</v>
      </c>
      <c r="M6" s="134"/>
      <c r="N6" s="352" t="str">
        <f>+'CUARTOS DE FINAL.'!N6:N7</f>
        <v>PALMARA</v>
      </c>
      <c r="P6" s="350" t="str">
        <f>IF(OR(F6="E",F6=""),"",IF(F6="G",G6,L6))</f>
        <v/>
      </c>
    </row>
    <row r="7" spans="1:17" ht="15" thickBot="1" x14ac:dyDescent="0.35">
      <c r="A7" s="3"/>
      <c r="B7" s="337"/>
      <c r="C7" s="337"/>
      <c r="D7" s="337"/>
      <c r="E7" s="134"/>
      <c r="F7" s="135"/>
      <c r="G7" s="342"/>
      <c r="H7" s="261"/>
      <c r="I7" s="277"/>
      <c r="J7" s="261"/>
      <c r="K7" s="277"/>
      <c r="L7" s="349"/>
      <c r="M7" s="134"/>
      <c r="N7" s="352"/>
      <c r="P7" s="351"/>
    </row>
    <row r="8" spans="1:17" ht="6.75" customHeight="1" thickBot="1" x14ac:dyDescent="0.35">
      <c r="A8" s="3"/>
      <c r="B8" s="136"/>
      <c r="C8" s="136"/>
      <c r="D8" s="137"/>
      <c r="E8" s="134"/>
      <c r="F8" s="11"/>
      <c r="G8" s="11"/>
      <c r="H8" s="11"/>
      <c r="I8" s="11"/>
      <c r="J8" s="11"/>
      <c r="K8" s="11"/>
      <c r="L8" s="134"/>
      <c r="M8" s="134"/>
      <c r="N8" s="138"/>
      <c r="P8" s="139"/>
    </row>
    <row r="9" spans="1:17" ht="15" customHeight="1" x14ac:dyDescent="0.3">
      <c r="A9" s="3"/>
      <c r="B9" s="343">
        <f>+'CUARTOS DE FINAL.'!B9:B10</f>
        <v>42596</v>
      </c>
      <c r="C9" s="343" t="str">
        <f>+'CUARTOS DE FINAL.'!C9:C10</f>
        <v>LLAVE B</v>
      </c>
      <c r="D9" s="343" t="str">
        <f>+'CUARTOS DE FINAL.'!D9:D10</f>
        <v>04:20. p.m.</v>
      </c>
      <c r="E9" s="134"/>
      <c r="F9" s="277" t="str">
        <f>IF(AND(H9&lt;&gt;"",J9&lt;&gt;""),IF(H9=J9,"E",IF(H9&gt;J9,"G","P")),"")</f>
        <v>E</v>
      </c>
      <c r="G9" s="349" t="str">
        <f>+'CUARTOS DE FINAL.'!G9:G10</f>
        <v>ATHLETIC MELGAR</v>
      </c>
      <c r="H9" s="260" t="s">
        <v>36</v>
      </c>
      <c r="I9" s="277" t="s">
        <v>15</v>
      </c>
      <c r="J9" s="260" t="s">
        <v>36</v>
      </c>
      <c r="K9" s="277" t="str">
        <f>IF(AND(J9&lt;&gt;"",H9&lt;&gt;""),IF(J9=H9,"E",IF(J9&gt;H9,"G","P")),"")</f>
        <v>E</v>
      </c>
      <c r="L9" s="349" t="str">
        <f>+'CUARTOS DE FINAL.'!L9:L10</f>
        <v>E.D.F CHOCONTA</v>
      </c>
      <c r="M9" s="134"/>
      <c r="N9" s="352" t="str">
        <f>+'CUARTOS DE FINAL.'!N9:N10</f>
        <v>CANCHA 2</v>
      </c>
      <c r="P9" s="350" t="str">
        <f>IF(OR(F9="E",F9=""),"",IF(F9="G",G9,L9))</f>
        <v/>
      </c>
    </row>
    <row r="10" spans="1:17" ht="15" thickBot="1" x14ac:dyDescent="0.35">
      <c r="A10" s="3"/>
      <c r="B10" s="344"/>
      <c r="C10" s="344"/>
      <c r="D10" s="344"/>
      <c r="E10" s="134"/>
      <c r="F10" s="277"/>
      <c r="G10" s="349"/>
      <c r="H10" s="261"/>
      <c r="I10" s="277"/>
      <c r="J10" s="261"/>
      <c r="K10" s="277"/>
      <c r="L10" s="349"/>
      <c r="M10" s="134"/>
      <c r="N10" s="352"/>
      <c r="P10" s="351"/>
    </row>
    <row r="11" spans="1:17" ht="8.25" customHeight="1" thickBot="1" x14ac:dyDescent="0.35">
      <c r="A11" s="3"/>
      <c r="B11" s="140"/>
      <c r="C11" s="136"/>
      <c r="D11" s="137"/>
      <c r="E11" s="134"/>
      <c r="F11" s="11"/>
      <c r="G11" s="134"/>
      <c r="H11" s="11"/>
      <c r="I11" s="11"/>
      <c r="J11" s="11"/>
      <c r="K11" s="11"/>
      <c r="L11" s="134"/>
      <c r="M11" s="134"/>
      <c r="N11" s="138"/>
      <c r="P11" s="139"/>
    </row>
    <row r="12" spans="1:17" x14ac:dyDescent="0.3">
      <c r="A12" s="3"/>
      <c r="B12" s="336">
        <f>+'CUARTOS DE FINAL.'!B12:B13</f>
        <v>42596</v>
      </c>
      <c r="C12" s="336" t="str">
        <f>+'CUARTOS DE FINAL.'!C12:C13</f>
        <v>LLAVE C</v>
      </c>
      <c r="D12" s="336" t="str">
        <f>+'CUARTOS DE FINAL.'!D12:D13</f>
        <v>03:00. p.m.</v>
      </c>
      <c r="E12" s="134"/>
      <c r="F12" s="277" t="str">
        <f>IF(AND(H12&lt;&gt;"",J12&lt;&gt;""),IF(H12=J12,"E",IF(H12&gt;J12,"G","P")),"")</f>
        <v>E</v>
      </c>
      <c r="G12" s="349" t="str">
        <f>+'CUARTOS DE FINAL.'!G12:G13</f>
        <v>CLUB DEPORTIVO NASSUAR</v>
      </c>
      <c r="H12" s="260" t="s">
        <v>36</v>
      </c>
      <c r="I12" s="277" t="s">
        <v>15</v>
      </c>
      <c r="J12" s="260" t="s">
        <v>36</v>
      </c>
      <c r="K12" s="277" t="str">
        <f>IF(AND(J12&lt;&gt;"",H12&lt;&gt;""),IF(J12=H12,"E",IF(J12&gt;H12,"G","P")),"")</f>
        <v>E</v>
      </c>
      <c r="L12" s="349" t="e">
        <f>+'CUARTOS DE FINAL.'!L12:L13</f>
        <v>#N/A</v>
      </c>
      <c r="M12" s="134"/>
      <c r="N12" s="352" t="str">
        <f>+'CUARTOS DE FINAL.'!N12:N13</f>
        <v>CANCHA 2</v>
      </c>
      <c r="P12" s="350" t="str">
        <f>IF(OR(F12="E",F12=""),"",IF(F12="G",G12,L12))</f>
        <v/>
      </c>
    </row>
    <row r="13" spans="1:17" ht="15" thickBot="1" x14ac:dyDescent="0.35">
      <c r="A13" s="3"/>
      <c r="B13" s="337"/>
      <c r="C13" s="337"/>
      <c r="D13" s="337"/>
      <c r="E13" s="134"/>
      <c r="F13" s="277"/>
      <c r="G13" s="349"/>
      <c r="H13" s="261"/>
      <c r="I13" s="277"/>
      <c r="J13" s="261"/>
      <c r="K13" s="277"/>
      <c r="L13" s="349"/>
      <c r="M13" s="134"/>
      <c r="N13" s="352"/>
      <c r="P13" s="351"/>
    </row>
    <row r="14" spans="1:17" ht="8.25" customHeight="1" thickBot="1" x14ac:dyDescent="0.35">
      <c r="A14" s="3"/>
      <c r="B14" s="140"/>
      <c r="C14" s="136"/>
      <c r="D14" s="137"/>
      <c r="E14" s="134"/>
      <c r="F14" s="11"/>
      <c r="G14" s="134"/>
      <c r="H14" s="11"/>
      <c r="I14" s="11"/>
      <c r="J14" s="11"/>
      <c r="K14" s="11"/>
      <c r="L14" s="134"/>
      <c r="M14" s="134"/>
      <c r="N14" s="138"/>
      <c r="P14" s="139"/>
    </row>
    <row r="15" spans="1:17" x14ac:dyDescent="0.3">
      <c r="A15" s="3"/>
      <c r="B15" s="343">
        <f>+'CUARTOS DE FINAL.'!B15:B16</f>
        <v>42596</v>
      </c>
      <c r="C15" s="343" t="str">
        <f>+'CUARTOS DE FINAL.'!C15:C16</f>
        <v>LLAVE D</v>
      </c>
      <c r="D15" s="343" t="str">
        <f>+'CUARTOS DE FINAL.'!D15:D16</f>
        <v>04:20. p.m.</v>
      </c>
      <c r="E15" s="134"/>
      <c r="F15" s="277" t="str">
        <f>IF(AND(H15&lt;&gt;"",J15&lt;&gt;""),IF(H15=J15,"E",IF(H15&gt;J15,"G","P")),"")</f>
        <v>E</v>
      </c>
      <c r="G15" s="349" t="str">
        <f>+'CUARTOS DE FINAL.'!G15:G16</f>
        <v>IMPERIUM FÚTBOL CLUB</v>
      </c>
      <c r="H15" s="260" t="s">
        <v>36</v>
      </c>
      <c r="I15" s="277" t="s">
        <v>15</v>
      </c>
      <c r="J15" s="260" t="s">
        <v>36</v>
      </c>
      <c r="K15" s="277" t="str">
        <f>IF(AND(J15&lt;&gt;"",H15&lt;&gt;""),IF(J15=H15,"E",IF(J15&gt;H15,"G","P")),"")</f>
        <v>E</v>
      </c>
      <c r="L15" s="349" t="str">
        <f>+'CUARTOS DE FINAL.'!L15:L16</f>
        <v>GOLDEN STEPS</v>
      </c>
      <c r="M15" s="134"/>
      <c r="N15" s="352" t="str">
        <f>+'CUARTOS DE FINAL.'!N15:N16</f>
        <v>PALMARA</v>
      </c>
      <c r="P15" s="350" t="str">
        <f>IF(OR(F15="E",F15=""),"",IF(F15="G",G15,L15))</f>
        <v/>
      </c>
    </row>
    <row r="16" spans="1:17" ht="15" thickBot="1" x14ac:dyDescent="0.35">
      <c r="A16" s="3"/>
      <c r="B16" s="344"/>
      <c r="C16" s="344"/>
      <c r="D16" s="344"/>
      <c r="E16" s="134"/>
      <c r="F16" s="277"/>
      <c r="G16" s="349"/>
      <c r="H16" s="261"/>
      <c r="I16" s="277"/>
      <c r="J16" s="261"/>
      <c r="K16" s="277"/>
      <c r="L16" s="349"/>
      <c r="M16" s="10"/>
      <c r="N16" s="352"/>
      <c r="P16" s="351"/>
    </row>
    <row r="17" spans="2:7" s="3" customFormat="1" ht="7.5" customHeight="1" x14ac:dyDescent="0.3"/>
    <row r="18" spans="2:7" s="3" customFormat="1" x14ac:dyDescent="0.3">
      <c r="B18" s="353" t="s">
        <v>100</v>
      </c>
      <c r="C18" s="353"/>
      <c r="D18" s="353"/>
      <c r="E18" s="353"/>
      <c r="F18" s="353"/>
      <c r="G18" s="353"/>
    </row>
    <row r="19" spans="2:7" s="3" customFormat="1" x14ac:dyDescent="0.3">
      <c r="B19" s="353"/>
      <c r="C19" s="353"/>
      <c r="D19" s="353"/>
      <c r="E19" s="353"/>
      <c r="F19" s="353"/>
      <c r="G19" s="353"/>
    </row>
    <row r="20" spans="2:7" s="3" customFormat="1" x14ac:dyDescent="0.3">
      <c r="B20" s="353"/>
      <c r="C20" s="353"/>
      <c r="D20" s="353"/>
      <c r="E20" s="353"/>
      <c r="F20" s="353"/>
      <c r="G20" s="353"/>
    </row>
    <row r="21" spans="2:7" s="3" customFormat="1" x14ac:dyDescent="0.3">
      <c r="B21" s="354" t="s">
        <v>101</v>
      </c>
      <c r="C21" s="354"/>
      <c r="D21" s="354"/>
      <c r="E21" s="354"/>
      <c r="F21" s="354"/>
      <c r="G21" s="354"/>
    </row>
    <row r="22" spans="2:7" s="3" customFormat="1" x14ac:dyDescent="0.3">
      <c r="B22" s="354"/>
      <c r="C22" s="354"/>
      <c r="D22" s="354"/>
      <c r="E22" s="354"/>
      <c r="F22" s="354"/>
      <c r="G22" s="354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H9:H10">
    <cfRule type="expression" dxfId="38" priority="7" stopIfTrue="1">
      <formula>F9="P"</formula>
    </cfRule>
    <cfRule type="expression" dxfId="37" priority="8" stopIfTrue="1">
      <formula>F9="E"</formula>
    </cfRule>
    <cfRule type="expression" dxfId="36" priority="9" stopIfTrue="1">
      <formula>F9="G"</formula>
    </cfRule>
  </conditionalFormatting>
  <conditionalFormatting sqref="H12:H13">
    <cfRule type="expression" dxfId="35" priority="4" stopIfTrue="1">
      <formula>F12="P"</formula>
    </cfRule>
    <cfRule type="expression" dxfId="34" priority="5" stopIfTrue="1">
      <formula>F12="E"</formula>
    </cfRule>
    <cfRule type="expression" dxfId="33" priority="6" stopIfTrue="1">
      <formula>F12="G"</formula>
    </cfRule>
  </conditionalFormatting>
  <conditionalFormatting sqref="H15:H16">
    <cfRule type="expression" dxfId="32" priority="1" stopIfTrue="1">
      <formula>F15="P"</formula>
    </cfRule>
    <cfRule type="expression" dxfId="31" priority="2" stopIfTrue="1">
      <formula>F15="E"</formula>
    </cfRule>
    <cfRule type="expression" dxfId="30" priority="3" stopIfTrue="1">
      <formula>F15="G"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J9:J10">
    <cfRule type="expression" dxfId="26" priority="13" stopIfTrue="1">
      <formula>K9="P"</formula>
    </cfRule>
    <cfRule type="expression" dxfId="25" priority="14" stopIfTrue="1">
      <formula>K9="E"</formula>
    </cfRule>
    <cfRule type="expression" dxfId="24" priority="15" stopIfTrue="1">
      <formula>K9="G"</formula>
    </cfRule>
  </conditionalFormatting>
  <conditionalFormatting sqref="J12:J13">
    <cfRule type="expression" dxfId="23" priority="16" stopIfTrue="1">
      <formula>K12="P"</formula>
    </cfRule>
    <cfRule type="expression" dxfId="22" priority="17" stopIfTrue="1">
      <formula>K12="E"</formula>
    </cfRule>
    <cfRule type="expression" dxfId="21" priority="18" stopIfTrue="1">
      <formula>K12="G"</formula>
    </cfRule>
  </conditionalFormatting>
  <conditionalFormatting sqref="J15:J16">
    <cfRule type="expression" dxfId="20" priority="19" stopIfTrue="1">
      <formula>K15="P"</formula>
    </cfRule>
    <cfRule type="expression" dxfId="19" priority="20" stopIfTrue="1">
      <formula>K15="E"</formula>
    </cfRule>
    <cfRule type="expression" dxfId="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CI26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310" t="s">
        <v>5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</row>
    <row r="2" spans="1:19" s="3" customFormat="1" ht="34.799999999999997" x14ac:dyDescent="0.3">
      <c r="A2" s="311" t="s">
        <v>6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57"/>
      <c r="R2" s="57"/>
      <c r="S2" s="57"/>
    </row>
    <row r="3" spans="1:19" s="3" customFormat="1" ht="38.25" customHeight="1" x14ac:dyDescent="0.3">
      <c r="A3" s="446" t="s">
        <v>19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</row>
    <row r="4" spans="1:19" s="3" customFormat="1" x14ac:dyDescent="0.3">
      <c r="B4" s="42" t="s">
        <v>17</v>
      </c>
      <c r="N4" s="42"/>
    </row>
    <row r="5" spans="1:19" s="3" customFormat="1" ht="23.4" x14ac:dyDescent="0.45">
      <c r="A5" s="16"/>
      <c r="B5" s="356" t="s">
        <v>20</v>
      </c>
      <c r="C5" s="357"/>
      <c r="D5" s="357"/>
      <c r="E5" s="357"/>
      <c r="F5" s="317"/>
      <c r="G5" s="317"/>
      <c r="H5" s="317"/>
      <c r="I5" s="317"/>
      <c r="J5" s="317"/>
      <c r="K5" s="317"/>
      <c r="L5" s="317"/>
      <c r="M5" s="317"/>
      <c r="N5" s="317"/>
      <c r="O5" s="358"/>
      <c r="P5" s="16"/>
      <c r="Q5" s="14" t="s">
        <v>18</v>
      </c>
      <c r="S5"/>
    </row>
    <row r="6" spans="1:19" s="3" customFormat="1" x14ac:dyDescent="0.3">
      <c r="B6" s="7"/>
      <c r="C6" s="9"/>
      <c r="D6" s="9"/>
      <c r="E6" s="32"/>
      <c r="F6" s="8"/>
      <c r="G6" s="8"/>
      <c r="H6" s="8"/>
      <c r="I6" s="8"/>
      <c r="J6" s="8"/>
      <c r="K6" s="8"/>
      <c r="L6" s="8"/>
      <c r="M6" s="8"/>
      <c r="N6" s="8"/>
      <c r="O6" s="7"/>
      <c r="Q6"/>
      <c r="S6"/>
    </row>
    <row r="7" spans="1:19" s="3" customFormat="1" ht="15.75" customHeight="1" x14ac:dyDescent="0.35">
      <c r="B7" s="442" t="e">
        <f>+#REF!</f>
        <v>#REF!</v>
      </c>
      <c r="C7" s="443" t="e">
        <f>+#REF!</f>
        <v>#REF!</v>
      </c>
      <c r="D7" s="443" t="e">
        <f>+#REF!</f>
        <v>#REF!</v>
      </c>
      <c r="E7" s="439" t="e">
        <f>+#REF!</f>
        <v>#REF!</v>
      </c>
      <c r="F7" s="439"/>
      <c r="G7" s="444" t="e">
        <f>IF(AND(I7&lt;&gt;"",K7&lt;&gt;""),IF(I7=K7,"E",IF(I7&gt;K7,"G","P")),"")</f>
        <v>#REF!</v>
      </c>
      <c r="H7" s="76"/>
      <c r="I7" s="436" t="e">
        <f>+#REF!</f>
        <v>#REF!</v>
      </c>
      <c r="J7" s="445" t="s">
        <v>15</v>
      </c>
      <c r="K7" s="436" t="e">
        <f>+#REF!</f>
        <v>#REF!</v>
      </c>
      <c r="L7" s="438" t="e">
        <f>IF(AND(K7&lt;&gt;"",I7&lt;&gt;""),IF(K7=I7,"E",IF(K7&gt;I7,"G","P")),"")</f>
        <v>#REF!</v>
      </c>
      <c r="M7" s="439" t="e">
        <f>+#REF!</f>
        <v>#REF!</v>
      </c>
      <c r="N7" s="77" t="s">
        <v>27</v>
      </c>
      <c r="O7" s="440" t="e">
        <f>+#REF!</f>
        <v>#REF!</v>
      </c>
      <c r="P7" s="78"/>
      <c r="Q7" s="441" t="e">
        <f>IF(OR(G7="E",G7=""),"",IF(G7="G",E7,M7))</f>
        <v>#REF!</v>
      </c>
      <c r="S7" s="355" t="e">
        <f>IF(OR(G7="E",G7=""),"",IF(G7="P",E7,M7))</f>
        <v>#REF!</v>
      </c>
    </row>
    <row r="8" spans="1:19" s="3" customFormat="1" ht="17.399999999999999" x14ac:dyDescent="0.35">
      <c r="B8" s="442"/>
      <c r="C8" s="443"/>
      <c r="D8" s="443"/>
      <c r="E8" s="439"/>
      <c r="F8" s="439"/>
      <c r="G8" s="444"/>
      <c r="H8" s="76"/>
      <c r="I8" s="437"/>
      <c r="J8" s="445"/>
      <c r="K8" s="437"/>
      <c r="L8" s="438"/>
      <c r="M8" s="439"/>
      <c r="N8" s="77"/>
      <c r="O8" s="440"/>
      <c r="P8" s="78"/>
      <c r="Q8" s="441"/>
      <c r="S8" s="355"/>
    </row>
    <row r="9" spans="1:19" s="3" customFormat="1" ht="17.399999999999999" x14ac:dyDescent="0.35">
      <c r="B9" s="115"/>
      <c r="C9" s="116"/>
      <c r="D9" s="79"/>
      <c r="E9" s="79"/>
      <c r="F9" s="79"/>
      <c r="G9" s="79"/>
      <c r="H9" s="79"/>
      <c r="I9" s="79"/>
      <c r="J9" s="79"/>
      <c r="K9" s="79"/>
      <c r="L9" s="79"/>
      <c r="M9" s="79"/>
      <c r="N9" s="80"/>
      <c r="O9" s="81"/>
      <c r="P9" s="78"/>
      <c r="Q9" s="82"/>
      <c r="S9"/>
    </row>
    <row r="10" spans="1:19" s="3" customFormat="1" ht="17.399999999999999" x14ac:dyDescent="0.35">
      <c r="B10" s="442" t="e">
        <f>+#REF!</f>
        <v>#REF!</v>
      </c>
      <c r="C10" s="443" t="e">
        <f>+#REF!</f>
        <v>#REF!</v>
      </c>
      <c r="D10" s="443" t="e">
        <f>+#REF!</f>
        <v>#REF!</v>
      </c>
      <c r="E10" s="439" t="e">
        <f>+#REF!</f>
        <v>#REF!</v>
      </c>
      <c r="F10" s="439"/>
      <c r="G10" s="444" t="e">
        <f>IF(AND(I10&lt;&gt;"",K10&lt;&gt;""),IF(I10=K10,"E",IF(I10&gt;K10,"G","P")),"")</f>
        <v>#REF!</v>
      </c>
      <c r="H10" s="76"/>
      <c r="I10" s="436" t="e">
        <f>+#REF!</f>
        <v>#REF!</v>
      </c>
      <c r="J10" s="445" t="s">
        <v>15</v>
      </c>
      <c r="K10" s="436" t="e">
        <f>+#REF!</f>
        <v>#REF!</v>
      </c>
      <c r="L10" s="438" t="e">
        <f>IF(AND(K10&lt;&gt;"",I10&lt;&gt;""),IF(K10=I10,"E",IF(K10&gt;I10,"G","P")),"")</f>
        <v>#REF!</v>
      </c>
      <c r="M10" s="439" t="e">
        <f>+#REF!</f>
        <v>#REF!</v>
      </c>
      <c r="N10" s="83" t="s">
        <v>27</v>
      </c>
      <c r="O10" s="440" t="e">
        <f>+#REF!</f>
        <v>#REF!</v>
      </c>
      <c r="P10" s="78"/>
      <c r="Q10" s="441" t="e">
        <f>IF(OR(G10="E",G10=""),"",IF(G10="G",E10,M10))</f>
        <v>#REF!</v>
      </c>
      <c r="S10" s="355" t="e">
        <f>IF(OR(G10="E",G10=""),"",IF(G10="P",E10,M10))</f>
        <v>#REF!</v>
      </c>
    </row>
    <row r="11" spans="1:19" s="3" customFormat="1" ht="17.399999999999999" x14ac:dyDescent="0.35">
      <c r="B11" s="442"/>
      <c r="C11" s="443"/>
      <c r="D11" s="443"/>
      <c r="E11" s="439"/>
      <c r="F11" s="439"/>
      <c r="G11" s="444"/>
      <c r="H11" s="76"/>
      <c r="I11" s="437"/>
      <c r="J11" s="445"/>
      <c r="K11" s="437"/>
      <c r="L11" s="438"/>
      <c r="M11" s="439"/>
      <c r="N11" s="83"/>
      <c r="O11" s="440"/>
      <c r="P11" s="78"/>
      <c r="Q11" s="441"/>
      <c r="S11" s="355"/>
    </row>
    <row r="12" spans="1:19" s="3" customFormat="1" x14ac:dyDescent="0.3">
      <c r="B12" s="33"/>
      <c r="C12" s="36"/>
      <c r="D12" s="36"/>
      <c r="E12" s="36"/>
      <c r="F12" s="36"/>
      <c r="G12" s="37"/>
      <c r="H12" s="28"/>
      <c r="I12" s="28"/>
      <c r="J12" s="28"/>
      <c r="K12" s="28"/>
      <c r="L12" s="28"/>
      <c r="M12" s="28"/>
      <c r="N12" s="28"/>
      <c r="O12" s="27"/>
      <c r="Q12"/>
      <c r="S12"/>
    </row>
    <row r="13" spans="1:19" s="3" customFormat="1" x14ac:dyDescent="0.3"/>
    <row r="14" spans="1:19" s="3" customFormat="1" ht="24.75" customHeight="1" x14ac:dyDescent="0.45">
      <c r="C14" s="447" t="str">
        <f>+'PRE INFANTIL GRUPOS'!C3</f>
        <v>DICIEMBRE 4 AL 6 DEL 2024</v>
      </c>
      <c r="D14" s="447"/>
      <c r="E14" s="447"/>
      <c r="F14" s="447"/>
      <c r="J14" s="92" t="str">
        <f>+'PRE INFANTIL GRUPOS'!C4</f>
        <v>NACIDOS 2010 2011</v>
      </c>
    </row>
    <row r="15" spans="1:19" s="3" customFormat="1" x14ac:dyDescent="0.3">
      <c r="C15" s="447"/>
      <c r="D15" s="447"/>
      <c r="E15" s="447"/>
      <c r="F15" s="447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R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310" t="s">
        <v>5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</row>
    <row r="2" spans="1:18" ht="34.799999999999997" x14ac:dyDescent="0.3">
      <c r="A2" s="311" t="s">
        <v>6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57"/>
      <c r="R2" s="57"/>
    </row>
    <row r="3" spans="1:18" ht="37.5" customHeight="1" x14ac:dyDescent="0.3">
      <c r="A3" s="446" t="s">
        <v>26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0"/>
      <c r="R3" s="40"/>
    </row>
    <row r="4" spans="1:18" ht="15" customHeight="1" x14ac:dyDescent="0.3">
      <c r="B4" s="42" t="s">
        <v>17</v>
      </c>
      <c r="C4"/>
      <c r="D4"/>
      <c r="E4"/>
      <c r="F4"/>
      <c r="G4"/>
      <c r="H4"/>
      <c r="I4"/>
      <c r="J4"/>
      <c r="K4" s="41"/>
      <c r="L4" s="41"/>
      <c r="M4" s="41"/>
      <c r="N4" s="41"/>
      <c r="O4" s="41"/>
      <c r="P4" s="41"/>
      <c r="Q4" s="41"/>
      <c r="R4" s="41"/>
    </row>
    <row r="5" spans="1:18" ht="18" x14ac:dyDescent="0.3">
      <c r="B5" s="369" t="s">
        <v>21</v>
      </c>
      <c r="C5" s="370"/>
      <c r="D5" s="370"/>
      <c r="E5" s="370"/>
      <c r="F5" s="371"/>
      <c r="G5" s="371"/>
      <c r="H5" s="371"/>
      <c r="I5" s="371"/>
      <c r="J5" s="371"/>
      <c r="K5" s="371"/>
      <c r="L5" s="371"/>
      <c r="M5" s="371"/>
      <c r="N5" s="371"/>
      <c r="O5" s="372"/>
      <c r="Q5" s="29" t="s">
        <v>22</v>
      </c>
    </row>
    <row r="6" spans="1:18" ht="15" customHeight="1" x14ac:dyDescent="0.3">
      <c r="B6" s="7"/>
      <c r="C6" s="38"/>
      <c r="D6" s="8"/>
      <c r="E6" s="35"/>
      <c r="F6" s="8"/>
      <c r="G6" s="8"/>
      <c r="H6" s="8"/>
      <c r="I6" s="8"/>
      <c r="J6" s="8"/>
      <c r="K6" s="8"/>
      <c r="L6" s="8"/>
      <c r="M6" s="8"/>
      <c r="N6" s="8"/>
      <c r="O6" s="7"/>
      <c r="Q6" s="366" t="e">
        <f>IF(OR(G7="E",G7=""),"",IF(G7="G",H7,M7))</f>
        <v>#REF!</v>
      </c>
    </row>
    <row r="7" spans="1:18" ht="17.25" customHeight="1" x14ac:dyDescent="0.35">
      <c r="B7" s="448" t="e">
        <f>+#REF!</f>
        <v>#REF!</v>
      </c>
      <c r="C7" s="114"/>
      <c r="D7" s="449" t="e">
        <f>+#REF!</f>
        <v>#REF!</v>
      </c>
      <c r="E7" s="99"/>
      <c r="F7" s="78"/>
      <c r="G7" s="438" t="e">
        <f>IF(AND(I7&lt;&gt;"",K7&lt;&gt;""),IF(I7=K7,"E",IF(I7&gt;K7,"G","P")),"")</f>
        <v>#REF!</v>
      </c>
      <c r="H7" s="450" t="e">
        <f>+#REF!</f>
        <v>#REF!</v>
      </c>
      <c r="I7" s="436" t="e">
        <f>+#REF!</f>
        <v>#REF!</v>
      </c>
      <c r="J7" s="451" t="s">
        <v>15</v>
      </c>
      <c r="K7" s="436" t="e">
        <f>+#REF!</f>
        <v>#REF!</v>
      </c>
      <c r="L7" s="438" t="e">
        <f>IF(AND(K7&lt;&gt;"",I7&lt;&gt;""),IF(K7=I7,"E",IF(K7&gt;I7,"G","P")),"")</f>
        <v>#REF!</v>
      </c>
      <c r="M7" s="450" t="e">
        <f>+#REF!</f>
        <v>#REF!</v>
      </c>
      <c r="N7" s="77"/>
      <c r="O7" s="440" t="e">
        <f>+#REF!</f>
        <v>#REF!</v>
      </c>
      <c r="Q7" s="367"/>
    </row>
    <row r="8" spans="1:18" ht="17.25" customHeight="1" x14ac:dyDescent="0.35">
      <c r="B8" s="448"/>
      <c r="C8" s="114"/>
      <c r="D8" s="449"/>
      <c r="E8" s="99"/>
      <c r="F8" s="78"/>
      <c r="G8" s="438"/>
      <c r="H8" s="450"/>
      <c r="I8" s="437"/>
      <c r="J8" s="451"/>
      <c r="K8" s="437"/>
      <c r="L8" s="438"/>
      <c r="M8" s="450"/>
      <c r="N8" s="77"/>
      <c r="O8" s="440"/>
      <c r="Q8" s="367"/>
    </row>
    <row r="9" spans="1:18" x14ac:dyDescent="0.3">
      <c r="B9" s="27"/>
      <c r="C9" s="28"/>
      <c r="D9" s="28"/>
      <c r="E9" s="28"/>
      <c r="F9" s="28"/>
      <c r="G9" s="28"/>
      <c r="H9" s="28"/>
      <c r="I9" s="28"/>
      <c r="J9" s="28"/>
      <c r="K9" s="34"/>
      <c r="L9" s="28"/>
      <c r="M9" s="28"/>
      <c r="N9" s="28"/>
      <c r="O9" s="27"/>
      <c r="Q9" s="368"/>
    </row>
    <row r="11" spans="1:18" ht="21" x14ac:dyDescent="0.3">
      <c r="B11" s="359" t="s">
        <v>23</v>
      </c>
      <c r="C11" s="360"/>
      <c r="D11" s="360"/>
      <c r="E11" s="360"/>
      <c r="F11" s="360"/>
      <c r="G11" s="360"/>
      <c r="H11" s="360"/>
      <c r="I11" s="360"/>
      <c r="J11" s="360"/>
      <c r="K11" s="360"/>
      <c r="L11" s="360"/>
      <c r="M11" s="360"/>
      <c r="N11" s="360"/>
      <c r="O11" s="361"/>
      <c r="Q11" s="30" t="s">
        <v>24</v>
      </c>
    </row>
    <row r="12" spans="1:18" ht="15" customHeight="1" x14ac:dyDescent="0.3">
      <c r="B12" s="38"/>
      <c r="C12" s="3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/>
      <c r="Q12" s="363" t="e">
        <f>IF(OR(G13="E",G13=""),"",IF(G13="P",H13,M13))</f>
        <v>#REF!</v>
      </c>
    </row>
    <row r="13" spans="1:18" ht="17.25" customHeight="1" x14ac:dyDescent="0.35">
      <c r="B13" s="448" t="e">
        <f>+#REF!</f>
        <v>#REF!</v>
      </c>
      <c r="C13" s="114"/>
      <c r="D13" s="449" t="e">
        <f>+#REF!</f>
        <v>#REF!</v>
      </c>
      <c r="E13" s="100"/>
      <c r="F13" s="78"/>
      <c r="G13" s="438" t="e">
        <f>IF(AND(I13&lt;&gt;"",K13&lt;&gt;""),IF(I13=K13,"E",IF(I13&gt;K13,"G","P")),"")</f>
        <v>#REF!</v>
      </c>
      <c r="H13" s="450" t="e">
        <f>+#REF!</f>
        <v>#REF!</v>
      </c>
      <c r="I13" s="436" t="e">
        <f>+#REF!</f>
        <v>#REF!</v>
      </c>
      <c r="J13" s="451" t="s">
        <v>15</v>
      </c>
      <c r="K13" s="436" t="e">
        <f>+#REF!</f>
        <v>#REF!</v>
      </c>
      <c r="L13" s="438" t="e">
        <f>IF(AND(K13&lt;&gt;"",I13&lt;&gt;""),IF(K13=I13,"E",IF(K13&gt;I13,"G","P")),"")</f>
        <v>#REF!</v>
      </c>
      <c r="M13" s="450" t="e">
        <f>+#REF!</f>
        <v>#REF!</v>
      </c>
      <c r="N13" s="453"/>
      <c r="O13" s="440" t="e">
        <f>+#REF!</f>
        <v>#REF!</v>
      </c>
      <c r="Q13" s="364"/>
    </row>
    <row r="14" spans="1:18" ht="17.25" customHeight="1" x14ac:dyDescent="0.35">
      <c r="B14" s="448"/>
      <c r="C14" s="114"/>
      <c r="D14" s="449"/>
      <c r="E14" s="100"/>
      <c r="F14" s="78"/>
      <c r="G14" s="438"/>
      <c r="H14" s="450"/>
      <c r="I14" s="437"/>
      <c r="J14" s="451"/>
      <c r="K14" s="437"/>
      <c r="L14" s="438"/>
      <c r="M14" s="450"/>
      <c r="N14" s="453"/>
      <c r="O14" s="440"/>
      <c r="Q14" s="364"/>
    </row>
    <row r="15" spans="1:18" x14ac:dyDescent="0.3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7"/>
      <c r="Q15" s="365"/>
    </row>
    <row r="16" spans="1:18" ht="10.5" customHeight="1" x14ac:dyDescent="0.3"/>
    <row r="17" spans="2:18" ht="15" customHeight="1" x14ac:dyDescent="0.3">
      <c r="B17" s="362" t="s">
        <v>25</v>
      </c>
      <c r="C17" s="362"/>
      <c r="D17" s="362"/>
      <c r="E17" s="362"/>
      <c r="F17" s="362"/>
      <c r="G17" s="362"/>
      <c r="H17" s="362"/>
      <c r="I17" s="362"/>
      <c r="J17" s="362"/>
      <c r="K17" s="362"/>
      <c r="L17" s="362"/>
      <c r="M17" s="362"/>
      <c r="N17" s="362"/>
      <c r="O17" s="362"/>
      <c r="P17" s="362"/>
      <c r="Q17" s="362"/>
    </row>
    <row r="18" spans="2:18" ht="15" customHeight="1" x14ac:dyDescent="0.3">
      <c r="B18" s="362"/>
      <c r="C18" s="362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2"/>
      <c r="O18" s="362"/>
      <c r="P18" s="362"/>
      <c r="Q18" s="362"/>
    </row>
    <row r="19" spans="2:18" ht="15" customHeight="1" x14ac:dyDescent="0.3">
      <c r="B19" s="452" t="e">
        <f>IF(OR(G13="E",G13=""),"",IF(G13="G",H13,M13))</f>
        <v>#REF!</v>
      </c>
      <c r="C19" s="452"/>
      <c r="D19" s="452"/>
      <c r="E19" s="452"/>
      <c r="F19" s="452"/>
      <c r="G19" s="452"/>
      <c r="H19" s="452"/>
      <c r="I19" s="452"/>
      <c r="J19" s="452"/>
      <c r="K19" s="452"/>
      <c r="L19" s="452"/>
      <c r="M19" s="452"/>
      <c r="N19" s="452"/>
      <c r="O19" s="452"/>
      <c r="P19" s="452"/>
      <c r="Q19" s="452"/>
    </row>
    <row r="20" spans="2:18" ht="25.5" customHeight="1" x14ac:dyDescent="0.3">
      <c r="B20" s="452"/>
      <c r="C20" s="452"/>
      <c r="D20" s="452"/>
      <c r="E20" s="452"/>
      <c r="F20" s="452"/>
      <c r="G20" s="452"/>
      <c r="H20" s="452"/>
      <c r="I20" s="452"/>
      <c r="J20" s="452"/>
      <c r="K20" s="452"/>
      <c r="L20" s="452"/>
      <c r="M20" s="452"/>
      <c r="N20" s="452"/>
      <c r="O20" s="452"/>
      <c r="P20" s="452"/>
      <c r="Q20" s="452"/>
    </row>
    <row r="21" spans="2:18" ht="3.75" customHeight="1" x14ac:dyDescent="0.85">
      <c r="D21" s="43"/>
      <c r="E21" s="43"/>
      <c r="F21" s="43"/>
      <c r="J21" s="64"/>
      <c r="O21" s="64"/>
    </row>
    <row r="22" spans="2:18" ht="25.5" customHeight="1" x14ac:dyDescent="0.45">
      <c r="C22" s="447" t="str">
        <f>+'PRE INFANTIL GRUPOS'!C3</f>
        <v>DICIEMBRE 4 AL 6 DEL 2024</v>
      </c>
      <c r="D22" s="447"/>
      <c r="E22" s="447"/>
      <c r="F22" s="447"/>
      <c r="G22" s="447"/>
      <c r="H22" s="447"/>
      <c r="I22" s="447"/>
      <c r="J22" s="447"/>
      <c r="K22" s="447"/>
      <c r="O22" s="92" t="str">
        <f>+'PRE INFANTIL GRUPOS'!C4</f>
        <v>NACIDOS 2010 2011</v>
      </c>
      <c r="Q22" s="40"/>
      <c r="R22" s="40"/>
    </row>
    <row r="23" spans="2:18" ht="15" customHeight="1" x14ac:dyDescent="0.3">
      <c r="C23" s="447"/>
      <c r="D23" s="447"/>
      <c r="E23" s="447"/>
      <c r="F23" s="447"/>
      <c r="G23" s="447"/>
      <c r="H23" s="447"/>
      <c r="I23" s="447"/>
      <c r="J23" s="447"/>
      <c r="K23" s="447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457" t="s">
        <v>99</v>
      </c>
      <c r="D1" s="457"/>
      <c r="E1" s="457"/>
      <c r="F1" s="457"/>
      <c r="G1" s="457"/>
      <c r="H1" s="457"/>
      <c r="I1" s="457"/>
    </row>
    <row r="2" spans="2:9" ht="17.399999999999999" x14ac:dyDescent="0.3">
      <c r="C2" s="458" t="s">
        <v>6</v>
      </c>
      <c r="D2" s="458"/>
      <c r="E2" s="458"/>
      <c r="F2" s="458"/>
      <c r="G2" s="458"/>
      <c r="H2" s="458"/>
      <c r="I2" s="458"/>
    </row>
    <row r="4" spans="2:9" ht="15.6" x14ac:dyDescent="0.3">
      <c r="C4" s="459" t="s">
        <v>45</v>
      </c>
      <c r="D4" s="459"/>
      <c r="E4" s="459"/>
      <c r="F4" s="459"/>
      <c r="G4" s="459"/>
      <c r="H4" s="459"/>
      <c r="I4" s="459"/>
    </row>
    <row r="5" spans="2:9" ht="16.2" thickBot="1" x14ac:dyDescent="0.35">
      <c r="C5" s="141"/>
      <c r="D5" s="141"/>
      <c r="E5" s="141"/>
      <c r="F5" s="141"/>
      <c r="G5" s="141"/>
      <c r="H5" s="141"/>
      <c r="I5" s="141"/>
    </row>
    <row r="6" spans="2:9" ht="15.6" x14ac:dyDescent="0.3">
      <c r="C6" s="142" t="s">
        <v>0</v>
      </c>
      <c r="D6" s="143"/>
      <c r="E6" s="144" t="s">
        <v>1</v>
      </c>
      <c r="F6" s="145"/>
      <c r="G6" s="146" t="s">
        <v>38</v>
      </c>
      <c r="H6" s="147"/>
      <c r="I6" s="148" t="s">
        <v>39</v>
      </c>
    </row>
    <row r="7" spans="2:9" ht="18" x14ac:dyDescent="0.3">
      <c r="C7" s="110">
        <v>1</v>
      </c>
      <c r="D7" s="149"/>
      <c r="E7" s="110">
        <v>5</v>
      </c>
      <c r="G7" s="110">
        <v>9</v>
      </c>
      <c r="H7" s="31"/>
      <c r="I7" s="110">
        <v>13</v>
      </c>
    </row>
    <row r="8" spans="2:9" ht="18" x14ac:dyDescent="0.3">
      <c r="C8" s="110">
        <v>2</v>
      </c>
      <c r="D8" s="149"/>
      <c r="E8" s="110">
        <v>6</v>
      </c>
      <c r="G8" s="110">
        <v>10</v>
      </c>
      <c r="H8" s="31"/>
      <c r="I8" s="110">
        <v>14</v>
      </c>
    </row>
    <row r="9" spans="2:9" ht="18" x14ac:dyDescent="0.3">
      <c r="C9" s="110">
        <v>3</v>
      </c>
      <c r="D9" s="149"/>
      <c r="E9" s="110">
        <v>7</v>
      </c>
      <c r="G9" s="110">
        <v>11</v>
      </c>
      <c r="H9" s="31"/>
      <c r="I9" s="110">
        <v>15</v>
      </c>
    </row>
    <row r="10" spans="2:9" ht="18" x14ac:dyDescent="0.3">
      <c r="C10" s="110">
        <v>4</v>
      </c>
      <c r="D10" s="149"/>
      <c r="E10" s="110">
        <v>8</v>
      </c>
      <c r="G10" s="110">
        <v>12</v>
      </c>
      <c r="H10" s="31"/>
      <c r="I10" s="110">
        <v>16</v>
      </c>
    </row>
    <row r="11" spans="2:9" x14ac:dyDescent="0.3">
      <c r="B11" s="460"/>
      <c r="C11" s="460"/>
      <c r="D11" s="460"/>
      <c r="E11" s="460"/>
      <c r="F11" s="460"/>
      <c r="G11" s="460"/>
      <c r="H11" s="460"/>
      <c r="I11" s="460"/>
    </row>
    <row r="12" spans="2:9" ht="18" x14ac:dyDescent="0.3">
      <c r="B12" s="461" t="s">
        <v>42</v>
      </c>
      <c r="C12" s="461"/>
      <c r="D12" s="461"/>
      <c r="E12" s="461"/>
      <c r="F12" s="461"/>
      <c r="G12" s="461"/>
      <c r="H12" s="461"/>
      <c r="I12" s="461"/>
    </row>
    <row r="13" spans="2:9" ht="18.600000000000001" thickBot="1" x14ac:dyDescent="0.4">
      <c r="B13" s="150"/>
      <c r="C13" s="150"/>
      <c r="D13" s="150"/>
      <c r="E13" s="150"/>
      <c r="F13" s="150"/>
      <c r="G13" s="150"/>
      <c r="H13" s="150"/>
      <c r="I13" s="150"/>
    </row>
    <row r="14" spans="2:9" ht="15" thickBot="1" x14ac:dyDescent="0.35">
      <c r="B14" s="151" t="s">
        <v>2</v>
      </c>
      <c r="C14" s="454" t="s">
        <v>46</v>
      </c>
      <c r="D14" s="455"/>
      <c r="E14" s="455"/>
      <c r="F14" s="152" t="s">
        <v>47</v>
      </c>
      <c r="G14" s="454" t="s">
        <v>52</v>
      </c>
      <c r="H14" s="455"/>
      <c r="I14" s="456"/>
    </row>
    <row r="15" spans="2:9" ht="7.5" customHeight="1" thickBot="1" x14ac:dyDescent="0.35">
      <c r="F15" s="153"/>
    </row>
    <row r="16" spans="2:9" ht="15" thickBot="1" x14ac:dyDescent="0.35">
      <c r="B16" s="151" t="s">
        <v>3</v>
      </c>
      <c r="C16" s="454" t="s">
        <v>49</v>
      </c>
      <c r="D16" s="455"/>
      <c r="E16" s="455"/>
      <c r="F16" s="152" t="s">
        <v>47</v>
      </c>
      <c r="G16" s="454" t="s">
        <v>54</v>
      </c>
      <c r="H16" s="455"/>
      <c r="I16" s="456"/>
    </row>
    <row r="18" spans="2:9" ht="15" thickBot="1" x14ac:dyDescent="0.35">
      <c r="B18" s="151" t="s">
        <v>58</v>
      </c>
      <c r="C18" s="454" t="s">
        <v>48</v>
      </c>
      <c r="D18" s="455"/>
      <c r="E18" s="455"/>
      <c r="F18" s="152" t="s">
        <v>47</v>
      </c>
      <c r="G18" s="454" t="s">
        <v>51</v>
      </c>
      <c r="H18" s="455"/>
      <c r="I18" s="456"/>
    </row>
    <row r="19" spans="2:9" ht="7.5" customHeight="1" thickBot="1" x14ac:dyDescent="0.35"/>
    <row r="20" spans="2:9" ht="15" thickBot="1" x14ac:dyDescent="0.35">
      <c r="B20" s="151" t="s">
        <v>59</v>
      </c>
      <c r="C20" s="454" t="s">
        <v>50</v>
      </c>
      <c r="D20" s="455"/>
      <c r="E20" s="455"/>
      <c r="F20" s="152" t="s">
        <v>47</v>
      </c>
      <c r="G20" s="454" t="s">
        <v>53</v>
      </c>
      <c r="H20" s="455"/>
      <c r="I20" s="456"/>
    </row>
    <row r="22" spans="2:9" ht="18" x14ac:dyDescent="0.35">
      <c r="B22" s="462" t="s">
        <v>57</v>
      </c>
      <c r="C22" s="462"/>
      <c r="D22" s="462"/>
      <c r="E22" s="462"/>
      <c r="F22" s="462"/>
      <c r="G22" s="462"/>
      <c r="H22" s="462"/>
      <c r="I22" s="462"/>
    </row>
    <row r="23" spans="2:9" ht="3.75" customHeight="1" thickBot="1" x14ac:dyDescent="0.35"/>
    <row r="24" spans="2:9" ht="15" thickBot="1" x14ac:dyDescent="0.35">
      <c r="B24" s="151" t="s">
        <v>43</v>
      </c>
      <c r="C24" s="454" t="s">
        <v>55</v>
      </c>
      <c r="D24" s="455"/>
      <c r="E24" s="456"/>
      <c r="F24" s="152" t="s">
        <v>47</v>
      </c>
      <c r="G24" s="454" t="s">
        <v>56</v>
      </c>
      <c r="H24" s="455"/>
      <c r="I24" s="456"/>
    </row>
    <row r="25" spans="2:9" ht="6.75" customHeight="1" thickBot="1" x14ac:dyDescent="0.35"/>
    <row r="26" spans="2:9" ht="15" thickBot="1" x14ac:dyDescent="0.35">
      <c r="B26" s="151" t="s">
        <v>44</v>
      </c>
      <c r="C26" s="454" t="s">
        <v>60</v>
      </c>
      <c r="D26" s="455"/>
      <c r="E26" s="456"/>
      <c r="F26" s="152" t="s">
        <v>47</v>
      </c>
      <c r="G26" s="454" t="s">
        <v>61</v>
      </c>
      <c r="H26" s="455"/>
      <c r="I26" s="456"/>
    </row>
    <row r="28" spans="2:9" ht="18" x14ac:dyDescent="0.3">
      <c r="C28" s="461" t="s">
        <v>63</v>
      </c>
      <c r="D28" s="461"/>
      <c r="E28" s="461"/>
      <c r="F28" s="461"/>
      <c r="G28" s="461"/>
      <c r="H28" s="461"/>
      <c r="I28" s="461"/>
    </row>
    <row r="29" spans="2:9" ht="7.5" customHeight="1" thickBot="1" x14ac:dyDescent="0.35"/>
    <row r="30" spans="2:9" ht="15" thickBot="1" x14ac:dyDescent="0.35">
      <c r="C30" s="454" t="s">
        <v>64</v>
      </c>
      <c r="D30" s="455"/>
      <c r="E30" s="456"/>
      <c r="F30" s="152" t="s">
        <v>47</v>
      </c>
      <c r="G30" s="454" t="s">
        <v>65</v>
      </c>
      <c r="H30" s="455"/>
      <c r="I30" s="456"/>
    </row>
    <row r="32" spans="2:9" ht="18" x14ac:dyDescent="0.3">
      <c r="C32" s="461" t="s">
        <v>62</v>
      </c>
      <c r="D32" s="461"/>
      <c r="E32" s="461"/>
      <c r="F32" s="461"/>
      <c r="G32" s="461"/>
      <c r="H32" s="461"/>
      <c r="I32" s="461"/>
    </row>
    <row r="34" spans="3:9" ht="15" thickBot="1" x14ac:dyDescent="0.35">
      <c r="C34" s="454" t="s">
        <v>66</v>
      </c>
      <c r="D34" s="455"/>
      <c r="E34" s="456"/>
      <c r="F34" s="152" t="s">
        <v>47</v>
      </c>
      <c r="G34" s="454" t="s">
        <v>67</v>
      </c>
      <c r="H34" s="455"/>
      <c r="I34" s="456"/>
    </row>
  </sheetData>
  <mergeCells count="24"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</mergeCells>
  <hyperlinks>
    <hyperlink ref="G6" location="'GRUPO B'!A1" display="GRUPO B" xr:uid="{00000000-0004-0000-0F00-000000000000}"/>
    <hyperlink ref="E6" location="'GRUPO B'!A1" display="GRUPO B" xr:uid="{00000000-0004-0000-0F00-000001000000}"/>
    <hyperlink ref="C6" location="'GRUPO B'!A1" display="GRUPO B" xr:uid="{00000000-0004-0000-0F00-000002000000}"/>
    <hyperlink ref="I6" location="'GRUPO B'!A1" display="GRUPO B" xr:uid="{00000000-0004-0000-0F00-000003000000}"/>
  </hyperlink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45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466" t="e">
        <f>+'PRE INFANTIL GRUPOS'!B1:I1</f>
        <v>#VALUE!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</row>
    <row r="2" spans="1:19" ht="28.8" x14ac:dyDescent="0.55000000000000004">
      <c r="A2" s="467" t="e">
        <f>+'PRE INFANTIL GRUPOS'!B2:I2</f>
        <v>#VALUE!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</row>
    <row r="3" spans="1:19" ht="28.8" x14ac:dyDescent="0.55000000000000004">
      <c r="A3" s="467" t="str">
        <f>+'PRE INFANTIL GRUPOS'!C3</f>
        <v>DICIEMBRE 4 AL 6 DEL 2024</v>
      </c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467"/>
      <c r="N3" s="467"/>
      <c r="O3" s="467"/>
      <c r="P3" s="467"/>
      <c r="Q3" s="467"/>
      <c r="R3" s="467"/>
      <c r="S3" s="467"/>
    </row>
    <row r="4" spans="1:19" ht="21" x14ac:dyDescent="0.4">
      <c r="A4" s="468" t="str">
        <f>+'PRE INFANTIL GRUPOS'!C4</f>
        <v>NACIDOS 2010 2011</v>
      </c>
      <c r="B4" s="468"/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</row>
    <row r="5" spans="1:19" ht="21" x14ac:dyDescent="0.4">
      <c r="A5" s="468" t="s">
        <v>73</v>
      </c>
      <c r="B5" s="468"/>
      <c r="C5" s="468"/>
      <c r="D5" s="468"/>
      <c r="E5" s="468"/>
      <c r="F5" s="468"/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</row>
    <row r="6" spans="1:19" ht="21" customHeight="1" x14ac:dyDescent="0.3">
      <c r="A6"/>
      <c r="B6" s="463" t="str">
        <f>+IMPRIMIR!A14</f>
        <v>PARTIDOS                 fecha 1</v>
      </c>
      <c r="C6" s="464"/>
      <c r="D6" s="464"/>
      <c r="E6" s="464"/>
      <c r="F6" s="464"/>
      <c r="G6" s="464"/>
      <c r="H6" s="465"/>
      <c r="J6" s="159" t="str">
        <f>+'GRUPO A'!B4</f>
        <v>GRUPO A</v>
      </c>
      <c r="K6" s="159">
        <f>+'GRUPO A'!Q20</f>
        <v>0</v>
      </c>
      <c r="L6" s="159">
        <f>+'GRUPO A'!R20</f>
        <v>0</v>
      </c>
      <c r="M6" s="159">
        <f>+'GRUPO A'!S20</f>
        <v>0</v>
      </c>
      <c r="N6" s="159">
        <f>+'GRUPO A'!T20</f>
        <v>0</v>
      </c>
      <c r="O6" s="159">
        <f>+'GRUPO A'!U20</f>
        <v>0</v>
      </c>
      <c r="P6" s="159">
        <f>+'GRUPO A'!V20</f>
        <v>0</v>
      </c>
      <c r="Q6" s="159">
        <f>+'GRUPO A'!W20</f>
        <v>0</v>
      </c>
      <c r="R6" s="159">
        <f>+'GRUPO A'!X20</f>
        <v>0</v>
      </c>
      <c r="S6" s="159">
        <f>+'GRUPO A'!Y20</f>
        <v>0</v>
      </c>
    </row>
    <row r="7" spans="1:19" x14ac:dyDescent="0.3">
      <c r="B7" s="165" t="s">
        <v>68</v>
      </c>
      <c r="C7" s="165" t="s">
        <v>69</v>
      </c>
      <c r="D7" s="165" t="s">
        <v>70</v>
      </c>
      <c r="E7" s="469" t="s">
        <v>71</v>
      </c>
      <c r="F7" s="469"/>
      <c r="G7" s="165" t="s">
        <v>70</v>
      </c>
      <c r="H7" s="165" t="s">
        <v>72</v>
      </c>
      <c r="J7" s="160">
        <f>+'GRUPO A'!P22</f>
        <v>0</v>
      </c>
      <c r="K7" s="154">
        <f>+'GRUPO A'!Q22</f>
        <v>0</v>
      </c>
      <c r="L7" s="154">
        <f>+'GRUPO A'!R22</f>
        <v>0</v>
      </c>
      <c r="M7" s="154">
        <f>+'GRUPO A'!S22</f>
        <v>0</v>
      </c>
      <c r="N7" s="154">
        <f>+'GRUPO A'!T22</f>
        <v>0</v>
      </c>
      <c r="O7" s="154">
        <f>+'GRUPO A'!U22</f>
        <v>0</v>
      </c>
      <c r="P7" s="154">
        <f>+'GRUPO A'!V22</f>
        <v>0</v>
      </c>
      <c r="Q7" s="154">
        <f>+'GRUPO A'!W22</f>
        <v>0</v>
      </c>
      <c r="R7" s="154">
        <f>+'GRUPO A'!X22</f>
        <v>0</v>
      </c>
      <c r="S7" s="154">
        <f>+'GRUPO A'!Y22</f>
        <v>0</v>
      </c>
    </row>
    <row r="8" spans="1:19" ht="21" customHeight="1" x14ac:dyDescent="0.3">
      <c r="A8" s="470">
        <f>+'GRUPO A'!B20</f>
        <v>0</v>
      </c>
      <c r="B8" s="154">
        <f>+'GRUPO A'!M20</f>
        <v>0</v>
      </c>
      <c r="C8" s="154">
        <f>+'GRUPO A'!C20</f>
        <v>0</v>
      </c>
      <c r="D8" s="154">
        <f>+'GRUPO A'!E20</f>
        <v>0</v>
      </c>
      <c r="E8" s="154">
        <f>+'GRUPO A'!G20</f>
        <v>0</v>
      </c>
      <c r="F8" s="154">
        <f>+'GRUPO A'!I20</f>
        <v>0</v>
      </c>
      <c r="G8" s="154">
        <f>+'GRUPO A'!K20</f>
        <v>0</v>
      </c>
      <c r="H8" s="154" t="str">
        <f>+'GRUPO A'!B4</f>
        <v>GRUPO A</v>
      </c>
      <c r="J8" s="160">
        <f>+'GRUPO A'!P24</f>
        <v>0</v>
      </c>
      <c r="K8" s="154">
        <f>+'GRUPO A'!Q24</f>
        <v>0</v>
      </c>
      <c r="L8" s="154">
        <f>+'GRUPO A'!R24</f>
        <v>0</v>
      </c>
      <c r="M8" s="154">
        <f>+'GRUPO A'!S24</f>
        <v>0</v>
      </c>
      <c r="N8" s="154">
        <f>+'GRUPO A'!T24</f>
        <v>0</v>
      </c>
      <c r="O8" s="154">
        <f>+'GRUPO A'!U24</f>
        <v>0</v>
      </c>
      <c r="P8" s="154">
        <f>+'GRUPO A'!V24</f>
        <v>0</v>
      </c>
      <c r="Q8" s="154">
        <f>+'GRUPO A'!W24</f>
        <v>0</v>
      </c>
      <c r="R8" s="154">
        <f>+'GRUPO A'!X24</f>
        <v>0</v>
      </c>
      <c r="S8" s="154">
        <f>+'GRUPO A'!Y24</f>
        <v>0</v>
      </c>
    </row>
    <row r="9" spans="1:19" ht="21" customHeight="1" x14ac:dyDescent="0.3">
      <c r="A9" s="471"/>
      <c r="B9" s="156">
        <f>+'GRUPO A'!M23</f>
        <v>0</v>
      </c>
      <c r="C9" s="156">
        <f>+'GRUPO A'!C23</f>
        <v>0</v>
      </c>
      <c r="D9" s="156">
        <f>+'GRUPO A'!E23</f>
        <v>0</v>
      </c>
      <c r="E9" s="156">
        <f>+'GRUPO A'!G23</f>
        <v>0</v>
      </c>
      <c r="F9" s="156">
        <f>+'GRUPO A'!I23</f>
        <v>0</v>
      </c>
      <c r="G9" s="156">
        <f>+'GRUPO A'!K23</f>
        <v>0</v>
      </c>
      <c r="H9" s="157" t="str">
        <f>+'GRUPO A'!B4</f>
        <v>GRUPO A</v>
      </c>
      <c r="J9" s="160">
        <f>+'GRUPO A'!P26</f>
        <v>0</v>
      </c>
      <c r="K9" s="154">
        <f>+'GRUPO A'!Q26</f>
        <v>0</v>
      </c>
      <c r="L9" s="154">
        <f>+'GRUPO A'!R26</f>
        <v>0</v>
      </c>
      <c r="M9" s="154">
        <f>+'GRUPO A'!S26</f>
        <v>0</v>
      </c>
      <c r="N9" s="154">
        <f>+'GRUPO A'!T26</f>
        <v>0</v>
      </c>
      <c r="O9" s="154">
        <f>+'GRUPO A'!U26</f>
        <v>0</v>
      </c>
      <c r="P9" s="154">
        <f>+'GRUPO A'!V26</f>
        <v>0</v>
      </c>
      <c r="Q9" s="154">
        <f>+'GRUPO A'!W26</f>
        <v>0</v>
      </c>
      <c r="R9" s="154">
        <f>+'GRUPO A'!X26</f>
        <v>0</v>
      </c>
      <c r="S9" s="154">
        <f>+'GRUPO A'!Y26</f>
        <v>0</v>
      </c>
    </row>
    <row r="10" spans="1:19" ht="21" customHeight="1" x14ac:dyDescent="0.3">
      <c r="A10" s="471"/>
      <c r="B10" s="154">
        <f>+'GRUPO B'!M20</f>
        <v>0</v>
      </c>
      <c r="C10" s="154">
        <f>+'GRUPO B'!C20</f>
        <v>0</v>
      </c>
      <c r="D10" s="154">
        <f>+'GRUPO B'!E20</f>
        <v>0</v>
      </c>
      <c r="E10" s="154">
        <f>+'GRUPO B'!G20</f>
        <v>0</v>
      </c>
      <c r="F10" s="154">
        <f>+'GRUPO B'!I20</f>
        <v>0</v>
      </c>
      <c r="G10" s="154">
        <f>+'GRUPO B'!K20</f>
        <v>0</v>
      </c>
      <c r="H10" s="154" t="str">
        <f>+'GRUPO B'!B4</f>
        <v>GRUPO B</v>
      </c>
      <c r="J10" s="160">
        <f>+'GRUPO A'!P28</f>
        <v>0</v>
      </c>
      <c r="K10" s="154">
        <f>+'GRUPO A'!Q28</f>
        <v>0</v>
      </c>
      <c r="L10" s="154">
        <f>+'GRUPO A'!R28</f>
        <v>0</v>
      </c>
      <c r="M10" s="154">
        <f>+'GRUPO A'!S28</f>
        <v>0</v>
      </c>
      <c r="N10" s="154">
        <f>+'GRUPO A'!T28</f>
        <v>0</v>
      </c>
      <c r="O10" s="154">
        <f>+'GRUPO A'!U28</f>
        <v>0</v>
      </c>
      <c r="P10" s="154">
        <f>+'GRUPO A'!V28</f>
        <v>0</v>
      </c>
      <c r="Q10" s="154">
        <f>+'GRUPO A'!W28</f>
        <v>0</v>
      </c>
      <c r="R10" s="154">
        <f>+'GRUPO A'!X28</f>
        <v>0</v>
      </c>
      <c r="S10" s="154">
        <f>+'GRUPO A'!Y28</f>
        <v>0</v>
      </c>
    </row>
    <row r="11" spans="1:19" ht="21" customHeight="1" x14ac:dyDescent="0.3">
      <c r="A11" s="471"/>
      <c r="B11" s="156">
        <f>+'GRUPO B'!M23</f>
        <v>0</v>
      </c>
      <c r="C11" s="156">
        <f>+'GRUPO B'!C23</f>
        <v>0</v>
      </c>
      <c r="D11" s="156">
        <f>+'GRUPO B'!E23</f>
        <v>0</v>
      </c>
      <c r="E11" s="156">
        <f>+'GRUPO B'!G23</f>
        <v>0</v>
      </c>
      <c r="F11" s="156">
        <f>+'GRUPO B'!I23</f>
        <v>0</v>
      </c>
      <c r="G11" s="156">
        <f>+'GRUPO B'!K23</f>
        <v>0</v>
      </c>
      <c r="H11" s="157" t="str">
        <f>+'GRUPO B'!B4</f>
        <v>GRUPO B</v>
      </c>
    </row>
    <row r="12" spans="1:19" ht="21" customHeight="1" x14ac:dyDescent="0.3">
      <c r="A12" s="471"/>
      <c r="B12" s="154">
        <f>+'GRUPO C'!M20</f>
        <v>0</v>
      </c>
      <c r="C12" s="154">
        <f>+'GRUPO C'!C20</f>
        <v>0</v>
      </c>
      <c r="D12" s="154">
        <f>+'GRUPO C'!E20</f>
        <v>0</v>
      </c>
      <c r="E12" s="154">
        <f>+'GRUPO C'!G20</f>
        <v>0</v>
      </c>
      <c r="F12" s="154">
        <f>+'GRUPO C'!I20</f>
        <v>0</v>
      </c>
      <c r="G12" s="154">
        <f>+'GRUPO C'!K20</f>
        <v>0</v>
      </c>
      <c r="H12" s="154" t="str">
        <f>+'GRUPO C'!B4</f>
        <v>GRUPO C</v>
      </c>
      <c r="J12" s="158" t="str">
        <f>+'GRUPO B'!B4</f>
        <v>GRUPO B</v>
      </c>
      <c r="K12" s="158" t="str">
        <f>+'GRUPO B'!Q8</f>
        <v>Pts.</v>
      </c>
      <c r="L12" s="158" t="str">
        <f>+'GRUPO B'!R8</f>
        <v>PJ</v>
      </c>
      <c r="M12" s="158" t="str">
        <f>+'GRUPO B'!S8</f>
        <v>Gan.</v>
      </c>
      <c r="N12" s="158" t="str">
        <f>+'GRUPO B'!T8</f>
        <v>Emp.</v>
      </c>
      <c r="O12" s="158" t="str">
        <f>+'GRUPO B'!U8</f>
        <v>Per.</v>
      </c>
      <c r="P12" s="158" t="str">
        <f>+'GRUPO B'!V8</f>
        <v>GF</v>
      </c>
      <c r="Q12" s="158" t="str">
        <f>+'GRUPO B'!W8</f>
        <v>GC</v>
      </c>
      <c r="R12" s="158" t="str">
        <f>+'GRUPO B'!X8</f>
        <v>Dif.</v>
      </c>
      <c r="S12" s="158" t="str">
        <f>+'GRUPO B'!Y8</f>
        <v>Tj</v>
      </c>
    </row>
    <row r="13" spans="1:19" ht="21" customHeight="1" x14ac:dyDescent="0.3">
      <c r="A13" s="471"/>
      <c r="B13" s="156">
        <f>+'GRUPO C'!M23</f>
        <v>0</v>
      </c>
      <c r="C13" s="156">
        <f>+'GRUPO C'!C23</f>
        <v>0</v>
      </c>
      <c r="D13" s="156">
        <f>+'GRUPO C'!E23</f>
        <v>0</v>
      </c>
      <c r="E13" s="156">
        <f>+'GRUPO C'!G20</f>
        <v>0</v>
      </c>
      <c r="F13" s="156">
        <f>+'GRUPO C'!I23</f>
        <v>0</v>
      </c>
      <c r="G13" s="156">
        <f>+'GRUPO C'!K20</f>
        <v>0</v>
      </c>
      <c r="H13" s="157" t="str">
        <f>+'GRUPO C'!B4</f>
        <v>GRUPO C</v>
      </c>
      <c r="J13" s="160" t="str">
        <f>+'GRUPO B'!P10</f>
        <v xml:space="preserve">  1)  ATHLETIC MELGAR</v>
      </c>
      <c r="K13" s="154">
        <f>+'GRUPO B'!Q10</f>
        <v>6</v>
      </c>
      <c r="L13" s="154">
        <f>+'GRUPO B'!R10</f>
        <v>3</v>
      </c>
      <c r="M13" s="154">
        <f>+'GRUPO B'!S10</f>
        <v>2</v>
      </c>
      <c r="N13" s="154">
        <f>+'GRUPO B'!T10</f>
        <v>0</v>
      </c>
      <c r="O13" s="154">
        <f>+'GRUPO B'!U10</f>
        <v>1</v>
      </c>
      <c r="P13" s="154">
        <f>+'GRUPO B'!V10</f>
        <v>9</v>
      </c>
      <c r="Q13" s="154">
        <f>+'GRUPO B'!W10</f>
        <v>2</v>
      </c>
      <c r="R13" s="154">
        <f>+'GRUPO B'!X10</f>
        <v>7</v>
      </c>
      <c r="S13" s="154">
        <f>+'GRUPO B'!Y10</f>
        <v>0</v>
      </c>
    </row>
    <row r="14" spans="1:19" ht="21" customHeight="1" x14ac:dyDescent="0.3">
      <c r="A14" s="471"/>
      <c r="B14" s="154">
        <f>+'GRUPO D'!M20</f>
        <v>0</v>
      </c>
      <c r="C14" s="154">
        <f>+'GRUPO D'!C20</f>
        <v>0</v>
      </c>
      <c r="D14" s="154">
        <f>+'GRUPO D'!E20</f>
        <v>0</v>
      </c>
      <c r="E14" s="154">
        <f>+'GRUPO D'!G20</f>
        <v>0</v>
      </c>
      <c r="F14" s="154">
        <f>+'GRUPO D'!I20</f>
        <v>0</v>
      </c>
      <c r="G14" s="154">
        <f>+'GRUPO D'!K20</f>
        <v>0</v>
      </c>
      <c r="H14" s="154" t="str">
        <f>+'GRUPO D'!B4</f>
        <v>GRUPO D</v>
      </c>
      <c r="J14" s="160" t="str">
        <f>+'GRUPO B'!P12</f>
        <v xml:space="preserve">  2)  GOLDEN STEPS</v>
      </c>
      <c r="K14" s="154">
        <f>+'GRUPO B'!Q12</f>
        <v>4</v>
      </c>
      <c r="L14" s="154">
        <f>+'GRUPO B'!R12</f>
        <v>3</v>
      </c>
      <c r="M14" s="154">
        <f>+'GRUPO B'!S12</f>
        <v>1</v>
      </c>
      <c r="N14" s="154">
        <f>+'GRUPO B'!T12</f>
        <v>1</v>
      </c>
      <c r="O14" s="154">
        <f>+'GRUPO B'!U12</f>
        <v>1</v>
      </c>
      <c r="P14" s="154">
        <f>+'GRUPO B'!V12</f>
        <v>4</v>
      </c>
      <c r="Q14" s="154">
        <f>+'GRUPO B'!W12</f>
        <v>5</v>
      </c>
      <c r="R14" s="154">
        <f>+'GRUPO B'!X12</f>
        <v>-1</v>
      </c>
      <c r="S14" s="154">
        <f>+'GRUPO B'!Y12</f>
        <v>0</v>
      </c>
    </row>
    <row r="15" spans="1:19" ht="21" customHeight="1" x14ac:dyDescent="0.3">
      <c r="A15" s="471"/>
      <c r="B15" s="156">
        <f>+'GRUPO D'!M23</f>
        <v>0</v>
      </c>
      <c r="C15" s="156">
        <f>+'GRUPO D'!C23</f>
        <v>0</v>
      </c>
      <c r="D15" s="156">
        <f>+'GRUPO D'!E23</f>
        <v>0</v>
      </c>
      <c r="E15" s="156">
        <f>+'GRUPO D'!G23</f>
        <v>0</v>
      </c>
      <c r="F15" s="156">
        <f>+'GRUPO D'!I23</f>
        <v>0</v>
      </c>
      <c r="G15" s="156">
        <f>+'GRUPO D'!K23</f>
        <v>0</v>
      </c>
      <c r="H15" s="157" t="str">
        <f>+'GRUPO D'!B4</f>
        <v>GRUPO D</v>
      </c>
      <c r="J15" s="160" t="str">
        <f>+'GRUPO B'!P14</f>
        <v xml:space="preserve">  3)  LIONTA F. C.</v>
      </c>
      <c r="K15" s="154">
        <f>+'GRUPO B'!Q14</f>
        <v>0</v>
      </c>
      <c r="L15" s="154">
        <f>+'GRUPO B'!R14</f>
        <v>3</v>
      </c>
      <c r="M15" s="154">
        <f>+'GRUPO B'!S14</f>
        <v>0</v>
      </c>
      <c r="N15" s="154">
        <f>+'GRUPO B'!T14</f>
        <v>0</v>
      </c>
      <c r="O15" s="154">
        <f>+'GRUPO B'!U14</f>
        <v>3</v>
      </c>
      <c r="P15" s="154">
        <f>+'GRUPO B'!V14</f>
        <v>0</v>
      </c>
      <c r="Q15" s="154">
        <f>+'GRUPO B'!W14</f>
        <v>13</v>
      </c>
      <c r="R15" s="154">
        <f>+'GRUPO B'!X14</f>
        <v>-13</v>
      </c>
      <c r="S15" s="154">
        <f>+'GRUPO B'!Y14</f>
        <v>0</v>
      </c>
    </row>
    <row r="16" spans="1:19" ht="2.25" customHeight="1" x14ac:dyDescent="0.3">
      <c r="J16" s="168"/>
    </row>
    <row r="17" spans="1:19" ht="21" customHeight="1" x14ac:dyDescent="0.3">
      <c r="B17" s="472" t="str">
        <f>+'IMPRIMIR 2'!A14</f>
        <v>PARTIDOS                 fecha 2</v>
      </c>
      <c r="C17" s="473"/>
      <c r="D17" s="473"/>
      <c r="E17" s="473"/>
      <c r="F17" s="473"/>
      <c r="G17" s="473"/>
      <c r="H17" s="474"/>
      <c r="J17" s="160">
        <f>+'GRUPO B'!P16</f>
        <v>0</v>
      </c>
      <c r="K17" s="154">
        <f>+'GRUPO B'!Q16</f>
        <v>0</v>
      </c>
      <c r="L17" s="154">
        <f>+'GRUPO B'!R16</f>
        <v>0</v>
      </c>
      <c r="M17" s="154">
        <f>+'GRUPO B'!S16</f>
        <v>0</v>
      </c>
      <c r="N17" s="154">
        <f>+'GRUPO B'!T16</f>
        <v>0</v>
      </c>
      <c r="O17" s="154">
        <f>+'GRUPO B'!U16</f>
        <v>0</v>
      </c>
      <c r="P17" s="154">
        <f>+'GRUPO B'!V16</f>
        <v>0</v>
      </c>
      <c r="Q17" s="154">
        <f>+'GRUPO B'!W16</f>
        <v>0</v>
      </c>
      <c r="R17" s="154">
        <f>+'GRUPO B'!X16</f>
        <v>0</v>
      </c>
      <c r="S17" s="154">
        <f>+'GRUPO B'!Y16</f>
        <v>0</v>
      </c>
    </row>
    <row r="18" spans="1:19" ht="21" customHeight="1" x14ac:dyDescent="0.3">
      <c r="B18" s="165" t="s">
        <v>68</v>
      </c>
      <c r="C18" s="165" t="s">
        <v>69</v>
      </c>
      <c r="D18" s="165" t="s">
        <v>70</v>
      </c>
      <c r="E18" s="469" t="s">
        <v>71</v>
      </c>
      <c r="F18" s="469"/>
      <c r="G18" s="165" t="s">
        <v>70</v>
      </c>
      <c r="H18" s="165" t="s">
        <v>72</v>
      </c>
    </row>
    <row r="19" spans="1:19" ht="21" customHeight="1" x14ac:dyDescent="0.3">
      <c r="A19" s="470">
        <f>+'GRUPO A'!B26</f>
        <v>0</v>
      </c>
      <c r="B19" s="154">
        <f>+'GRUPO A'!M26</f>
        <v>0</v>
      </c>
      <c r="C19" s="154">
        <f>+'GRUPO A'!C26</f>
        <v>0</v>
      </c>
      <c r="D19" s="154">
        <f>+'GRUPO A'!E26</f>
        <v>0</v>
      </c>
      <c r="E19" s="154">
        <f>+'GRUPO A'!G26</f>
        <v>0</v>
      </c>
      <c r="F19" s="154">
        <f>+'GRUPO A'!I26</f>
        <v>0</v>
      </c>
      <c r="G19" s="154">
        <f>+'GRUPO A'!K26</f>
        <v>0</v>
      </c>
      <c r="H19" s="155" t="str">
        <f>+'GRUPO A'!B4</f>
        <v>GRUPO A</v>
      </c>
      <c r="J19" s="161" t="str">
        <f>+'GRUPO C'!B4</f>
        <v>GRUPO C</v>
      </c>
      <c r="K19" s="162" t="str">
        <f>+'GRUPO C'!Q8</f>
        <v>Pts.</v>
      </c>
      <c r="L19" s="162" t="str">
        <f>+'GRUPO C'!R8</f>
        <v>PJ</v>
      </c>
      <c r="M19" s="162" t="str">
        <f>+'GRUPO C'!S8</f>
        <v>Gan.</v>
      </c>
      <c r="N19" s="162" t="str">
        <f>+'GRUPO C'!T8</f>
        <v>Emp.</v>
      </c>
      <c r="O19" s="162" t="str">
        <f>+'GRUPO C'!U8</f>
        <v>Per.</v>
      </c>
      <c r="P19" s="162" t="str">
        <f>+'GRUPO C'!V8</f>
        <v>GF</v>
      </c>
      <c r="Q19" s="162" t="str">
        <f>+'GRUPO C'!W8</f>
        <v>GC</v>
      </c>
      <c r="R19" s="162" t="str">
        <f>+'GRUPO C'!X8</f>
        <v>Dif.</v>
      </c>
      <c r="S19" s="162" t="str">
        <f>+'GRUPO C'!Y8</f>
        <v>Tj</v>
      </c>
    </row>
    <row r="20" spans="1:19" ht="21" customHeight="1" x14ac:dyDescent="0.3">
      <c r="A20" s="471"/>
      <c r="B20" s="156" t="str">
        <f>+'GRUPO A'!M29</f>
        <v>CANCHA 1 C</v>
      </c>
      <c r="C20" s="156" t="str">
        <f>+'GRUPO A'!C29</f>
        <v>12:50. p.m.</v>
      </c>
      <c r="D20" s="156" t="str">
        <f>+'GRUPO A'!E29</f>
        <v>JAGUARES F. C.</v>
      </c>
      <c r="E20" s="156">
        <f>+'GRUPO A'!G29</f>
        <v>0</v>
      </c>
      <c r="F20" s="156">
        <f>+'GRUPO A'!I29</f>
        <v>3</v>
      </c>
      <c r="G20" s="156" t="str">
        <f>+'GRUPO A'!K29</f>
        <v>JUDERCAR F. C.</v>
      </c>
      <c r="H20" s="157" t="str">
        <f>+'GRUPO A'!B4</f>
        <v>GRUPO A</v>
      </c>
      <c r="J20" s="160" t="str">
        <f>+'GRUPO C'!P10</f>
        <v xml:space="preserve">  1)  CLUB DEPORTIVO NASSUAR</v>
      </c>
      <c r="K20" s="154">
        <f>+'GRUPO C'!Q10</f>
        <v>7</v>
      </c>
      <c r="L20" s="154">
        <f>+'GRUPO C'!R10</f>
        <v>3</v>
      </c>
      <c r="M20" s="154">
        <f>+'GRUPO C'!S10</f>
        <v>2</v>
      </c>
      <c r="N20" s="154">
        <f>+'GRUPO C'!T10</f>
        <v>1</v>
      </c>
      <c r="O20" s="154">
        <f>+'GRUPO C'!U10</f>
        <v>0</v>
      </c>
      <c r="P20" s="154">
        <f>+'GRUPO C'!V10</f>
        <v>5</v>
      </c>
      <c r="Q20" s="154">
        <f>+'GRUPO C'!W10</f>
        <v>1</v>
      </c>
      <c r="R20" s="154">
        <f>+'GRUPO C'!X10</f>
        <v>4</v>
      </c>
      <c r="S20" s="154">
        <f>+'GRUPO C'!Y10</f>
        <v>0</v>
      </c>
    </row>
    <row r="21" spans="1:19" ht="21" customHeight="1" x14ac:dyDescent="0.3">
      <c r="A21" s="471"/>
      <c r="B21" s="154">
        <f>+'GRUPO B'!M26</f>
        <v>0</v>
      </c>
      <c r="C21" s="154">
        <f>+'GRUPO B'!C26</f>
        <v>0</v>
      </c>
      <c r="D21" s="154">
        <f>+'GRUPO B'!E26</f>
        <v>0</v>
      </c>
      <c r="E21" s="154">
        <f>+'GRUPO B'!G26</f>
        <v>0</v>
      </c>
      <c r="F21" s="154">
        <f>+'GRUPO B'!I26</f>
        <v>0</v>
      </c>
      <c r="G21" s="154">
        <f>+'GRUPO B'!K26</f>
        <v>0</v>
      </c>
      <c r="H21" s="155" t="str">
        <f>+'GRUPO B'!B4</f>
        <v>GRUPO B</v>
      </c>
      <c r="J21" s="160" t="str">
        <f>+'GRUPO C'!P12</f>
        <v xml:space="preserve">  2)  SPORTING CLUB VILLAVICENCIO</v>
      </c>
      <c r="K21" s="154">
        <f>+'GRUPO C'!Q12</f>
        <v>7</v>
      </c>
      <c r="L21" s="154">
        <f>+'GRUPO C'!R12</f>
        <v>3</v>
      </c>
      <c r="M21" s="154">
        <f>+'GRUPO C'!S12</f>
        <v>2</v>
      </c>
      <c r="N21" s="154">
        <f>+'GRUPO C'!T12</f>
        <v>1</v>
      </c>
      <c r="O21" s="154">
        <f>+'GRUPO C'!U12</f>
        <v>0</v>
      </c>
      <c r="P21" s="154">
        <f>+'GRUPO C'!V12</f>
        <v>6</v>
      </c>
      <c r="Q21" s="154">
        <f>+'GRUPO C'!W12</f>
        <v>3</v>
      </c>
      <c r="R21" s="154">
        <f>+'GRUPO C'!X12</f>
        <v>3</v>
      </c>
      <c r="S21" s="154">
        <f>+'GRUPO C'!Y12</f>
        <v>0</v>
      </c>
    </row>
    <row r="22" spans="1:19" ht="21" customHeight="1" x14ac:dyDescent="0.3">
      <c r="A22" s="471"/>
      <c r="B22" s="156" t="str">
        <f>+'GRUPO B'!M29</f>
        <v>CANCHA 1 A</v>
      </c>
      <c r="C22" s="156" t="str">
        <f>+'GRUPO B'!C29</f>
        <v>10:50. a.m.</v>
      </c>
      <c r="D22" s="156" t="str">
        <f>+'GRUPO B'!E29</f>
        <v>GOLDEN STEPS</v>
      </c>
      <c r="E22" s="156">
        <f>+'GRUPO B'!G29</f>
        <v>3</v>
      </c>
      <c r="F22" s="156">
        <f>+'GRUPO B'!I29</f>
        <v>0</v>
      </c>
      <c r="G22" s="156" t="str">
        <f>+'GRUPO B'!K29</f>
        <v>LIONTA F. C.</v>
      </c>
      <c r="H22" s="157" t="str">
        <f>+'GRUPO B'!B4</f>
        <v>GRUPO B</v>
      </c>
      <c r="J22" s="160" t="str">
        <f>+'GRUPO C'!P14</f>
        <v xml:space="preserve">  3)  LE MAX TEAM</v>
      </c>
      <c r="K22" s="154">
        <f>+'GRUPO C'!Q14</f>
        <v>1</v>
      </c>
      <c r="L22" s="154">
        <f>+'GRUPO C'!R14</f>
        <v>3</v>
      </c>
      <c r="M22" s="154">
        <f>+'GRUPO C'!S14</f>
        <v>0</v>
      </c>
      <c r="N22" s="154">
        <f>+'GRUPO C'!T14</f>
        <v>1</v>
      </c>
      <c r="O22" s="154">
        <f>+'GRUPO C'!U14</f>
        <v>2</v>
      </c>
      <c r="P22" s="154">
        <f>+'GRUPO C'!V14</f>
        <v>1</v>
      </c>
      <c r="Q22" s="154">
        <f>+'GRUPO C'!W14</f>
        <v>6</v>
      </c>
      <c r="R22" s="154">
        <f>+'GRUPO C'!X14</f>
        <v>-5</v>
      </c>
      <c r="S22" s="154">
        <f>+'GRUPO C'!Y14</f>
        <v>0</v>
      </c>
    </row>
    <row r="23" spans="1:19" ht="21" customHeight="1" x14ac:dyDescent="0.3">
      <c r="A23" s="471"/>
      <c r="B23" s="154" t="str">
        <f>+'GRUPO C'!M26</f>
        <v>CANCHA 1 C</v>
      </c>
      <c r="C23" s="154" t="str">
        <f>+'GRUPO C'!C26</f>
        <v>03:50. p.m.</v>
      </c>
      <c r="D23" s="154" t="str">
        <f>+'GRUPO C'!E26</f>
        <v>LE MAX TEAM</v>
      </c>
      <c r="E23" s="154">
        <f>+'GRUPO C'!G26</f>
        <v>0</v>
      </c>
      <c r="F23" s="154">
        <f>+'GRUPO C'!I26</f>
        <v>3</v>
      </c>
      <c r="G23" s="154" t="str">
        <f>+'GRUPO C'!K26</f>
        <v>CLUB DEPORTIVO NASSUAR</v>
      </c>
      <c r="H23" s="154" t="str">
        <f>+'GRUPO C'!B4</f>
        <v>GRUPO C</v>
      </c>
      <c r="J23" s="160">
        <f>+'GRUPO C'!P16</f>
        <v>0</v>
      </c>
      <c r="K23" s="154">
        <f>+'GRUPO C'!Q16</f>
        <v>0</v>
      </c>
      <c r="L23" s="154">
        <f>+'GRUPO C'!R16</f>
        <v>0</v>
      </c>
      <c r="M23" s="154">
        <f>+'GRUPO C'!S16</f>
        <v>0</v>
      </c>
      <c r="N23" s="154">
        <f>+'GRUPO C'!T16</f>
        <v>0</v>
      </c>
      <c r="O23" s="154">
        <f>+'GRUPO C'!U16</f>
        <v>0</v>
      </c>
      <c r="P23" s="154">
        <f>+'GRUPO C'!V16</f>
        <v>0</v>
      </c>
      <c r="Q23" s="154">
        <f>+'GRUPO C'!W16</f>
        <v>0</v>
      </c>
      <c r="R23" s="154">
        <f>+'GRUPO C'!X16</f>
        <v>0</v>
      </c>
      <c r="S23" s="154">
        <f>+'GRUPO C'!Y16</f>
        <v>0</v>
      </c>
    </row>
    <row r="24" spans="1:19" ht="21" customHeight="1" x14ac:dyDescent="0.3">
      <c r="A24" s="471"/>
      <c r="B24" s="156" t="str">
        <f>+'GRUPO C'!M29</f>
        <v>CANCHA 1 A</v>
      </c>
      <c r="C24" s="156" t="str">
        <f>+'GRUPO C'!C29</f>
        <v>12:50. p.m.</v>
      </c>
      <c r="D24" s="156" t="str">
        <f>+'GRUPO C'!E29</f>
        <v>LE MAX TEAM</v>
      </c>
      <c r="E24" s="156">
        <f>+'GRUPO C'!G29</f>
        <v>0</v>
      </c>
      <c r="F24" s="156">
        <f>+'GRUPO C'!I29</f>
        <v>2</v>
      </c>
      <c r="G24" s="156" t="str">
        <f>+'GRUPO C'!K29</f>
        <v>SPORTING CLUB VILLAVICENCIO</v>
      </c>
      <c r="H24" s="157" t="str">
        <f>+'GRUPO C'!B4</f>
        <v>GRUPO C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471"/>
      <c r="B25" s="154" t="str">
        <f>+'GRUPO D'!M26</f>
        <v>CANCHA 1 B</v>
      </c>
      <c r="C25" s="154" t="str">
        <f>+'GRUPO D'!C26</f>
        <v>09:50. a.m.</v>
      </c>
      <c r="D25" s="154" t="str">
        <f>+'GRUPO D'!E26</f>
        <v>E.D.F CHOCONTA</v>
      </c>
      <c r="E25" s="154">
        <f>+'GRUPO D'!G26</f>
        <v>1</v>
      </c>
      <c r="F25" s="154">
        <f>+'GRUPO D'!I26</f>
        <v>2</v>
      </c>
      <c r="G25" s="154" t="str">
        <f>+'GRUPO D'!K26</f>
        <v>IMPERIUM FÚTBOL CLUB</v>
      </c>
      <c r="H25" s="154" t="str">
        <f>+'GRUPO D'!B4</f>
        <v>GRUPO D</v>
      </c>
      <c r="J25" s="163" t="str">
        <f>+'GRUPO D'!B4</f>
        <v>GRUPO D</v>
      </c>
      <c r="K25" s="164" t="str">
        <f>+'GRUPO D'!Q8</f>
        <v>Pts.</v>
      </c>
      <c r="L25" s="164" t="str">
        <f>+'GRUPO D'!R8</f>
        <v>PJ</v>
      </c>
      <c r="M25" s="164" t="str">
        <f>+'GRUPO D'!S8</f>
        <v>Gan.</v>
      </c>
      <c r="N25" s="164" t="str">
        <f>+'GRUPO D'!T8</f>
        <v>Emp.</v>
      </c>
      <c r="O25" s="164" t="str">
        <f>+'GRUPO D'!U8</f>
        <v>Per.</v>
      </c>
      <c r="P25" s="164" t="str">
        <f>+'GRUPO D'!V8</f>
        <v>GF</v>
      </c>
      <c r="Q25" s="164" t="str">
        <f>+'GRUPO D'!W8</f>
        <v>GC</v>
      </c>
      <c r="R25" s="164" t="str">
        <f>+'GRUPO D'!X8</f>
        <v>Dif.</v>
      </c>
      <c r="S25" s="164" t="str">
        <f>+'GRUPO D'!Y8</f>
        <v>Tj</v>
      </c>
    </row>
    <row r="26" spans="1:19" ht="21" customHeight="1" x14ac:dyDescent="0.3">
      <c r="A26" s="471"/>
      <c r="B26" s="156" t="str">
        <f>+'GRUPO D'!M29</f>
        <v>CANCHA 1 A</v>
      </c>
      <c r="C26" s="156" t="str">
        <f>+'GRUPO D'!C29</f>
        <v>11:55. a.m.</v>
      </c>
      <c r="D26" s="156" t="str">
        <f>+'GRUPO D'!E29</f>
        <v>E.D.F CHOCONTA</v>
      </c>
      <c r="E26" s="156">
        <f>+'GRUPO D'!G29</f>
        <v>0</v>
      </c>
      <c r="F26" s="156">
        <f>+'GRUPO D'!I29</f>
        <v>0</v>
      </c>
      <c r="G26" s="156" t="str">
        <f>+'GRUPO D'!K29</f>
        <v>ACADEMIA F.C SEDE RESTREPO</v>
      </c>
      <c r="H26" s="157" t="str">
        <f>+'GRUPO D'!B4</f>
        <v>GRUPO D</v>
      </c>
      <c r="J26" s="160" t="str">
        <f>+'GRUPO D'!P10</f>
        <v xml:space="preserve">  1)  IMPERIUM FÚTBOL CLUB</v>
      </c>
      <c r="K26" s="154">
        <f>+'GRUPO D'!Q10</f>
        <v>7</v>
      </c>
      <c r="L26" s="154">
        <f>+'GRUPO D'!R10</f>
        <v>3</v>
      </c>
      <c r="M26" s="154">
        <f>+'GRUPO D'!S10</f>
        <v>2</v>
      </c>
      <c r="N26" s="154">
        <f>+'GRUPO D'!T10</f>
        <v>1</v>
      </c>
      <c r="O26" s="154">
        <f>+'GRUPO D'!U10</f>
        <v>0</v>
      </c>
      <c r="P26" s="154">
        <f>+'GRUPO D'!V10</f>
        <v>7</v>
      </c>
      <c r="Q26" s="154">
        <f>+'GRUPO D'!W10</f>
        <v>3</v>
      </c>
      <c r="R26" s="154">
        <f>+'GRUPO D'!X10</f>
        <v>4</v>
      </c>
      <c r="S26" s="154">
        <f>+'GRUPO D'!Y10</f>
        <v>0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463" t="str">
        <f>+'IMPRIMIR 3'!A17</f>
        <v>PARTIDOS                 fecha 3 ULTIMA</v>
      </c>
      <c r="C28" s="464"/>
      <c r="D28" s="464"/>
      <c r="E28" s="464"/>
      <c r="F28" s="464"/>
      <c r="G28" s="464"/>
      <c r="H28" s="465"/>
      <c r="J28" s="160" t="str">
        <f>+'GRUPO D'!P12</f>
        <v xml:space="preserve">  2)  E.D.F CHOCONTA</v>
      </c>
      <c r="K28" s="154">
        <f>+'GRUPO D'!Q12</f>
        <v>1</v>
      </c>
      <c r="L28" s="154">
        <f>+'GRUPO D'!R12</f>
        <v>3</v>
      </c>
      <c r="M28" s="154">
        <f>+'GRUPO D'!S12</f>
        <v>0</v>
      </c>
      <c r="N28" s="154">
        <f>+'GRUPO D'!T12</f>
        <v>1</v>
      </c>
      <c r="O28" s="154">
        <f>+'GRUPO D'!U12</f>
        <v>2</v>
      </c>
      <c r="P28" s="154">
        <f>+'GRUPO D'!V12</f>
        <v>2</v>
      </c>
      <c r="Q28" s="154">
        <f>+'GRUPO D'!W12</f>
        <v>4</v>
      </c>
      <c r="R28" s="154">
        <f>+'GRUPO D'!X12</f>
        <v>-2</v>
      </c>
      <c r="S28" s="154">
        <f>+'GRUPO D'!Y12</f>
        <v>0</v>
      </c>
    </row>
    <row r="29" spans="1:19" ht="21" customHeight="1" x14ac:dyDescent="0.3">
      <c r="B29" s="165" t="s">
        <v>68</v>
      </c>
      <c r="C29" s="165" t="s">
        <v>69</v>
      </c>
      <c r="D29" s="165" t="s">
        <v>70</v>
      </c>
      <c r="E29" s="469" t="s">
        <v>71</v>
      </c>
      <c r="F29" s="469"/>
      <c r="G29" s="165" t="s">
        <v>70</v>
      </c>
      <c r="H29" s="165" t="s">
        <v>72</v>
      </c>
      <c r="J29" s="160" t="str">
        <f>+'GRUPO D'!P14</f>
        <v xml:space="preserve">  3)  ACADEMIA F.C SEDE RESTREPO</v>
      </c>
      <c r="K29" s="154">
        <f>+'GRUPO D'!Q14</f>
        <v>1</v>
      </c>
      <c r="L29" s="154">
        <f>+'GRUPO D'!R14</f>
        <v>3</v>
      </c>
      <c r="M29" s="154">
        <f>+'GRUPO D'!S14</f>
        <v>0</v>
      </c>
      <c r="N29" s="154">
        <f>+'GRUPO D'!T14</f>
        <v>1</v>
      </c>
      <c r="O29" s="154">
        <f>+'GRUPO D'!U14</f>
        <v>2</v>
      </c>
      <c r="P29" s="154">
        <f>+'GRUPO D'!V14</f>
        <v>4</v>
      </c>
      <c r="Q29" s="154">
        <f>+'GRUPO D'!W14</f>
        <v>8</v>
      </c>
      <c r="R29" s="154">
        <f>+'GRUPO D'!X14</f>
        <v>-4</v>
      </c>
      <c r="S29" s="154">
        <f>+'GRUPO D'!Y14</f>
        <v>0</v>
      </c>
    </row>
    <row r="30" spans="1:19" ht="21" customHeight="1" x14ac:dyDescent="0.3">
      <c r="A30" s="470">
        <f>+'GRUPO A'!B32</f>
        <v>42967</v>
      </c>
      <c r="B30" s="154" t="str">
        <f>+'GRUPO A'!M32</f>
        <v>CANCHA 1 A</v>
      </c>
      <c r="C30" s="154" t="str">
        <f>+'GRUPO A'!C32</f>
        <v>09:50. a.m.</v>
      </c>
      <c r="D30" s="154" t="str">
        <f>+'GRUPO A'!E32</f>
        <v>TROYA F. C.</v>
      </c>
      <c r="E30" s="154">
        <f>+'GRUPO A'!G32</f>
        <v>1</v>
      </c>
      <c r="F30" s="154">
        <f>+'GRUPO A'!I32</f>
        <v>0</v>
      </c>
      <c r="G30" s="154" t="str">
        <f>+'GRUPO A'!K32</f>
        <v>JUDERCAR F. C.</v>
      </c>
      <c r="H30" s="155" t="str">
        <f>+'GRUPO A'!B4</f>
        <v>GRUPO A</v>
      </c>
      <c r="J30" s="160">
        <f>+'GRUPO D'!P16</f>
        <v>0</v>
      </c>
      <c r="K30" s="154">
        <f>+'GRUPO D'!Q16</f>
        <v>0</v>
      </c>
      <c r="L30" s="154">
        <f>+'GRUPO D'!R16</f>
        <v>0</v>
      </c>
      <c r="M30" s="154">
        <f>+'GRUPO D'!S16</f>
        <v>0</v>
      </c>
      <c r="N30" s="154">
        <f>+'GRUPO D'!T16</f>
        <v>0</v>
      </c>
      <c r="O30" s="154">
        <f>+'GRUPO D'!U16</f>
        <v>0</v>
      </c>
      <c r="P30" s="154">
        <f>+'GRUPO D'!V16</f>
        <v>0</v>
      </c>
      <c r="Q30" s="154">
        <f>+'GRUPO D'!W16</f>
        <v>0</v>
      </c>
      <c r="R30" s="154">
        <f>+'GRUPO D'!X16</f>
        <v>0</v>
      </c>
      <c r="S30" s="154">
        <f>+'GRUPO D'!Y16</f>
        <v>0</v>
      </c>
    </row>
    <row r="31" spans="1:19" ht="21" customHeight="1" x14ac:dyDescent="0.3">
      <c r="A31" s="471"/>
      <c r="B31" s="156">
        <f>+'GRUPO A'!M35</f>
        <v>0</v>
      </c>
      <c r="C31" s="156">
        <f>+'GRUPO A'!C35</f>
        <v>0</v>
      </c>
      <c r="D31" s="156">
        <f>+'GRUPO A'!E35</f>
        <v>0</v>
      </c>
      <c r="E31" s="156">
        <f>+'GRUPO A'!G35</f>
        <v>0</v>
      </c>
      <c r="F31" s="156">
        <f>+'GRUPO A'!I35</f>
        <v>0</v>
      </c>
      <c r="G31" s="156">
        <f>+'GRUPO A'!K35</f>
        <v>0</v>
      </c>
      <c r="H31" s="157" t="str">
        <f>+'GRUPO A'!B4</f>
        <v>GRUPO A</v>
      </c>
    </row>
    <row r="32" spans="1:19" ht="21" customHeight="1" x14ac:dyDescent="0.3">
      <c r="A32" s="471"/>
      <c r="B32" s="154" t="str">
        <f>+'GRUPO B'!M32</f>
        <v>CANCHA 1 A</v>
      </c>
      <c r="C32" s="154" t="str">
        <f>+'GRUPO B'!C32</f>
        <v>04:30. p.m.</v>
      </c>
      <c r="D32" s="154" t="str">
        <f>+'GRUPO B'!E32</f>
        <v>ATHLETIC MELGAR</v>
      </c>
      <c r="E32" s="154">
        <f>+'GRUPO B'!G32</f>
        <v>4</v>
      </c>
      <c r="F32" s="154">
        <f>+'GRUPO B'!I32</f>
        <v>0</v>
      </c>
      <c r="G32" s="154" t="str">
        <f>+'GRUPO B'!K32</f>
        <v>LIONTA F. C.</v>
      </c>
      <c r="H32" s="155" t="str">
        <f>+'GRUPO B'!B4</f>
        <v>GRUPO B</v>
      </c>
    </row>
    <row r="33" spans="1:8" ht="21" customHeight="1" x14ac:dyDescent="0.3">
      <c r="A33" s="471"/>
      <c r="B33" s="156">
        <f>+'GRUPO B'!M35</f>
        <v>0</v>
      </c>
      <c r="C33" s="156">
        <f>+'GRUPO B'!C35</f>
        <v>0</v>
      </c>
      <c r="D33" s="156">
        <f>+'GRUPO B'!E35</f>
        <v>0</v>
      </c>
      <c r="E33" s="156">
        <f>+'GRUPO B'!G35</f>
        <v>0</v>
      </c>
      <c r="F33" s="156">
        <f>+'GRUPO B'!I35</f>
        <v>0</v>
      </c>
      <c r="G33" s="156">
        <f>+'GRUPO B'!K35</f>
        <v>0</v>
      </c>
      <c r="H33" s="157" t="str">
        <f>+'GRUPO B'!B4</f>
        <v>GRUPO B</v>
      </c>
    </row>
    <row r="34" spans="1:8" ht="21" customHeight="1" x14ac:dyDescent="0.3">
      <c r="A34" s="471"/>
      <c r="B34" s="154" t="str">
        <f>+'GRUPO C'!M32</f>
        <v>CANCHA 1 C</v>
      </c>
      <c r="C34" s="154" t="str">
        <f>+'GRUPO C'!C32</f>
        <v>09:50. a.m.</v>
      </c>
      <c r="D34" s="154" t="str">
        <f>+'GRUPO C'!E32</f>
        <v>CLUB DEPORTIVO NASSUAR</v>
      </c>
      <c r="E34" s="154">
        <f>+'GRUPO C'!G32</f>
        <v>0</v>
      </c>
      <c r="F34" s="154">
        <f>+'GRUPO C'!I32</f>
        <v>0</v>
      </c>
      <c r="G34" s="154" t="str">
        <f>+'GRUPO C'!K32</f>
        <v>SPORTING CLUB VILLAVICENCIO</v>
      </c>
      <c r="H34" s="154" t="str">
        <f>+'GRUPO C'!B4</f>
        <v>GRUPO C</v>
      </c>
    </row>
    <row r="35" spans="1:8" ht="21" customHeight="1" x14ac:dyDescent="0.3">
      <c r="A35" s="471"/>
      <c r="B35" s="156">
        <f>+'GRUPO C'!M35</f>
        <v>0</v>
      </c>
      <c r="C35" s="156">
        <f>+'GRUPO C'!C35</f>
        <v>0</v>
      </c>
      <c r="D35" s="156">
        <f>+'GRUPO C'!E35</f>
        <v>0</v>
      </c>
      <c r="E35" s="156">
        <f>+'GRUPO C'!G35</f>
        <v>0</v>
      </c>
      <c r="F35" s="156">
        <f>+'GRUPO C'!I35</f>
        <v>0</v>
      </c>
      <c r="G35" s="156">
        <f>+'GRUPO C'!K35</f>
        <v>0</v>
      </c>
      <c r="H35" s="157" t="str">
        <f>+'GRUPO C'!B4</f>
        <v>GRUPO C</v>
      </c>
    </row>
    <row r="36" spans="1:8" ht="21" customHeight="1" x14ac:dyDescent="0.3">
      <c r="A36" s="471"/>
      <c r="B36" s="154" t="str">
        <f>+'GRUPO D'!M32</f>
        <v>CANCHA 1 A</v>
      </c>
      <c r="C36" s="154" t="str">
        <f>+'GRUPO D'!C32</f>
        <v>12:40. p.m.</v>
      </c>
      <c r="D36" s="154" t="str">
        <f>+'GRUPO D'!E32</f>
        <v>IMPERIUM FÚTBOL CLUB</v>
      </c>
      <c r="E36" s="154">
        <f>+'GRUPO D'!G32</f>
        <v>4</v>
      </c>
      <c r="F36" s="154">
        <f>+'GRUPO D'!I32</f>
        <v>1</v>
      </c>
      <c r="G36" s="154" t="str">
        <f>+'GRUPO D'!K32</f>
        <v>ACADEMIA F.C SEDE RESTREPO</v>
      </c>
      <c r="H36" s="154" t="str">
        <f>+'GRUPO D'!B4</f>
        <v>GRUPO D</v>
      </c>
    </row>
    <row r="37" spans="1:8" ht="21" customHeight="1" x14ac:dyDescent="0.3">
      <c r="A37" s="471"/>
      <c r="B37" s="156">
        <f>+'GRUPO D'!M35</f>
        <v>0</v>
      </c>
      <c r="C37" s="156">
        <f>+'GRUPO D'!C35</f>
        <v>0</v>
      </c>
      <c r="D37" s="156">
        <f>+'GRUPO D'!E35</f>
        <v>0</v>
      </c>
      <c r="E37" s="156">
        <f>+'GRUPO D'!G35</f>
        <v>0</v>
      </c>
      <c r="F37" s="156">
        <f>+'GRUPO D'!I35</f>
        <v>0</v>
      </c>
      <c r="G37" s="156">
        <f>+'GRUPO D'!K35</f>
        <v>0</v>
      </c>
      <c r="H37" s="157" t="str">
        <f>+'GRUPO D'!B4</f>
        <v>GRUPO D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" customHeight="1" x14ac:dyDescent="0.3">
      <c r="B39" s="472" t="e">
        <f>+#REF!</f>
        <v>#REF!</v>
      </c>
      <c r="C39" s="473"/>
      <c r="D39" s="473"/>
      <c r="E39" s="473"/>
      <c r="F39" s="473"/>
      <c r="G39" s="473"/>
      <c r="H39" s="474"/>
    </row>
    <row r="40" spans="1:8" ht="21" customHeight="1" x14ac:dyDescent="0.3">
      <c r="B40" s="165" t="s">
        <v>68</v>
      </c>
      <c r="C40" s="165" t="s">
        <v>69</v>
      </c>
      <c r="D40" s="165" t="s">
        <v>70</v>
      </c>
      <c r="E40" s="469" t="s">
        <v>71</v>
      </c>
      <c r="F40" s="469"/>
      <c r="G40" s="165" t="s">
        <v>70</v>
      </c>
      <c r="H40" s="165" t="s">
        <v>75</v>
      </c>
    </row>
    <row r="41" spans="1:8" ht="21" customHeight="1" x14ac:dyDescent="0.3">
      <c r="A41" s="470">
        <f>+'CUARTOS DE FINAL.'!B9</f>
        <v>42596</v>
      </c>
      <c r="B41" s="155" t="str">
        <f>+'CUARTOS DE FINAL.'!N6</f>
        <v>PALMARA</v>
      </c>
      <c r="C41" s="154" t="str">
        <f>+'CUARTOS DE FINAL.'!D6</f>
        <v>03:00. p.m.</v>
      </c>
      <c r="D41" s="154" t="e">
        <f>+'CUARTOS DE FINAL.'!G6</f>
        <v>#N/A</v>
      </c>
      <c r="E41" s="154">
        <f>+'CUARTOS DE FINAL.'!H6</f>
        <v>1</v>
      </c>
      <c r="F41" s="154">
        <f>+'CUARTOS DE FINAL.'!J6</f>
        <v>2</v>
      </c>
      <c r="G41" s="154" t="str">
        <f>+'CUARTOS DE FINAL.'!L6</f>
        <v>SPORTING CLUB VILLAVICENCIO</v>
      </c>
      <c r="H41" s="155" t="str">
        <f>+'CUARTOS DE FINAL.'!C6</f>
        <v>LLAVE A</v>
      </c>
    </row>
    <row r="42" spans="1:8" ht="21" customHeight="1" x14ac:dyDescent="0.3">
      <c r="A42" s="470"/>
      <c r="B42" s="157" t="str">
        <f>+'CUARTOS DE FINAL.'!N9</f>
        <v>CANCHA 2</v>
      </c>
      <c r="C42" s="156" t="str">
        <f>+'CUARTOS DE FINAL.'!D9</f>
        <v>04:20. p.m.</v>
      </c>
      <c r="D42" s="156" t="str">
        <f>+'CUARTOS DE FINAL.'!G9</f>
        <v>ATHLETIC MELGAR</v>
      </c>
      <c r="E42" s="156">
        <f>+'CUARTOS DE FINAL.'!H9</f>
        <v>2</v>
      </c>
      <c r="F42" s="156">
        <f>+'CUARTOS DE FINAL.'!J9</f>
        <v>1</v>
      </c>
      <c r="G42" s="156" t="str">
        <f>+'CUARTOS DE FINAL.'!L9</f>
        <v>E.D.F CHOCONTA</v>
      </c>
      <c r="H42" s="157" t="str">
        <f>+'CUARTOS DE FINAL.'!C9</f>
        <v>LLAVE B</v>
      </c>
    </row>
    <row r="43" spans="1:8" ht="21" customHeight="1" x14ac:dyDescent="0.3">
      <c r="A43" s="470"/>
      <c r="B43" s="155" t="str">
        <f>+'CUARTOS DE FINAL.'!N12</f>
        <v>CANCHA 2</v>
      </c>
      <c r="C43" s="154" t="str">
        <f>+'CUARTOS DE FINAL.'!D12</f>
        <v>03:00. p.m.</v>
      </c>
      <c r="D43" s="154" t="str">
        <f>+'CUARTOS DE FINAL.'!G12</f>
        <v>CLUB DEPORTIVO NASSUAR</v>
      </c>
      <c r="E43" s="154">
        <f>+'CUARTOS DE FINAL.'!H12</f>
        <v>1</v>
      </c>
      <c r="F43" s="154">
        <f>+'CUARTOS DE FINAL.'!J12</f>
        <v>2</v>
      </c>
      <c r="G43" s="154" t="e">
        <f>+'CUARTOS DE FINAL.'!L12</f>
        <v>#N/A</v>
      </c>
      <c r="H43" s="155" t="str">
        <f>+'CUARTOS DE FINAL.'!C12</f>
        <v>LLAVE C</v>
      </c>
    </row>
    <row r="44" spans="1:8" ht="21" customHeight="1" x14ac:dyDescent="0.3">
      <c r="A44" s="470"/>
      <c r="B44" s="157" t="str">
        <f>+'CUARTOS DE FINAL.'!N15</f>
        <v>PALMARA</v>
      </c>
      <c r="C44" s="156" t="str">
        <f>+'CUARTOS DE FINAL.'!D15</f>
        <v>04:20. p.m.</v>
      </c>
      <c r="D44" s="156" t="str">
        <f>+'CUARTOS DE FINAL.'!G15</f>
        <v>IMPERIUM FÚTBOL CLUB</v>
      </c>
      <c r="E44" s="156">
        <f>+'CUARTOS DE FINAL.'!H15</f>
        <v>2</v>
      </c>
      <c r="F44" s="156">
        <f>+'CUARTOS DE FINAL.'!J15</f>
        <v>1</v>
      </c>
      <c r="G44" s="156" t="str">
        <f>+'CUARTOS DE FINAL.'!L15</f>
        <v>GOLDEN STEPS</v>
      </c>
      <c r="H44" s="157" t="str">
        <f>+'CUARTOS DE FINAL.'!C15</f>
        <v>LLAVE D</v>
      </c>
    </row>
    <row r="45" spans="1:8" ht="21" customHeight="1" x14ac:dyDescent="0.3">
      <c r="A45" s="166"/>
      <c r="B45" s="1"/>
      <c r="C45" s="1"/>
      <c r="D45" s="1"/>
      <c r="E45" s="1"/>
      <c r="F45" s="1"/>
      <c r="G45" s="1"/>
      <c r="H45" s="1"/>
    </row>
  </sheetData>
  <mergeCells count="17">
    <mergeCell ref="E29:F29"/>
    <mergeCell ref="A30:A37"/>
    <mergeCell ref="B39:H39"/>
    <mergeCell ref="E40:F40"/>
    <mergeCell ref="A41:A44"/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466" t="e">
        <f>+'PRE INFANTIL GRUPOS'!B1:I1</f>
        <v>#VALUE!</v>
      </c>
      <c r="B1" s="466"/>
      <c r="C1" s="466"/>
      <c r="D1" s="466"/>
      <c r="E1" s="466"/>
      <c r="F1" s="466"/>
      <c r="G1" s="466"/>
      <c r="H1" s="466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</row>
    <row r="2" spans="1:19" ht="28.8" x14ac:dyDescent="0.55000000000000004">
      <c r="A2" s="467" t="e">
        <f>+'PRE INFANTIL GRUPOS'!B2:I2</f>
        <v>#VALUE!</v>
      </c>
      <c r="B2" s="467"/>
      <c r="C2" s="467"/>
      <c r="D2" s="467"/>
      <c r="E2" s="467"/>
      <c r="F2" s="467"/>
      <c r="G2" s="467"/>
      <c r="H2" s="467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</row>
    <row r="3" spans="1:19" ht="28.8" x14ac:dyDescent="0.55000000000000004">
      <c r="A3" s="467" t="str">
        <f>+'PRE INFANTIL GRUPOS'!C3</f>
        <v>DICIEMBRE 4 AL 6 DEL 2024</v>
      </c>
      <c r="B3" s="467"/>
      <c r="C3" s="467"/>
      <c r="D3" s="467"/>
      <c r="E3" s="467"/>
      <c r="F3" s="467"/>
      <c r="G3" s="467"/>
      <c r="H3" s="467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</row>
    <row r="4" spans="1:19" ht="21" x14ac:dyDescent="0.4">
      <c r="A4" s="468" t="str">
        <f>+'PRE INFANTIL GRUPOS'!C4</f>
        <v>NACIDOS 2010 2011</v>
      </c>
      <c r="B4" s="468"/>
      <c r="C4" s="468"/>
      <c r="D4" s="468"/>
      <c r="E4" s="468"/>
      <c r="F4" s="468"/>
      <c r="G4" s="468"/>
      <c r="H4" s="468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</row>
    <row r="5" spans="1:19" ht="21" x14ac:dyDescent="0.4">
      <c r="A5" s="468" t="s">
        <v>73</v>
      </c>
      <c r="B5" s="468"/>
      <c r="C5" s="468"/>
      <c r="D5" s="468"/>
      <c r="E5" s="468"/>
      <c r="F5" s="468"/>
      <c r="G5" s="468"/>
      <c r="H5" s="468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</row>
    <row r="6" spans="1:19" ht="21" hidden="1" customHeight="1" x14ac:dyDescent="0.3">
      <c r="A6"/>
      <c r="B6" s="463" t="str">
        <f>+IMPRIMIR!A14</f>
        <v>PARTIDOS                 fecha 1</v>
      </c>
      <c r="C6" s="464"/>
      <c r="D6" s="464"/>
      <c r="E6" s="464"/>
      <c r="F6" s="464"/>
      <c r="G6" s="464"/>
      <c r="H6" s="465"/>
      <c r="J6" s="159" t="str">
        <f>+'GRUPO A'!B4</f>
        <v>GRUPO A</v>
      </c>
      <c r="K6" s="159">
        <f>+'GRUPO A'!Q20</f>
        <v>0</v>
      </c>
      <c r="L6" s="159">
        <f>+'GRUPO A'!R20</f>
        <v>0</v>
      </c>
      <c r="M6" s="159">
        <f>+'GRUPO A'!S20</f>
        <v>0</v>
      </c>
      <c r="N6" s="159">
        <f>+'GRUPO A'!T20</f>
        <v>0</v>
      </c>
      <c r="O6" s="159">
        <f>+'GRUPO A'!U20</f>
        <v>0</v>
      </c>
      <c r="P6" s="159">
        <f>+'GRUPO A'!V20</f>
        <v>0</v>
      </c>
      <c r="Q6" s="159">
        <f>+'GRUPO A'!W20</f>
        <v>0</v>
      </c>
      <c r="R6" s="159">
        <f>+'GRUPO A'!X20</f>
        <v>0</v>
      </c>
      <c r="S6" s="159">
        <f>+'GRUPO A'!Y20</f>
        <v>0</v>
      </c>
    </row>
    <row r="7" spans="1:19" hidden="1" x14ac:dyDescent="0.3">
      <c r="B7" s="165" t="s">
        <v>68</v>
      </c>
      <c r="C7" s="165" t="s">
        <v>69</v>
      </c>
      <c r="D7" s="165" t="s">
        <v>70</v>
      </c>
      <c r="E7" s="469" t="s">
        <v>71</v>
      </c>
      <c r="F7" s="469"/>
      <c r="G7" s="165" t="s">
        <v>70</v>
      </c>
      <c r="H7" s="165" t="s">
        <v>72</v>
      </c>
      <c r="J7" s="160">
        <f>+'GRUPO A'!P22</f>
        <v>0</v>
      </c>
      <c r="K7" s="154">
        <f>+'GRUPO A'!Q22</f>
        <v>0</v>
      </c>
      <c r="L7" s="154">
        <f>+'GRUPO A'!R22</f>
        <v>0</v>
      </c>
      <c r="M7" s="154">
        <f>+'GRUPO A'!S22</f>
        <v>0</v>
      </c>
      <c r="N7" s="154">
        <f>+'GRUPO A'!T22</f>
        <v>0</v>
      </c>
      <c r="O7" s="154">
        <f>+'GRUPO A'!U22</f>
        <v>0</v>
      </c>
      <c r="P7" s="154">
        <f>+'GRUPO A'!V22</f>
        <v>0</v>
      </c>
      <c r="Q7" s="154">
        <f>+'GRUPO A'!W22</f>
        <v>0</v>
      </c>
      <c r="R7" s="154">
        <f>+'GRUPO A'!X22</f>
        <v>0</v>
      </c>
      <c r="S7" s="154">
        <f>+'GRUPO A'!Y22</f>
        <v>0</v>
      </c>
    </row>
    <row r="8" spans="1:19" ht="21" hidden="1" customHeight="1" x14ac:dyDescent="0.3">
      <c r="A8" s="470">
        <f>+'GRUPO A'!B20</f>
        <v>0</v>
      </c>
      <c r="B8" s="154">
        <f>+'GRUPO A'!M20</f>
        <v>0</v>
      </c>
      <c r="C8" s="154">
        <f>+'GRUPO A'!C20</f>
        <v>0</v>
      </c>
      <c r="D8" s="154">
        <f>+'GRUPO A'!E20</f>
        <v>0</v>
      </c>
      <c r="E8" s="154">
        <f>+'GRUPO A'!G20</f>
        <v>0</v>
      </c>
      <c r="F8" s="154">
        <f>+'GRUPO A'!I20</f>
        <v>0</v>
      </c>
      <c r="G8" s="154">
        <f>+'GRUPO A'!K20</f>
        <v>0</v>
      </c>
      <c r="H8" s="154" t="str">
        <f>+'GRUPO A'!B4</f>
        <v>GRUPO A</v>
      </c>
      <c r="J8" s="160">
        <f>+'GRUPO A'!P24</f>
        <v>0</v>
      </c>
      <c r="K8" s="154">
        <f>+'GRUPO A'!Q24</f>
        <v>0</v>
      </c>
      <c r="L8" s="154">
        <f>+'GRUPO A'!R24</f>
        <v>0</v>
      </c>
      <c r="M8" s="154">
        <f>+'GRUPO A'!S24</f>
        <v>0</v>
      </c>
      <c r="N8" s="154">
        <f>+'GRUPO A'!T24</f>
        <v>0</v>
      </c>
      <c r="O8" s="154">
        <f>+'GRUPO A'!U24</f>
        <v>0</v>
      </c>
      <c r="P8" s="154">
        <f>+'GRUPO A'!V24</f>
        <v>0</v>
      </c>
      <c r="Q8" s="154">
        <f>+'GRUPO A'!W24</f>
        <v>0</v>
      </c>
      <c r="R8" s="154">
        <f>+'GRUPO A'!X24</f>
        <v>0</v>
      </c>
      <c r="S8" s="154">
        <f>+'GRUPO A'!Y24</f>
        <v>0</v>
      </c>
    </row>
    <row r="9" spans="1:19" ht="21" hidden="1" customHeight="1" x14ac:dyDescent="0.3">
      <c r="A9" s="471"/>
      <c r="B9" s="156">
        <f>+'GRUPO A'!M23</f>
        <v>0</v>
      </c>
      <c r="C9" s="156">
        <f>+'GRUPO A'!C23</f>
        <v>0</v>
      </c>
      <c r="D9" s="156">
        <f>+'GRUPO A'!E23</f>
        <v>0</v>
      </c>
      <c r="E9" s="156">
        <f>+'GRUPO A'!G23</f>
        <v>0</v>
      </c>
      <c r="F9" s="156">
        <f>+'GRUPO A'!I23</f>
        <v>0</v>
      </c>
      <c r="G9" s="156">
        <f>+'GRUPO A'!K23</f>
        <v>0</v>
      </c>
      <c r="H9" s="157" t="str">
        <f>+'GRUPO A'!B4</f>
        <v>GRUPO A</v>
      </c>
      <c r="J9" s="160">
        <f>+'GRUPO A'!P26</f>
        <v>0</v>
      </c>
      <c r="K9" s="154">
        <f>+'GRUPO A'!Q26</f>
        <v>0</v>
      </c>
      <c r="L9" s="154">
        <f>+'GRUPO A'!R26</f>
        <v>0</v>
      </c>
      <c r="M9" s="154">
        <f>+'GRUPO A'!S26</f>
        <v>0</v>
      </c>
      <c r="N9" s="154">
        <f>+'GRUPO A'!T26</f>
        <v>0</v>
      </c>
      <c r="O9" s="154">
        <f>+'GRUPO A'!U26</f>
        <v>0</v>
      </c>
      <c r="P9" s="154">
        <f>+'GRUPO A'!V26</f>
        <v>0</v>
      </c>
      <c r="Q9" s="154">
        <f>+'GRUPO A'!W26</f>
        <v>0</v>
      </c>
      <c r="R9" s="154">
        <f>+'GRUPO A'!X26</f>
        <v>0</v>
      </c>
      <c r="S9" s="154">
        <f>+'GRUPO A'!Y26</f>
        <v>0</v>
      </c>
    </row>
    <row r="10" spans="1:19" ht="21" hidden="1" customHeight="1" x14ac:dyDescent="0.3">
      <c r="A10" s="471"/>
      <c r="B10" s="154">
        <f>+'GRUPO B'!M20</f>
        <v>0</v>
      </c>
      <c r="C10" s="154">
        <f>+'GRUPO B'!C20</f>
        <v>0</v>
      </c>
      <c r="D10" s="154">
        <f>+'GRUPO B'!E20</f>
        <v>0</v>
      </c>
      <c r="E10" s="154">
        <f>+'GRUPO B'!G20</f>
        <v>0</v>
      </c>
      <c r="F10" s="154">
        <f>+'GRUPO B'!I20</f>
        <v>0</v>
      </c>
      <c r="G10" s="154">
        <f>+'GRUPO B'!K20</f>
        <v>0</v>
      </c>
      <c r="H10" s="154" t="str">
        <f>+'GRUPO B'!B4</f>
        <v>GRUPO B</v>
      </c>
      <c r="J10" s="160">
        <f>+'GRUPO A'!P28</f>
        <v>0</v>
      </c>
      <c r="K10" s="154">
        <f>+'GRUPO A'!Q28</f>
        <v>0</v>
      </c>
      <c r="L10" s="154">
        <f>+'GRUPO A'!R28</f>
        <v>0</v>
      </c>
      <c r="M10" s="154">
        <f>+'GRUPO A'!S28</f>
        <v>0</v>
      </c>
      <c r="N10" s="154">
        <f>+'GRUPO A'!T28</f>
        <v>0</v>
      </c>
      <c r="O10" s="154">
        <f>+'GRUPO A'!U28</f>
        <v>0</v>
      </c>
      <c r="P10" s="154">
        <f>+'GRUPO A'!V28</f>
        <v>0</v>
      </c>
      <c r="Q10" s="154">
        <f>+'GRUPO A'!W28</f>
        <v>0</v>
      </c>
      <c r="R10" s="154">
        <f>+'GRUPO A'!X28</f>
        <v>0</v>
      </c>
      <c r="S10" s="154">
        <f>+'GRUPO A'!Y28</f>
        <v>0</v>
      </c>
    </row>
    <row r="11" spans="1:19" ht="21" hidden="1" customHeight="1" x14ac:dyDescent="0.3">
      <c r="A11" s="471"/>
      <c r="B11" s="156">
        <f>+'GRUPO B'!M23</f>
        <v>0</v>
      </c>
      <c r="C11" s="156">
        <f>+'GRUPO B'!C23</f>
        <v>0</v>
      </c>
      <c r="D11" s="156">
        <f>+'GRUPO B'!E23</f>
        <v>0</v>
      </c>
      <c r="E11" s="156">
        <f>+'GRUPO B'!G23</f>
        <v>0</v>
      </c>
      <c r="F11" s="156">
        <f>+'GRUPO B'!I23</f>
        <v>0</v>
      </c>
      <c r="G11" s="156">
        <f>+'GRUPO B'!K23</f>
        <v>0</v>
      </c>
      <c r="H11" s="157" t="str">
        <f>+'GRUPO B'!B4</f>
        <v>GRUPO B</v>
      </c>
    </row>
    <row r="12" spans="1:19" ht="21" hidden="1" customHeight="1" x14ac:dyDescent="0.3">
      <c r="A12" s="471"/>
      <c r="B12" s="154">
        <f>+'GRUPO C'!M20</f>
        <v>0</v>
      </c>
      <c r="C12" s="154">
        <f>+'GRUPO C'!C20</f>
        <v>0</v>
      </c>
      <c r="D12" s="154">
        <f>+'GRUPO C'!E20</f>
        <v>0</v>
      </c>
      <c r="E12" s="154">
        <f>+'GRUPO C'!G20</f>
        <v>0</v>
      </c>
      <c r="F12" s="154">
        <f>+'GRUPO C'!I20</f>
        <v>0</v>
      </c>
      <c r="G12" s="154">
        <f>+'GRUPO C'!K20</f>
        <v>0</v>
      </c>
      <c r="H12" s="154" t="str">
        <f>+'GRUPO C'!B4</f>
        <v>GRUPO C</v>
      </c>
      <c r="J12" s="158" t="str">
        <f>+'GRUPO B'!B4</f>
        <v>GRUPO B</v>
      </c>
      <c r="K12" s="158" t="str">
        <f>+'GRUPO B'!Q8</f>
        <v>Pts.</v>
      </c>
      <c r="L12" s="158" t="str">
        <f>+'GRUPO B'!R8</f>
        <v>PJ</v>
      </c>
      <c r="M12" s="158" t="str">
        <f>+'GRUPO B'!S8</f>
        <v>Gan.</v>
      </c>
      <c r="N12" s="158" t="str">
        <f>+'GRUPO B'!T8</f>
        <v>Emp.</v>
      </c>
      <c r="O12" s="158" t="str">
        <f>+'GRUPO B'!U8</f>
        <v>Per.</v>
      </c>
      <c r="P12" s="158" t="str">
        <f>+'GRUPO B'!V8</f>
        <v>GF</v>
      </c>
      <c r="Q12" s="158" t="str">
        <f>+'GRUPO B'!W8</f>
        <v>GC</v>
      </c>
      <c r="R12" s="158" t="str">
        <f>+'GRUPO B'!X8</f>
        <v>Dif.</v>
      </c>
      <c r="S12" s="158" t="str">
        <f>+'GRUPO B'!Y8</f>
        <v>Tj</v>
      </c>
    </row>
    <row r="13" spans="1:19" ht="21" hidden="1" customHeight="1" x14ac:dyDescent="0.3">
      <c r="A13" s="471"/>
      <c r="B13" s="156">
        <f>+'GRUPO C'!M23</f>
        <v>0</v>
      </c>
      <c r="C13" s="156">
        <f>+'GRUPO C'!C23</f>
        <v>0</v>
      </c>
      <c r="D13" s="156">
        <f>+'GRUPO C'!E23</f>
        <v>0</v>
      </c>
      <c r="E13" s="156">
        <f>+'GRUPO C'!G20</f>
        <v>0</v>
      </c>
      <c r="F13" s="156">
        <f>+'GRUPO C'!I23</f>
        <v>0</v>
      </c>
      <c r="G13" s="156">
        <f>+'GRUPO C'!K20</f>
        <v>0</v>
      </c>
      <c r="H13" s="157" t="str">
        <f>+'GRUPO C'!B4</f>
        <v>GRUPO C</v>
      </c>
      <c r="J13" s="160" t="str">
        <f>+'GRUPO B'!P10</f>
        <v xml:space="preserve">  1)  ATHLETIC MELGAR</v>
      </c>
      <c r="K13" s="154">
        <f>+'GRUPO B'!Q10</f>
        <v>6</v>
      </c>
      <c r="L13" s="154">
        <f>+'GRUPO B'!R10</f>
        <v>3</v>
      </c>
      <c r="M13" s="154">
        <f>+'GRUPO B'!S10</f>
        <v>2</v>
      </c>
      <c r="N13" s="154">
        <f>+'GRUPO B'!T10</f>
        <v>0</v>
      </c>
      <c r="O13" s="154">
        <f>+'GRUPO B'!U10</f>
        <v>1</v>
      </c>
      <c r="P13" s="154">
        <f>+'GRUPO B'!V10</f>
        <v>9</v>
      </c>
      <c r="Q13" s="154">
        <f>+'GRUPO B'!W10</f>
        <v>2</v>
      </c>
      <c r="R13" s="154">
        <f>+'GRUPO B'!X10</f>
        <v>7</v>
      </c>
      <c r="S13" s="154">
        <f>+'GRUPO B'!Y10</f>
        <v>0</v>
      </c>
    </row>
    <row r="14" spans="1:19" ht="21" hidden="1" customHeight="1" x14ac:dyDescent="0.3">
      <c r="A14" s="471"/>
      <c r="B14" s="154">
        <f>+'GRUPO D'!M20</f>
        <v>0</v>
      </c>
      <c r="C14" s="154">
        <f>+'GRUPO D'!C20</f>
        <v>0</v>
      </c>
      <c r="D14" s="154">
        <f>+'GRUPO D'!E20</f>
        <v>0</v>
      </c>
      <c r="E14" s="154">
        <f>+'GRUPO D'!G20</f>
        <v>0</v>
      </c>
      <c r="F14" s="154">
        <f>+'GRUPO D'!I20</f>
        <v>0</v>
      </c>
      <c r="G14" s="154">
        <f>+'GRUPO D'!K20</f>
        <v>0</v>
      </c>
      <c r="H14" s="154" t="str">
        <f>+'GRUPO D'!B4</f>
        <v>GRUPO D</v>
      </c>
      <c r="J14" s="160" t="str">
        <f>+'GRUPO B'!P12</f>
        <v xml:space="preserve">  2)  GOLDEN STEPS</v>
      </c>
      <c r="K14" s="154">
        <f>+'GRUPO B'!Q12</f>
        <v>4</v>
      </c>
      <c r="L14" s="154">
        <f>+'GRUPO B'!R12</f>
        <v>3</v>
      </c>
      <c r="M14" s="154">
        <f>+'GRUPO B'!S12</f>
        <v>1</v>
      </c>
      <c r="N14" s="154">
        <f>+'GRUPO B'!T12</f>
        <v>1</v>
      </c>
      <c r="O14" s="154">
        <f>+'GRUPO B'!U12</f>
        <v>1</v>
      </c>
      <c r="P14" s="154">
        <f>+'GRUPO B'!V12</f>
        <v>4</v>
      </c>
      <c r="Q14" s="154">
        <f>+'GRUPO B'!W12</f>
        <v>5</v>
      </c>
      <c r="R14" s="154">
        <f>+'GRUPO B'!X12</f>
        <v>-1</v>
      </c>
      <c r="S14" s="154">
        <f>+'GRUPO B'!Y12</f>
        <v>0</v>
      </c>
    </row>
    <row r="15" spans="1:19" ht="21" hidden="1" customHeight="1" x14ac:dyDescent="0.3">
      <c r="A15" s="471"/>
      <c r="B15" s="156">
        <f>+'GRUPO D'!M23</f>
        <v>0</v>
      </c>
      <c r="C15" s="156">
        <f>+'GRUPO D'!C23</f>
        <v>0</v>
      </c>
      <c r="D15" s="156">
        <f>+'GRUPO D'!E23</f>
        <v>0</v>
      </c>
      <c r="E15" s="156">
        <f>+'GRUPO D'!G23</f>
        <v>0</v>
      </c>
      <c r="F15" s="156">
        <f>+'GRUPO D'!I23</f>
        <v>0</v>
      </c>
      <c r="G15" s="156">
        <f>+'GRUPO D'!K23</f>
        <v>0</v>
      </c>
      <c r="H15" s="157" t="str">
        <f>+'GRUPO D'!B4</f>
        <v>GRUPO D</v>
      </c>
      <c r="J15" s="160" t="str">
        <f>+'GRUPO B'!P14</f>
        <v xml:space="preserve">  3)  LIONTA F. C.</v>
      </c>
      <c r="K15" s="154">
        <f>+'GRUPO B'!Q14</f>
        <v>0</v>
      </c>
      <c r="L15" s="154">
        <f>+'GRUPO B'!R14</f>
        <v>3</v>
      </c>
      <c r="M15" s="154">
        <f>+'GRUPO B'!S14</f>
        <v>0</v>
      </c>
      <c r="N15" s="154">
        <f>+'GRUPO B'!T14</f>
        <v>0</v>
      </c>
      <c r="O15" s="154">
        <f>+'GRUPO B'!U14</f>
        <v>3</v>
      </c>
      <c r="P15" s="154">
        <f>+'GRUPO B'!V14</f>
        <v>0</v>
      </c>
      <c r="Q15" s="154">
        <f>+'GRUPO B'!W14</f>
        <v>13</v>
      </c>
      <c r="R15" s="154">
        <f>+'GRUPO B'!X14</f>
        <v>-13</v>
      </c>
      <c r="S15" s="154">
        <f>+'GRUPO B'!Y14</f>
        <v>0</v>
      </c>
    </row>
    <row r="16" spans="1:19" ht="2.25" hidden="1" customHeight="1" x14ac:dyDescent="0.3">
      <c r="J16" s="168"/>
    </row>
    <row r="17" spans="1:19" ht="21" hidden="1" customHeight="1" x14ac:dyDescent="0.3">
      <c r="B17" s="472" t="str">
        <f>+'IMPRIMIR 2'!A14</f>
        <v>PARTIDOS                 fecha 2</v>
      </c>
      <c r="C17" s="473"/>
      <c r="D17" s="473"/>
      <c r="E17" s="473"/>
      <c r="F17" s="473"/>
      <c r="G17" s="473"/>
      <c r="H17" s="474"/>
      <c r="J17" s="160">
        <f>+'GRUPO B'!P16</f>
        <v>0</v>
      </c>
      <c r="K17" s="154">
        <f>+'GRUPO B'!Q16</f>
        <v>0</v>
      </c>
      <c r="L17" s="154">
        <f>+'GRUPO B'!R16</f>
        <v>0</v>
      </c>
      <c r="M17" s="154">
        <f>+'GRUPO B'!S16</f>
        <v>0</v>
      </c>
      <c r="N17" s="154">
        <f>+'GRUPO B'!T16</f>
        <v>0</v>
      </c>
      <c r="O17" s="154">
        <f>+'GRUPO B'!U16</f>
        <v>0</v>
      </c>
      <c r="P17" s="154">
        <f>+'GRUPO B'!V16</f>
        <v>0</v>
      </c>
      <c r="Q17" s="154">
        <f>+'GRUPO B'!W16</f>
        <v>0</v>
      </c>
      <c r="R17" s="154">
        <f>+'GRUPO B'!X16</f>
        <v>0</v>
      </c>
      <c r="S17" s="154">
        <f>+'GRUPO B'!Y16</f>
        <v>0</v>
      </c>
    </row>
    <row r="18" spans="1:19" ht="21" hidden="1" customHeight="1" x14ac:dyDescent="0.3">
      <c r="B18" s="165" t="s">
        <v>68</v>
      </c>
      <c r="C18" s="165" t="s">
        <v>69</v>
      </c>
      <c r="D18" s="165" t="s">
        <v>70</v>
      </c>
      <c r="E18" s="469" t="s">
        <v>71</v>
      </c>
      <c r="F18" s="469"/>
      <c r="G18" s="165" t="s">
        <v>70</v>
      </c>
      <c r="H18" s="165" t="s">
        <v>72</v>
      </c>
    </row>
    <row r="19" spans="1:19" ht="21" hidden="1" customHeight="1" x14ac:dyDescent="0.3">
      <c r="A19" s="470">
        <f>+'GRUPO A'!B26</f>
        <v>0</v>
      </c>
      <c r="B19" s="154">
        <f>+'GRUPO A'!M26</f>
        <v>0</v>
      </c>
      <c r="C19" s="154">
        <f>+'GRUPO A'!C26</f>
        <v>0</v>
      </c>
      <c r="D19" s="154">
        <f>+'GRUPO A'!E26</f>
        <v>0</v>
      </c>
      <c r="E19" s="154">
        <f>+'GRUPO A'!G26</f>
        <v>0</v>
      </c>
      <c r="F19" s="154">
        <f>+'GRUPO A'!I26</f>
        <v>0</v>
      </c>
      <c r="G19" s="154">
        <f>+'GRUPO A'!K26</f>
        <v>0</v>
      </c>
      <c r="H19" s="155" t="str">
        <f>+'GRUPO A'!B4</f>
        <v>GRUPO A</v>
      </c>
      <c r="J19" s="161" t="str">
        <f>+'GRUPO C'!B4</f>
        <v>GRUPO C</v>
      </c>
      <c r="K19" s="162" t="str">
        <f>+'GRUPO C'!Q8</f>
        <v>Pts.</v>
      </c>
      <c r="L19" s="162" t="str">
        <f>+'GRUPO C'!R8</f>
        <v>PJ</v>
      </c>
      <c r="M19" s="162" t="str">
        <f>+'GRUPO C'!S8</f>
        <v>Gan.</v>
      </c>
      <c r="N19" s="162" t="str">
        <f>+'GRUPO C'!T8</f>
        <v>Emp.</v>
      </c>
      <c r="O19" s="162" t="str">
        <f>+'GRUPO C'!U8</f>
        <v>Per.</v>
      </c>
      <c r="P19" s="162" t="str">
        <f>+'GRUPO C'!V8</f>
        <v>GF</v>
      </c>
      <c r="Q19" s="162" t="str">
        <f>+'GRUPO C'!W8</f>
        <v>GC</v>
      </c>
      <c r="R19" s="162" t="str">
        <f>+'GRUPO C'!X8</f>
        <v>Dif.</v>
      </c>
      <c r="S19" s="162" t="str">
        <f>+'GRUPO C'!Y8</f>
        <v>Tj</v>
      </c>
    </row>
    <row r="20" spans="1:19" ht="21" hidden="1" customHeight="1" x14ac:dyDescent="0.3">
      <c r="A20" s="471"/>
      <c r="B20" s="156" t="str">
        <f>+'GRUPO A'!M29</f>
        <v>CANCHA 1 C</v>
      </c>
      <c r="C20" s="156" t="str">
        <f>+'GRUPO A'!C29</f>
        <v>12:50. p.m.</v>
      </c>
      <c r="D20" s="156" t="str">
        <f>+'GRUPO A'!E29</f>
        <v>JAGUARES F. C.</v>
      </c>
      <c r="E20" s="156">
        <f>+'GRUPO A'!G29</f>
        <v>0</v>
      </c>
      <c r="F20" s="156">
        <f>+'GRUPO A'!I29</f>
        <v>3</v>
      </c>
      <c r="G20" s="156" t="str">
        <f>+'GRUPO A'!K29</f>
        <v>JUDERCAR F. C.</v>
      </c>
      <c r="H20" s="157" t="str">
        <f>+'GRUPO A'!B4</f>
        <v>GRUPO A</v>
      </c>
      <c r="J20" s="160" t="str">
        <f>+'GRUPO C'!P10</f>
        <v xml:space="preserve">  1)  CLUB DEPORTIVO NASSUAR</v>
      </c>
      <c r="K20" s="154">
        <f>+'GRUPO C'!Q10</f>
        <v>7</v>
      </c>
      <c r="L20" s="154">
        <f>+'GRUPO C'!R10</f>
        <v>3</v>
      </c>
      <c r="M20" s="154">
        <f>+'GRUPO C'!S10</f>
        <v>2</v>
      </c>
      <c r="N20" s="154">
        <f>+'GRUPO C'!T10</f>
        <v>1</v>
      </c>
      <c r="O20" s="154">
        <f>+'GRUPO C'!U10</f>
        <v>0</v>
      </c>
      <c r="P20" s="154">
        <f>+'GRUPO C'!V10</f>
        <v>5</v>
      </c>
      <c r="Q20" s="154">
        <f>+'GRUPO C'!W10</f>
        <v>1</v>
      </c>
      <c r="R20" s="154">
        <f>+'GRUPO C'!X10</f>
        <v>4</v>
      </c>
      <c r="S20" s="154">
        <f>+'GRUPO C'!Y10</f>
        <v>0</v>
      </c>
    </row>
    <row r="21" spans="1:19" ht="21" hidden="1" customHeight="1" x14ac:dyDescent="0.3">
      <c r="A21" s="471"/>
      <c r="B21" s="154">
        <f>+'GRUPO B'!M26</f>
        <v>0</v>
      </c>
      <c r="C21" s="154">
        <f>+'GRUPO B'!C26</f>
        <v>0</v>
      </c>
      <c r="D21" s="154">
        <f>+'GRUPO B'!E26</f>
        <v>0</v>
      </c>
      <c r="E21" s="154">
        <f>+'GRUPO B'!G26</f>
        <v>0</v>
      </c>
      <c r="F21" s="154">
        <f>+'GRUPO B'!I26</f>
        <v>0</v>
      </c>
      <c r="G21" s="154">
        <f>+'GRUPO B'!K26</f>
        <v>0</v>
      </c>
      <c r="H21" s="155" t="str">
        <f>+'GRUPO B'!B4</f>
        <v>GRUPO B</v>
      </c>
      <c r="J21" s="160" t="str">
        <f>+'GRUPO C'!P12</f>
        <v xml:space="preserve">  2)  SPORTING CLUB VILLAVICENCIO</v>
      </c>
      <c r="K21" s="154">
        <f>+'GRUPO C'!Q12</f>
        <v>7</v>
      </c>
      <c r="L21" s="154">
        <f>+'GRUPO C'!R12</f>
        <v>3</v>
      </c>
      <c r="M21" s="154">
        <f>+'GRUPO C'!S12</f>
        <v>2</v>
      </c>
      <c r="N21" s="154">
        <f>+'GRUPO C'!T12</f>
        <v>1</v>
      </c>
      <c r="O21" s="154">
        <f>+'GRUPO C'!U12</f>
        <v>0</v>
      </c>
      <c r="P21" s="154">
        <f>+'GRUPO C'!V12</f>
        <v>6</v>
      </c>
      <c r="Q21" s="154">
        <f>+'GRUPO C'!W12</f>
        <v>3</v>
      </c>
      <c r="R21" s="154">
        <f>+'GRUPO C'!X12</f>
        <v>3</v>
      </c>
      <c r="S21" s="154">
        <f>+'GRUPO C'!Y12</f>
        <v>0</v>
      </c>
    </row>
    <row r="22" spans="1:19" ht="21" hidden="1" customHeight="1" x14ac:dyDescent="0.3">
      <c r="A22" s="471"/>
      <c r="B22" s="156" t="str">
        <f>+'GRUPO B'!M29</f>
        <v>CANCHA 1 A</v>
      </c>
      <c r="C22" s="156" t="str">
        <f>+'GRUPO B'!C29</f>
        <v>10:50. a.m.</v>
      </c>
      <c r="D22" s="156" t="str">
        <f>+'GRUPO B'!E29</f>
        <v>GOLDEN STEPS</v>
      </c>
      <c r="E22" s="156">
        <f>+'GRUPO B'!G29</f>
        <v>3</v>
      </c>
      <c r="F22" s="156">
        <f>+'GRUPO B'!I29</f>
        <v>0</v>
      </c>
      <c r="G22" s="156" t="str">
        <f>+'GRUPO B'!K29</f>
        <v>LIONTA F. C.</v>
      </c>
      <c r="H22" s="157" t="str">
        <f>+'GRUPO B'!B4</f>
        <v>GRUPO B</v>
      </c>
      <c r="J22" s="160" t="str">
        <f>+'GRUPO C'!P14</f>
        <v xml:space="preserve">  3)  LE MAX TEAM</v>
      </c>
      <c r="K22" s="154">
        <f>+'GRUPO C'!Q14</f>
        <v>1</v>
      </c>
      <c r="L22" s="154">
        <f>+'GRUPO C'!R14</f>
        <v>3</v>
      </c>
      <c r="M22" s="154">
        <f>+'GRUPO C'!S14</f>
        <v>0</v>
      </c>
      <c r="N22" s="154">
        <f>+'GRUPO C'!T14</f>
        <v>1</v>
      </c>
      <c r="O22" s="154">
        <f>+'GRUPO C'!U14</f>
        <v>2</v>
      </c>
      <c r="P22" s="154">
        <f>+'GRUPO C'!V14</f>
        <v>1</v>
      </c>
      <c r="Q22" s="154">
        <f>+'GRUPO C'!W14</f>
        <v>6</v>
      </c>
      <c r="R22" s="154">
        <f>+'GRUPO C'!X14</f>
        <v>-5</v>
      </c>
      <c r="S22" s="154">
        <f>+'GRUPO C'!Y14</f>
        <v>0</v>
      </c>
    </row>
    <row r="23" spans="1:19" ht="21" hidden="1" customHeight="1" x14ac:dyDescent="0.3">
      <c r="A23" s="471"/>
      <c r="B23" s="154" t="str">
        <f>+'GRUPO C'!M26</f>
        <v>CANCHA 1 C</v>
      </c>
      <c r="C23" s="154" t="str">
        <f>+'GRUPO C'!C26</f>
        <v>03:50. p.m.</v>
      </c>
      <c r="D23" s="154" t="str">
        <f>+'GRUPO C'!E26</f>
        <v>LE MAX TEAM</v>
      </c>
      <c r="E23" s="154">
        <f>+'GRUPO C'!G26</f>
        <v>0</v>
      </c>
      <c r="F23" s="154">
        <f>+'GRUPO C'!I26</f>
        <v>3</v>
      </c>
      <c r="G23" s="154" t="str">
        <f>+'GRUPO C'!K26</f>
        <v>CLUB DEPORTIVO NASSUAR</v>
      </c>
      <c r="H23" s="154" t="str">
        <f>+'GRUPO C'!B4</f>
        <v>GRUPO C</v>
      </c>
      <c r="J23" s="160">
        <f>+'GRUPO C'!P16</f>
        <v>0</v>
      </c>
      <c r="K23" s="154">
        <f>+'GRUPO C'!Q16</f>
        <v>0</v>
      </c>
      <c r="L23" s="154">
        <f>+'GRUPO C'!R16</f>
        <v>0</v>
      </c>
      <c r="M23" s="154">
        <f>+'GRUPO C'!S16</f>
        <v>0</v>
      </c>
      <c r="N23" s="154">
        <f>+'GRUPO C'!T16</f>
        <v>0</v>
      </c>
      <c r="O23" s="154">
        <f>+'GRUPO C'!U16</f>
        <v>0</v>
      </c>
      <c r="P23" s="154">
        <f>+'GRUPO C'!V16</f>
        <v>0</v>
      </c>
      <c r="Q23" s="154">
        <f>+'GRUPO C'!W16</f>
        <v>0</v>
      </c>
      <c r="R23" s="154">
        <f>+'GRUPO C'!X16</f>
        <v>0</v>
      </c>
      <c r="S23" s="154">
        <f>+'GRUPO C'!Y16</f>
        <v>0</v>
      </c>
    </row>
    <row r="24" spans="1:19" ht="21" hidden="1" customHeight="1" x14ac:dyDescent="0.3">
      <c r="A24" s="471"/>
      <c r="B24" s="156" t="str">
        <f>+'GRUPO C'!M29</f>
        <v>CANCHA 1 A</v>
      </c>
      <c r="C24" s="156" t="str">
        <f>+'GRUPO C'!C29</f>
        <v>12:50. p.m.</v>
      </c>
      <c r="D24" s="156" t="str">
        <f>+'GRUPO C'!E29</f>
        <v>LE MAX TEAM</v>
      </c>
      <c r="E24" s="156">
        <f>+'GRUPO C'!G29</f>
        <v>0</v>
      </c>
      <c r="F24" s="156">
        <f>+'GRUPO C'!I29</f>
        <v>2</v>
      </c>
      <c r="G24" s="156" t="str">
        <f>+'GRUPO C'!K29</f>
        <v>SPORTING CLUB VILLAVICENCIO</v>
      </c>
      <c r="H24" s="157" t="str">
        <f>+'GRUPO C'!B4</f>
        <v>GRUPO C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471"/>
      <c r="B25" s="154" t="str">
        <f>+'GRUPO D'!M26</f>
        <v>CANCHA 1 B</v>
      </c>
      <c r="C25" s="154" t="str">
        <f>+'GRUPO D'!C26</f>
        <v>09:50. a.m.</v>
      </c>
      <c r="D25" s="154" t="str">
        <f>+'GRUPO D'!E26</f>
        <v>E.D.F CHOCONTA</v>
      </c>
      <c r="E25" s="154">
        <f>+'GRUPO D'!G26</f>
        <v>1</v>
      </c>
      <c r="F25" s="154">
        <f>+'GRUPO D'!I26</f>
        <v>2</v>
      </c>
      <c r="G25" s="154" t="str">
        <f>+'GRUPO D'!K26</f>
        <v>IMPERIUM FÚTBOL CLUB</v>
      </c>
      <c r="H25" s="154" t="str">
        <f>+'GRUPO D'!B4</f>
        <v>GRUPO D</v>
      </c>
      <c r="J25" s="163" t="str">
        <f>+'GRUPO D'!B4</f>
        <v>GRUPO D</v>
      </c>
      <c r="K25" s="164" t="str">
        <f>+'GRUPO D'!Q8</f>
        <v>Pts.</v>
      </c>
      <c r="L25" s="164" t="str">
        <f>+'GRUPO D'!R8</f>
        <v>PJ</v>
      </c>
      <c r="M25" s="164" t="str">
        <f>+'GRUPO D'!S8</f>
        <v>Gan.</v>
      </c>
      <c r="N25" s="164" t="str">
        <f>+'GRUPO D'!T8</f>
        <v>Emp.</v>
      </c>
      <c r="O25" s="164" t="str">
        <f>+'GRUPO D'!U8</f>
        <v>Per.</v>
      </c>
      <c r="P25" s="164" t="str">
        <f>+'GRUPO D'!V8</f>
        <v>GF</v>
      </c>
      <c r="Q25" s="164" t="str">
        <f>+'GRUPO D'!W8</f>
        <v>GC</v>
      </c>
      <c r="R25" s="164" t="str">
        <f>+'GRUPO D'!X8</f>
        <v>Dif.</v>
      </c>
      <c r="S25" s="164" t="str">
        <f>+'GRUPO D'!Y8</f>
        <v>Tj</v>
      </c>
    </row>
    <row r="26" spans="1:19" ht="21" hidden="1" customHeight="1" x14ac:dyDescent="0.3">
      <c r="A26" s="471"/>
      <c r="B26" s="156" t="str">
        <f>+'GRUPO D'!M29</f>
        <v>CANCHA 1 A</v>
      </c>
      <c r="C26" s="156" t="str">
        <f>+'GRUPO D'!C29</f>
        <v>11:55. a.m.</v>
      </c>
      <c r="D26" s="156" t="str">
        <f>+'GRUPO D'!E29</f>
        <v>E.D.F CHOCONTA</v>
      </c>
      <c r="E26" s="156">
        <f>+'GRUPO D'!G29</f>
        <v>0</v>
      </c>
      <c r="F26" s="156">
        <f>+'GRUPO D'!I29</f>
        <v>0</v>
      </c>
      <c r="G26" s="156" t="str">
        <f>+'GRUPO D'!K29</f>
        <v>ACADEMIA F.C SEDE RESTREPO</v>
      </c>
      <c r="H26" s="157" t="str">
        <f>+'GRUPO D'!B4</f>
        <v>GRUPO D</v>
      </c>
      <c r="J26" s="160" t="str">
        <f>+'GRUPO D'!P10</f>
        <v xml:space="preserve">  1)  IMPERIUM FÚTBOL CLUB</v>
      </c>
      <c r="K26" s="154">
        <f>+'GRUPO D'!Q10</f>
        <v>7</v>
      </c>
      <c r="L26" s="154">
        <f>+'GRUPO D'!R10</f>
        <v>3</v>
      </c>
      <c r="M26" s="154">
        <f>+'GRUPO D'!S10</f>
        <v>2</v>
      </c>
      <c r="N26" s="154">
        <f>+'GRUPO D'!T10</f>
        <v>1</v>
      </c>
      <c r="O26" s="154">
        <f>+'GRUPO D'!U10</f>
        <v>0</v>
      </c>
      <c r="P26" s="154">
        <f>+'GRUPO D'!V10</f>
        <v>7</v>
      </c>
      <c r="Q26" s="154">
        <f>+'GRUPO D'!W10</f>
        <v>3</v>
      </c>
      <c r="R26" s="154">
        <f>+'GRUPO D'!X10</f>
        <v>4</v>
      </c>
      <c r="S26" s="154">
        <f>+'GRUPO D'!Y10</f>
        <v>0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463" t="str">
        <f>+'IMPRIMIR 3'!A17</f>
        <v>PARTIDOS                 fecha 3 ULTIMA</v>
      </c>
      <c r="C28" s="464"/>
      <c r="D28" s="464"/>
      <c r="E28" s="464"/>
      <c r="F28" s="464"/>
      <c r="G28" s="464"/>
      <c r="H28" s="465"/>
      <c r="J28" s="160" t="str">
        <f>+'GRUPO D'!P12</f>
        <v xml:space="preserve">  2)  E.D.F CHOCONTA</v>
      </c>
      <c r="K28" s="154">
        <f>+'GRUPO D'!Q12</f>
        <v>1</v>
      </c>
      <c r="L28" s="154">
        <f>+'GRUPO D'!R12</f>
        <v>3</v>
      </c>
      <c r="M28" s="154">
        <f>+'GRUPO D'!S12</f>
        <v>0</v>
      </c>
      <c r="N28" s="154">
        <f>+'GRUPO D'!T12</f>
        <v>1</v>
      </c>
      <c r="O28" s="154">
        <f>+'GRUPO D'!U12</f>
        <v>2</v>
      </c>
      <c r="P28" s="154">
        <f>+'GRUPO D'!V12</f>
        <v>2</v>
      </c>
      <c r="Q28" s="154">
        <f>+'GRUPO D'!W12</f>
        <v>4</v>
      </c>
      <c r="R28" s="154">
        <f>+'GRUPO D'!X12</f>
        <v>-2</v>
      </c>
      <c r="S28" s="154">
        <f>+'GRUPO D'!Y12</f>
        <v>0</v>
      </c>
    </row>
    <row r="29" spans="1:19" ht="21" hidden="1" customHeight="1" x14ac:dyDescent="0.3">
      <c r="B29" s="165" t="s">
        <v>68</v>
      </c>
      <c r="C29" s="165" t="s">
        <v>69</v>
      </c>
      <c r="D29" s="165" t="s">
        <v>70</v>
      </c>
      <c r="E29" s="469" t="s">
        <v>71</v>
      </c>
      <c r="F29" s="469"/>
      <c r="G29" s="165" t="s">
        <v>70</v>
      </c>
      <c r="H29" s="165" t="s">
        <v>72</v>
      </c>
      <c r="J29" s="160" t="str">
        <f>+'GRUPO D'!P14</f>
        <v xml:space="preserve">  3)  ACADEMIA F.C SEDE RESTREPO</v>
      </c>
      <c r="K29" s="154">
        <f>+'GRUPO D'!Q14</f>
        <v>1</v>
      </c>
      <c r="L29" s="154">
        <f>+'GRUPO D'!R14</f>
        <v>3</v>
      </c>
      <c r="M29" s="154">
        <f>+'GRUPO D'!S14</f>
        <v>0</v>
      </c>
      <c r="N29" s="154">
        <f>+'GRUPO D'!T14</f>
        <v>1</v>
      </c>
      <c r="O29" s="154">
        <f>+'GRUPO D'!U14</f>
        <v>2</v>
      </c>
      <c r="P29" s="154">
        <f>+'GRUPO D'!V14</f>
        <v>4</v>
      </c>
      <c r="Q29" s="154">
        <f>+'GRUPO D'!W14</f>
        <v>8</v>
      </c>
      <c r="R29" s="154">
        <f>+'GRUPO D'!X14</f>
        <v>-4</v>
      </c>
      <c r="S29" s="154">
        <f>+'GRUPO D'!Y14</f>
        <v>0</v>
      </c>
    </row>
    <row r="30" spans="1:19" ht="21" hidden="1" customHeight="1" x14ac:dyDescent="0.3">
      <c r="A30" s="470">
        <f>+'GRUPO A'!B32</f>
        <v>42967</v>
      </c>
      <c r="B30" s="154" t="str">
        <f>+'GRUPO A'!M32</f>
        <v>CANCHA 1 A</v>
      </c>
      <c r="C30" s="154" t="str">
        <f>+'GRUPO A'!C32</f>
        <v>09:50. a.m.</v>
      </c>
      <c r="D30" s="154" t="str">
        <f>+'GRUPO A'!E32</f>
        <v>TROYA F. C.</v>
      </c>
      <c r="E30" s="154">
        <f>+'GRUPO A'!G32</f>
        <v>1</v>
      </c>
      <c r="F30" s="154">
        <f>+'GRUPO A'!I32</f>
        <v>0</v>
      </c>
      <c r="G30" s="154" t="str">
        <f>+'GRUPO A'!K32</f>
        <v>JUDERCAR F. C.</v>
      </c>
      <c r="H30" s="155" t="str">
        <f>+'GRUPO A'!B4</f>
        <v>GRUPO A</v>
      </c>
      <c r="J30" s="160">
        <f>+'GRUPO D'!P16</f>
        <v>0</v>
      </c>
      <c r="K30" s="154">
        <f>+'GRUPO D'!Q16</f>
        <v>0</v>
      </c>
      <c r="L30" s="154">
        <f>+'GRUPO D'!R16</f>
        <v>0</v>
      </c>
      <c r="M30" s="154">
        <f>+'GRUPO D'!S16</f>
        <v>0</v>
      </c>
      <c r="N30" s="154">
        <f>+'GRUPO D'!T16</f>
        <v>0</v>
      </c>
      <c r="O30" s="154">
        <f>+'GRUPO D'!U16</f>
        <v>0</v>
      </c>
      <c r="P30" s="154">
        <f>+'GRUPO D'!V16</f>
        <v>0</v>
      </c>
      <c r="Q30" s="154">
        <f>+'GRUPO D'!W16</f>
        <v>0</v>
      </c>
      <c r="R30" s="154">
        <f>+'GRUPO D'!X16</f>
        <v>0</v>
      </c>
      <c r="S30" s="154">
        <f>+'GRUPO D'!Y16</f>
        <v>0</v>
      </c>
    </row>
    <row r="31" spans="1:19" ht="21" hidden="1" customHeight="1" x14ac:dyDescent="0.3">
      <c r="A31" s="471"/>
      <c r="B31" s="156">
        <f>+'GRUPO A'!M35</f>
        <v>0</v>
      </c>
      <c r="C31" s="156">
        <f>+'GRUPO A'!C35</f>
        <v>0</v>
      </c>
      <c r="D31" s="156">
        <f>+'GRUPO A'!E35</f>
        <v>0</v>
      </c>
      <c r="E31" s="156">
        <f>+'GRUPO A'!G35</f>
        <v>0</v>
      </c>
      <c r="F31" s="156">
        <f>+'GRUPO A'!I35</f>
        <v>0</v>
      </c>
      <c r="G31" s="156">
        <f>+'GRUPO A'!K35</f>
        <v>0</v>
      </c>
      <c r="H31" s="157" t="str">
        <f>+'GRUPO A'!B4</f>
        <v>GRUPO A</v>
      </c>
    </row>
    <row r="32" spans="1:19" ht="21" hidden="1" customHeight="1" x14ac:dyDescent="0.3">
      <c r="A32" s="471"/>
      <c r="B32" s="154" t="str">
        <f>+'GRUPO B'!M32</f>
        <v>CANCHA 1 A</v>
      </c>
      <c r="C32" s="154" t="str">
        <f>+'GRUPO B'!C32</f>
        <v>04:30. p.m.</v>
      </c>
      <c r="D32" s="154" t="str">
        <f>+'GRUPO B'!E32</f>
        <v>ATHLETIC MELGAR</v>
      </c>
      <c r="E32" s="154">
        <f>+'GRUPO B'!G32</f>
        <v>4</v>
      </c>
      <c r="F32" s="154">
        <f>+'GRUPO B'!I32</f>
        <v>0</v>
      </c>
      <c r="G32" s="154" t="str">
        <f>+'GRUPO B'!K32</f>
        <v>LIONTA F. C.</v>
      </c>
      <c r="H32" s="155" t="str">
        <f>+'GRUPO B'!B4</f>
        <v>GRUPO B</v>
      </c>
    </row>
    <row r="33" spans="1:8" ht="21" hidden="1" customHeight="1" x14ac:dyDescent="0.3">
      <c r="A33" s="471"/>
      <c r="B33" s="156">
        <f>+'GRUPO B'!M35</f>
        <v>0</v>
      </c>
      <c r="C33" s="156">
        <f>+'GRUPO B'!C35</f>
        <v>0</v>
      </c>
      <c r="D33" s="156">
        <f>+'GRUPO B'!E35</f>
        <v>0</v>
      </c>
      <c r="E33" s="156">
        <f>+'GRUPO B'!G35</f>
        <v>0</v>
      </c>
      <c r="F33" s="156">
        <f>+'GRUPO B'!I35</f>
        <v>0</v>
      </c>
      <c r="G33" s="156">
        <f>+'GRUPO B'!K35</f>
        <v>0</v>
      </c>
      <c r="H33" s="157" t="str">
        <f>+'GRUPO B'!B4</f>
        <v>GRUPO B</v>
      </c>
    </row>
    <row r="34" spans="1:8" ht="21" hidden="1" customHeight="1" x14ac:dyDescent="0.3">
      <c r="A34" s="471"/>
      <c r="B34" s="154" t="str">
        <f>+'GRUPO C'!M32</f>
        <v>CANCHA 1 C</v>
      </c>
      <c r="C34" s="154" t="str">
        <f>+'GRUPO C'!C32</f>
        <v>09:50. a.m.</v>
      </c>
      <c r="D34" s="154" t="str">
        <f>+'GRUPO C'!E32</f>
        <v>CLUB DEPORTIVO NASSUAR</v>
      </c>
      <c r="E34" s="154">
        <f>+'GRUPO C'!G32</f>
        <v>0</v>
      </c>
      <c r="F34" s="154">
        <f>+'GRUPO C'!I32</f>
        <v>0</v>
      </c>
      <c r="G34" s="154" t="str">
        <f>+'GRUPO C'!K32</f>
        <v>SPORTING CLUB VILLAVICENCIO</v>
      </c>
      <c r="H34" s="154" t="str">
        <f>+'GRUPO C'!B4</f>
        <v>GRUPO C</v>
      </c>
    </row>
    <row r="35" spans="1:8" ht="21" hidden="1" customHeight="1" x14ac:dyDescent="0.3">
      <c r="A35" s="471"/>
      <c r="B35" s="156">
        <f>+'GRUPO C'!M35</f>
        <v>0</v>
      </c>
      <c r="C35" s="156">
        <f>+'GRUPO C'!C35</f>
        <v>0</v>
      </c>
      <c r="D35" s="156">
        <f>+'GRUPO C'!E35</f>
        <v>0</v>
      </c>
      <c r="E35" s="156">
        <f>+'GRUPO C'!G35</f>
        <v>0</v>
      </c>
      <c r="F35" s="156">
        <f>+'GRUPO C'!I35</f>
        <v>0</v>
      </c>
      <c r="G35" s="156">
        <f>+'GRUPO C'!K35</f>
        <v>0</v>
      </c>
      <c r="H35" s="157" t="str">
        <f>+'GRUPO C'!B4</f>
        <v>GRUPO C</v>
      </c>
    </row>
    <row r="36" spans="1:8" ht="21" hidden="1" customHeight="1" x14ac:dyDescent="0.3">
      <c r="A36" s="471"/>
      <c r="B36" s="154" t="str">
        <f>+'GRUPO D'!M32</f>
        <v>CANCHA 1 A</v>
      </c>
      <c r="C36" s="154" t="str">
        <f>+'GRUPO D'!C32</f>
        <v>12:40. p.m.</v>
      </c>
      <c r="D36" s="154" t="str">
        <f>+'GRUPO D'!E32</f>
        <v>IMPERIUM FÚTBOL CLUB</v>
      </c>
      <c r="E36" s="154">
        <f>+'GRUPO D'!G32</f>
        <v>4</v>
      </c>
      <c r="F36" s="154">
        <f>+'GRUPO D'!I32</f>
        <v>1</v>
      </c>
      <c r="G36" s="154" t="str">
        <f>+'GRUPO D'!K32</f>
        <v>ACADEMIA F.C SEDE RESTREPO</v>
      </c>
      <c r="H36" s="154" t="str">
        <f>+'GRUPO D'!B4</f>
        <v>GRUPO D</v>
      </c>
    </row>
    <row r="37" spans="1:8" ht="21" hidden="1" customHeight="1" x14ac:dyDescent="0.3">
      <c r="A37" s="471"/>
      <c r="B37" s="156">
        <f>+'GRUPO D'!M35</f>
        <v>0</v>
      </c>
      <c r="C37" s="156">
        <f>+'GRUPO D'!C35</f>
        <v>0</v>
      </c>
      <c r="D37" s="156">
        <f>+'GRUPO D'!E35</f>
        <v>0</v>
      </c>
      <c r="E37" s="156">
        <f>+'GRUPO D'!G35</f>
        <v>0</v>
      </c>
      <c r="F37" s="156">
        <f>+'GRUPO D'!I35</f>
        <v>0</v>
      </c>
      <c r="G37" s="156">
        <f>+'GRUPO D'!K35</f>
        <v>0</v>
      </c>
      <c r="H37" s="157" t="str">
        <f>+'GRUPO D'!B4</f>
        <v>GRUPO D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.75" customHeight="1" x14ac:dyDescent="0.3">
      <c r="B39" s="481" t="str">
        <f>+'CUARTOS DE FINAL.'!B2</f>
        <v>CUARTOS DE FINAL</v>
      </c>
      <c r="C39" s="482"/>
      <c r="D39" s="482"/>
      <c r="E39" s="482"/>
      <c r="F39" s="482"/>
      <c r="G39" s="482"/>
      <c r="H39" s="483"/>
    </row>
    <row r="40" spans="1:8" ht="21" customHeight="1" x14ac:dyDescent="0.3">
      <c r="B40" s="165" t="s">
        <v>68</v>
      </c>
      <c r="C40" s="165" t="s">
        <v>69</v>
      </c>
      <c r="D40" s="165" t="s">
        <v>70</v>
      </c>
      <c r="E40" s="469" t="s">
        <v>71</v>
      </c>
      <c r="F40" s="469"/>
      <c r="G40" s="165" t="s">
        <v>70</v>
      </c>
      <c r="H40" s="165" t="s">
        <v>75</v>
      </c>
    </row>
    <row r="41" spans="1:8" ht="21" customHeight="1" x14ac:dyDescent="0.3">
      <c r="A41" s="470">
        <f>+'CUARTOS DE FINAL.'!B9</f>
        <v>42596</v>
      </c>
      <c r="B41" s="155" t="str">
        <f>+'CUARTOS DE FINAL.'!N6</f>
        <v>PALMARA</v>
      </c>
      <c r="C41" s="154" t="str">
        <f>+'CUARTOS DE FINAL.'!D6</f>
        <v>03:00. p.m.</v>
      </c>
      <c r="D41" s="154" t="e">
        <f>+'CUARTOS DE FINAL.'!G6</f>
        <v>#N/A</v>
      </c>
      <c r="E41" s="154">
        <f>+'CUARTOS DE FINAL.'!H6</f>
        <v>1</v>
      </c>
      <c r="F41" s="154">
        <f>+'CUARTOS DE FINAL.'!J6</f>
        <v>2</v>
      </c>
      <c r="G41" s="154" t="str">
        <f>+'CUARTOS DE FINAL.'!L6</f>
        <v>SPORTING CLUB VILLAVICENCIO</v>
      </c>
      <c r="H41" s="155" t="str">
        <f>+'CUARTOS DE FINAL.'!C6</f>
        <v>LLAVE A</v>
      </c>
    </row>
    <row r="42" spans="1:8" ht="21" customHeight="1" x14ac:dyDescent="0.3">
      <c r="A42" s="470"/>
      <c r="B42" s="157" t="str">
        <f>+'CUARTOS DE FINAL.'!N9</f>
        <v>CANCHA 2</v>
      </c>
      <c r="C42" s="156" t="str">
        <f>+'CUARTOS DE FINAL.'!D9</f>
        <v>04:20. p.m.</v>
      </c>
      <c r="D42" s="156" t="str">
        <f>+'CUARTOS DE FINAL.'!G9</f>
        <v>ATHLETIC MELGAR</v>
      </c>
      <c r="E42" s="156">
        <f>+'CUARTOS DE FINAL.'!H9</f>
        <v>2</v>
      </c>
      <c r="F42" s="156">
        <f>+'CUARTOS DE FINAL.'!J9</f>
        <v>1</v>
      </c>
      <c r="G42" s="156" t="str">
        <f>+'CUARTOS DE FINAL.'!L9</f>
        <v>E.D.F CHOCONTA</v>
      </c>
      <c r="H42" s="157" t="str">
        <f>+'CUARTOS DE FINAL.'!C9</f>
        <v>LLAVE B</v>
      </c>
    </row>
    <row r="43" spans="1:8" ht="21" customHeight="1" x14ac:dyDescent="0.3">
      <c r="A43" s="470"/>
      <c r="B43" s="155" t="str">
        <f>+'CUARTOS DE FINAL.'!N12</f>
        <v>CANCHA 2</v>
      </c>
      <c r="C43" s="154" t="str">
        <f>+'CUARTOS DE FINAL.'!D12</f>
        <v>03:00. p.m.</v>
      </c>
      <c r="D43" s="154" t="str">
        <f>+'CUARTOS DE FINAL.'!G12</f>
        <v>CLUB DEPORTIVO NASSUAR</v>
      </c>
      <c r="E43" s="154">
        <f>+'CUARTOS DE FINAL.'!H12</f>
        <v>1</v>
      </c>
      <c r="F43" s="154">
        <f>+'CUARTOS DE FINAL.'!J12</f>
        <v>2</v>
      </c>
      <c r="G43" s="154" t="e">
        <f>+'CUARTOS DE FINAL.'!L12</f>
        <v>#N/A</v>
      </c>
      <c r="H43" s="155" t="str">
        <f>+'CUARTOS DE FINAL.'!C12</f>
        <v>LLAVE C</v>
      </c>
    </row>
    <row r="44" spans="1:8" ht="21" customHeight="1" x14ac:dyDescent="0.3">
      <c r="A44" s="470"/>
      <c r="B44" s="157" t="str">
        <f>+'CUARTOS DE FINAL.'!N15</f>
        <v>PALMARA</v>
      </c>
      <c r="C44" s="156" t="str">
        <f>+'CUARTOS DE FINAL.'!D15</f>
        <v>04:20. p.m.</v>
      </c>
      <c r="D44" s="156" t="str">
        <f>+'CUARTOS DE FINAL.'!G15</f>
        <v>IMPERIUM FÚTBOL CLUB</v>
      </c>
      <c r="E44" s="156">
        <f>+'CUARTOS DE FINAL.'!H15</f>
        <v>2</v>
      </c>
      <c r="F44" s="156">
        <f>+'CUARTOS DE FINAL.'!J15</f>
        <v>1</v>
      </c>
      <c r="G44" s="156" t="str">
        <f>+'CUARTOS DE FINAL.'!L15</f>
        <v>GOLDEN STEPS</v>
      </c>
      <c r="H44" s="157" t="str">
        <f>+'CUARTOS DE FINAL.'!C15</f>
        <v>LLAVE D</v>
      </c>
    </row>
    <row r="45" spans="1:8" ht="21" customHeight="1" x14ac:dyDescent="0.3">
      <c r="A45" s="166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484" t="e">
        <f>+#REF!</f>
        <v>#REF!</v>
      </c>
      <c r="C46" s="485"/>
      <c r="D46" s="485"/>
      <c r="E46" s="485"/>
      <c r="F46" s="485"/>
      <c r="G46" s="485"/>
      <c r="H46" s="486"/>
    </row>
    <row r="47" spans="1:8" ht="27.9" customHeight="1" x14ac:dyDescent="0.3">
      <c r="B47" s="165" t="s">
        <v>68</v>
      </c>
      <c r="C47" s="165" t="s">
        <v>69</v>
      </c>
      <c r="D47" s="165" t="s">
        <v>70</v>
      </c>
      <c r="E47" s="469" t="s">
        <v>71</v>
      </c>
      <c r="F47" s="469"/>
      <c r="G47" s="165" t="s">
        <v>70</v>
      </c>
      <c r="H47" s="165" t="s">
        <v>75</v>
      </c>
    </row>
    <row r="48" spans="1:8" ht="27.9" customHeight="1" x14ac:dyDescent="0.3">
      <c r="A48" s="470" t="e">
        <f>+#REF!</f>
        <v>#REF!</v>
      </c>
      <c r="B48" s="155" t="e">
        <f>+#REF!</f>
        <v>#REF!</v>
      </c>
      <c r="C48" s="154" t="e">
        <f>+#REF!</f>
        <v>#REF!</v>
      </c>
      <c r="D48" s="154" t="s">
        <v>55</v>
      </c>
      <c r="E48" s="154">
        <f>+'CUARTOS DE FINAL.'!H13</f>
        <v>0</v>
      </c>
      <c r="F48" s="154">
        <f>+'CUARTOS DE FINAL.'!J13</f>
        <v>0</v>
      </c>
      <c r="G48" s="154" t="s">
        <v>56</v>
      </c>
      <c r="H48" s="155" t="e">
        <f>+#REF!</f>
        <v>#REF!</v>
      </c>
    </row>
    <row r="49" spans="1:8" ht="27.9" customHeight="1" x14ac:dyDescent="0.3">
      <c r="A49" s="470"/>
      <c r="B49" s="157" t="e">
        <f>+#REF!</f>
        <v>#REF!</v>
      </c>
      <c r="C49" s="156" t="e">
        <f>+#REF!</f>
        <v>#REF!</v>
      </c>
      <c r="D49" s="156" t="s">
        <v>60</v>
      </c>
      <c r="E49" s="156">
        <f>+'CUARTOS DE FINAL.'!H16</f>
        <v>0</v>
      </c>
      <c r="F49" s="156">
        <f>+'CUARTOS DE FINAL.'!J16</f>
        <v>0</v>
      </c>
      <c r="G49" s="156" t="s">
        <v>61</v>
      </c>
      <c r="H49" s="157" t="e">
        <f>+#REF!</f>
        <v>#REF!</v>
      </c>
    </row>
    <row r="50" spans="1:8" ht="27.9" customHeight="1" x14ac:dyDescent="0.3">
      <c r="A50" s="173"/>
      <c r="B50" s="169"/>
      <c r="C50" s="1"/>
      <c r="D50" s="1"/>
      <c r="E50" s="1"/>
      <c r="F50" s="1"/>
      <c r="G50" s="1"/>
      <c r="H50" s="169"/>
    </row>
    <row r="51" spans="1:8" ht="27.9" customHeight="1" x14ac:dyDescent="0.3">
      <c r="B51" s="478" t="e">
        <f>+#REF!</f>
        <v>#REF!</v>
      </c>
      <c r="C51" s="479"/>
      <c r="D51" s="479"/>
      <c r="E51" s="479"/>
      <c r="F51" s="479"/>
      <c r="G51" s="479"/>
      <c r="H51" s="480"/>
    </row>
    <row r="52" spans="1:8" ht="27.9" customHeight="1" x14ac:dyDescent="0.3">
      <c r="B52" s="165" t="s">
        <v>68</v>
      </c>
      <c r="C52" s="165" t="s">
        <v>69</v>
      </c>
      <c r="D52" s="165" t="s">
        <v>70</v>
      </c>
      <c r="E52" s="469" t="s">
        <v>71</v>
      </c>
      <c r="F52" s="469"/>
      <c r="G52" s="165" t="s">
        <v>70</v>
      </c>
      <c r="H52" s="165"/>
    </row>
    <row r="53" spans="1:8" ht="27.9" customHeight="1" x14ac:dyDescent="0.3">
      <c r="A53" s="170" t="e">
        <f>+#REF!</f>
        <v>#REF!</v>
      </c>
      <c r="B53" s="155" t="e">
        <f>+#REF!</f>
        <v>#REF!</v>
      </c>
      <c r="C53" s="154" t="e">
        <f>+#REF!</f>
        <v>#REF!</v>
      </c>
      <c r="D53" s="154" t="s">
        <v>64</v>
      </c>
      <c r="E53" s="154">
        <f>+'CUARTOS DE FINAL.'!H18</f>
        <v>0</v>
      </c>
      <c r="F53" s="154">
        <f>+'CUARTOS DE FINAL.'!J18</f>
        <v>0</v>
      </c>
      <c r="G53" s="154" t="s">
        <v>65</v>
      </c>
      <c r="H53" s="155"/>
    </row>
    <row r="54" spans="1:8" ht="10.5" customHeight="1" x14ac:dyDescent="0.3">
      <c r="A54" s="171"/>
      <c r="B54" s="174"/>
      <c r="C54" s="175"/>
      <c r="D54" s="175"/>
      <c r="E54" s="175"/>
      <c r="F54" s="175"/>
      <c r="G54" s="175"/>
      <c r="H54" s="176"/>
    </row>
    <row r="55" spans="1:8" ht="27.9" customHeight="1" x14ac:dyDescent="0.3">
      <c r="A55" s="171"/>
      <c r="B55" s="475" t="e">
        <f>+#REF!</f>
        <v>#REF!</v>
      </c>
      <c r="C55" s="476"/>
      <c r="D55" s="476"/>
      <c r="E55" s="476"/>
      <c r="F55" s="476"/>
      <c r="G55" s="476"/>
      <c r="H55" s="477"/>
    </row>
    <row r="56" spans="1:8" ht="27.9" customHeight="1" x14ac:dyDescent="0.3">
      <c r="A56" s="171"/>
      <c r="B56" s="165" t="s">
        <v>68</v>
      </c>
      <c r="C56" s="165" t="s">
        <v>69</v>
      </c>
      <c r="D56" s="165" t="s">
        <v>70</v>
      </c>
      <c r="E56" s="469" t="s">
        <v>71</v>
      </c>
      <c r="F56" s="469"/>
      <c r="G56" s="165" t="s">
        <v>70</v>
      </c>
      <c r="H56" s="165"/>
    </row>
    <row r="57" spans="1:8" ht="27.9" customHeight="1" x14ac:dyDescent="0.3">
      <c r="A57" s="172"/>
      <c r="B57" s="157" t="e">
        <f>+#REF!</f>
        <v>#REF!</v>
      </c>
      <c r="C57" s="156" t="e">
        <f>+#REF!</f>
        <v>#REF!</v>
      </c>
      <c r="D57" s="156" t="s">
        <v>66</v>
      </c>
      <c r="E57" s="156">
        <f>+'CUARTOS DE FINAL.'!H21</f>
        <v>0</v>
      </c>
      <c r="F57" s="156">
        <f>+'CUARTOS DE FINAL.'!J21</f>
        <v>0</v>
      </c>
      <c r="G57" s="156" t="s">
        <v>67</v>
      </c>
      <c r="H57" s="157"/>
    </row>
  </sheetData>
  <mergeCells count="24"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  <mergeCell ref="B6:H6"/>
    <mergeCell ref="A2:H2"/>
    <mergeCell ref="A1:H1"/>
    <mergeCell ref="A8:A15"/>
    <mergeCell ref="B17:H17"/>
    <mergeCell ref="A5:H5"/>
    <mergeCell ref="A4:H4"/>
    <mergeCell ref="A3:H3"/>
    <mergeCell ref="E7:F7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11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466" t="e">
        <f>+'PRE INFANTIL GRUPOS'!B1:I1</f>
        <v>#VALUE!</v>
      </c>
      <c r="B1" s="466"/>
      <c r="C1" s="466"/>
      <c r="D1" s="466"/>
      <c r="E1" s="466"/>
      <c r="F1" s="466"/>
      <c r="G1" s="466"/>
      <c r="H1" s="466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</row>
    <row r="2" spans="1:19" ht="28.8" x14ac:dyDescent="0.55000000000000004">
      <c r="A2" s="467" t="e">
        <f>+'PRE INFANTIL GRUPOS'!B2:I2</f>
        <v>#VALUE!</v>
      </c>
      <c r="B2" s="467"/>
      <c r="C2" s="467"/>
      <c r="D2" s="467"/>
      <c r="E2" s="467"/>
      <c r="F2" s="467"/>
      <c r="G2" s="467"/>
      <c r="H2" s="467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</row>
    <row r="3" spans="1:19" ht="28.8" x14ac:dyDescent="0.55000000000000004">
      <c r="A3" s="467" t="str">
        <f>+'PRE INFANTIL GRUPOS'!C3</f>
        <v>DICIEMBRE 4 AL 6 DEL 2024</v>
      </c>
      <c r="B3" s="467"/>
      <c r="C3" s="467"/>
      <c r="D3" s="467"/>
      <c r="E3" s="467"/>
      <c r="F3" s="467"/>
      <c r="G3" s="467"/>
      <c r="H3" s="467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</row>
    <row r="4" spans="1:19" ht="21" x14ac:dyDescent="0.4">
      <c r="A4" s="468" t="str">
        <f>+'PRE INFANTIL GRUPOS'!C4</f>
        <v>NACIDOS 2010 2011</v>
      </c>
      <c r="B4" s="468"/>
      <c r="C4" s="468"/>
      <c r="D4" s="468"/>
      <c r="E4" s="468"/>
      <c r="F4" s="468"/>
      <c r="G4" s="468"/>
      <c r="H4" s="468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</row>
    <row r="5" spans="1:19" ht="21" x14ac:dyDescent="0.4">
      <c r="A5" s="468" t="s">
        <v>73</v>
      </c>
      <c r="B5" s="468"/>
      <c r="C5" s="468"/>
      <c r="D5" s="468"/>
      <c r="E5" s="468"/>
      <c r="F5" s="468"/>
      <c r="G5" s="468"/>
      <c r="H5" s="468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</row>
    <row r="6" spans="1:19" ht="21" hidden="1" customHeight="1" x14ac:dyDescent="0.3">
      <c r="A6"/>
      <c r="B6" s="463" t="str">
        <f>+IMPRIMIR!A14</f>
        <v>PARTIDOS                 fecha 1</v>
      </c>
      <c r="C6" s="464"/>
      <c r="D6" s="464"/>
      <c r="E6" s="464"/>
      <c r="F6" s="464"/>
      <c r="G6" s="464"/>
      <c r="H6" s="465"/>
      <c r="J6" s="159" t="str">
        <f>+'GRUPO A'!B4</f>
        <v>GRUPO A</v>
      </c>
      <c r="K6" s="159">
        <f>+'GRUPO A'!Q20</f>
        <v>0</v>
      </c>
      <c r="L6" s="159">
        <f>+'GRUPO A'!R20</f>
        <v>0</v>
      </c>
      <c r="M6" s="159">
        <f>+'GRUPO A'!S20</f>
        <v>0</v>
      </c>
      <c r="N6" s="159">
        <f>+'GRUPO A'!T20</f>
        <v>0</v>
      </c>
      <c r="O6" s="159">
        <f>+'GRUPO A'!U20</f>
        <v>0</v>
      </c>
      <c r="P6" s="159">
        <f>+'GRUPO A'!V20</f>
        <v>0</v>
      </c>
      <c r="Q6" s="159">
        <f>+'GRUPO A'!W20</f>
        <v>0</v>
      </c>
      <c r="R6" s="159">
        <f>+'GRUPO A'!X20</f>
        <v>0</v>
      </c>
      <c r="S6" s="159">
        <f>+'GRUPO A'!Y20</f>
        <v>0</v>
      </c>
    </row>
    <row r="7" spans="1:19" hidden="1" x14ac:dyDescent="0.3">
      <c r="B7" s="165" t="s">
        <v>68</v>
      </c>
      <c r="C7" s="165" t="s">
        <v>69</v>
      </c>
      <c r="D7" s="165" t="s">
        <v>70</v>
      </c>
      <c r="E7" s="469" t="s">
        <v>71</v>
      </c>
      <c r="F7" s="469"/>
      <c r="G7" s="165" t="s">
        <v>70</v>
      </c>
      <c r="H7" s="165" t="s">
        <v>72</v>
      </c>
      <c r="J7" s="160">
        <f>+'GRUPO A'!P22</f>
        <v>0</v>
      </c>
      <c r="K7" s="154">
        <f>+'GRUPO A'!Q22</f>
        <v>0</v>
      </c>
      <c r="L7" s="154">
        <f>+'GRUPO A'!R22</f>
        <v>0</v>
      </c>
      <c r="M7" s="154">
        <f>+'GRUPO A'!S22</f>
        <v>0</v>
      </c>
      <c r="N7" s="154">
        <f>+'GRUPO A'!T22</f>
        <v>0</v>
      </c>
      <c r="O7" s="154">
        <f>+'GRUPO A'!U22</f>
        <v>0</v>
      </c>
      <c r="P7" s="154">
        <f>+'GRUPO A'!V22</f>
        <v>0</v>
      </c>
      <c r="Q7" s="154">
        <f>+'GRUPO A'!W22</f>
        <v>0</v>
      </c>
      <c r="R7" s="154">
        <f>+'GRUPO A'!X22</f>
        <v>0</v>
      </c>
      <c r="S7" s="154">
        <f>+'GRUPO A'!Y22</f>
        <v>0</v>
      </c>
    </row>
    <row r="8" spans="1:19" ht="21" hidden="1" customHeight="1" x14ac:dyDescent="0.3">
      <c r="A8" s="470">
        <f>+'GRUPO A'!B20</f>
        <v>0</v>
      </c>
      <c r="B8" s="154">
        <f>+'GRUPO A'!M20</f>
        <v>0</v>
      </c>
      <c r="C8" s="154">
        <f>+'GRUPO A'!C20</f>
        <v>0</v>
      </c>
      <c r="D8" s="154">
        <f>+'GRUPO A'!E20</f>
        <v>0</v>
      </c>
      <c r="E8" s="154">
        <f>+'GRUPO A'!G20</f>
        <v>0</v>
      </c>
      <c r="F8" s="154">
        <f>+'GRUPO A'!I20</f>
        <v>0</v>
      </c>
      <c r="G8" s="154">
        <f>+'GRUPO A'!K20</f>
        <v>0</v>
      </c>
      <c r="H8" s="154" t="str">
        <f>+'GRUPO A'!B4</f>
        <v>GRUPO A</v>
      </c>
      <c r="J8" s="160">
        <f>+'GRUPO A'!P24</f>
        <v>0</v>
      </c>
      <c r="K8" s="154">
        <f>+'GRUPO A'!Q24</f>
        <v>0</v>
      </c>
      <c r="L8" s="154">
        <f>+'GRUPO A'!R24</f>
        <v>0</v>
      </c>
      <c r="M8" s="154">
        <f>+'GRUPO A'!S24</f>
        <v>0</v>
      </c>
      <c r="N8" s="154">
        <f>+'GRUPO A'!T24</f>
        <v>0</v>
      </c>
      <c r="O8" s="154">
        <f>+'GRUPO A'!U24</f>
        <v>0</v>
      </c>
      <c r="P8" s="154">
        <f>+'GRUPO A'!V24</f>
        <v>0</v>
      </c>
      <c r="Q8" s="154">
        <f>+'GRUPO A'!W24</f>
        <v>0</v>
      </c>
      <c r="R8" s="154">
        <f>+'GRUPO A'!X24</f>
        <v>0</v>
      </c>
      <c r="S8" s="154">
        <f>+'GRUPO A'!Y24</f>
        <v>0</v>
      </c>
    </row>
    <row r="9" spans="1:19" ht="21" hidden="1" customHeight="1" x14ac:dyDescent="0.3">
      <c r="A9" s="471"/>
      <c r="B9" s="156">
        <f>+'GRUPO A'!M23</f>
        <v>0</v>
      </c>
      <c r="C9" s="156">
        <f>+'GRUPO A'!C23</f>
        <v>0</v>
      </c>
      <c r="D9" s="156">
        <f>+'GRUPO A'!E23</f>
        <v>0</v>
      </c>
      <c r="E9" s="156">
        <f>+'GRUPO A'!G23</f>
        <v>0</v>
      </c>
      <c r="F9" s="156">
        <f>+'GRUPO A'!I23</f>
        <v>0</v>
      </c>
      <c r="G9" s="156">
        <f>+'GRUPO A'!K23</f>
        <v>0</v>
      </c>
      <c r="H9" s="157" t="str">
        <f>+'GRUPO A'!B4</f>
        <v>GRUPO A</v>
      </c>
      <c r="J9" s="160">
        <f>+'GRUPO A'!P26</f>
        <v>0</v>
      </c>
      <c r="K9" s="154">
        <f>+'GRUPO A'!Q26</f>
        <v>0</v>
      </c>
      <c r="L9" s="154">
        <f>+'GRUPO A'!R26</f>
        <v>0</v>
      </c>
      <c r="M9" s="154">
        <f>+'GRUPO A'!S26</f>
        <v>0</v>
      </c>
      <c r="N9" s="154">
        <f>+'GRUPO A'!T26</f>
        <v>0</v>
      </c>
      <c r="O9" s="154">
        <f>+'GRUPO A'!U26</f>
        <v>0</v>
      </c>
      <c r="P9" s="154">
        <f>+'GRUPO A'!V26</f>
        <v>0</v>
      </c>
      <c r="Q9" s="154">
        <f>+'GRUPO A'!W26</f>
        <v>0</v>
      </c>
      <c r="R9" s="154">
        <f>+'GRUPO A'!X26</f>
        <v>0</v>
      </c>
      <c r="S9" s="154">
        <f>+'GRUPO A'!Y26</f>
        <v>0</v>
      </c>
    </row>
    <row r="10" spans="1:19" ht="21" hidden="1" customHeight="1" x14ac:dyDescent="0.3">
      <c r="A10" s="471"/>
      <c r="B10" s="154">
        <f>+'GRUPO B'!M20</f>
        <v>0</v>
      </c>
      <c r="C10" s="154">
        <f>+'GRUPO B'!C20</f>
        <v>0</v>
      </c>
      <c r="D10" s="154">
        <f>+'GRUPO B'!E20</f>
        <v>0</v>
      </c>
      <c r="E10" s="154">
        <f>+'GRUPO B'!G20</f>
        <v>0</v>
      </c>
      <c r="F10" s="154">
        <f>+'GRUPO B'!I20</f>
        <v>0</v>
      </c>
      <c r="G10" s="154">
        <f>+'GRUPO B'!K20</f>
        <v>0</v>
      </c>
      <c r="H10" s="154" t="str">
        <f>+'GRUPO B'!B4</f>
        <v>GRUPO B</v>
      </c>
      <c r="J10" s="160">
        <f>+'GRUPO A'!P28</f>
        <v>0</v>
      </c>
      <c r="K10" s="154">
        <f>+'GRUPO A'!Q28</f>
        <v>0</v>
      </c>
      <c r="L10" s="154">
        <f>+'GRUPO A'!R28</f>
        <v>0</v>
      </c>
      <c r="M10" s="154">
        <f>+'GRUPO A'!S28</f>
        <v>0</v>
      </c>
      <c r="N10" s="154">
        <f>+'GRUPO A'!T28</f>
        <v>0</v>
      </c>
      <c r="O10" s="154">
        <f>+'GRUPO A'!U28</f>
        <v>0</v>
      </c>
      <c r="P10" s="154">
        <f>+'GRUPO A'!V28</f>
        <v>0</v>
      </c>
      <c r="Q10" s="154">
        <f>+'GRUPO A'!W28</f>
        <v>0</v>
      </c>
      <c r="R10" s="154">
        <f>+'GRUPO A'!X28</f>
        <v>0</v>
      </c>
      <c r="S10" s="154">
        <f>+'GRUPO A'!Y28</f>
        <v>0</v>
      </c>
    </row>
    <row r="11" spans="1:19" ht="21" hidden="1" customHeight="1" x14ac:dyDescent="0.3">
      <c r="A11" s="471"/>
      <c r="B11" s="156">
        <f>+'GRUPO B'!M23</f>
        <v>0</v>
      </c>
      <c r="C11" s="156">
        <f>+'GRUPO B'!C23</f>
        <v>0</v>
      </c>
      <c r="D11" s="156">
        <f>+'GRUPO B'!E23</f>
        <v>0</v>
      </c>
      <c r="E11" s="156">
        <f>+'GRUPO B'!G23</f>
        <v>0</v>
      </c>
      <c r="F11" s="156">
        <f>+'GRUPO B'!I23</f>
        <v>0</v>
      </c>
      <c r="G11" s="156">
        <f>+'GRUPO B'!K23</f>
        <v>0</v>
      </c>
      <c r="H11" s="157" t="str">
        <f>+'GRUPO B'!B4</f>
        <v>GRUPO B</v>
      </c>
    </row>
    <row r="12" spans="1:19" ht="21" hidden="1" customHeight="1" x14ac:dyDescent="0.3">
      <c r="A12" s="471"/>
      <c r="B12" s="154">
        <f>+'GRUPO C'!M20</f>
        <v>0</v>
      </c>
      <c r="C12" s="154">
        <f>+'GRUPO C'!C20</f>
        <v>0</v>
      </c>
      <c r="D12" s="154">
        <f>+'GRUPO C'!E20</f>
        <v>0</v>
      </c>
      <c r="E12" s="154">
        <f>+'GRUPO C'!G20</f>
        <v>0</v>
      </c>
      <c r="F12" s="154">
        <f>+'GRUPO C'!I20</f>
        <v>0</v>
      </c>
      <c r="G12" s="154">
        <f>+'GRUPO C'!K20</f>
        <v>0</v>
      </c>
      <c r="H12" s="154" t="str">
        <f>+'GRUPO C'!B4</f>
        <v>GRUPO C</v>
      </c>
      <c r="J12" s="158" t="str">
        <f>+'GRUPO B'!B4</f>
        <v>GRUPO B</v>
      </c>
      <c r="K12" s="158" t="str">
        <f>+'GRUPO B'!Q8</f>
        <v>Pts.</v>
      </c>
      <c r="L12" s="158" t="str">
        <f>+'GRUPO B'!R8</f>
        <v>PJ</v>
      </c>
      <c r="M12" s="158" t="str">
        <f>+'GRUPO B'!S8</f>
        <v>Gan.</v>
      </c>
      <c r="N12" s="158" t="str">
        <f>+'GRUPO B'!T8</f>
        <v>Emp.</v>
      </c>
      <c r="O12" s="158" t="str">
        <f>+'GRUPO B'!U8</f>
        <v>Per.</v>
      </c>
      <c r="P12" s="158" t="str">
        <f>+'GRUPO B'!V8</f>
        <v>GF</v>
      </c>
      <c r="Q12" s="158" t="str">
        <f>+'GRUPO B'!W8</f>
        <v>GC</v>
      </c>
      <c r="R12" s="158" t="str">
        <f>+'GRUPO B'!X8</f>
        <v>Dif.</v>
      </c>
      <c r="S12" s="158" t="str">
        <f>+'GRUPO B'!Y8</f>
        <v>Tj</v>
      </c>
    </row>
    <row r="13" spans="1:19" ht="21" hidden="1" customHeight="1" x14ac:dyDescent="0.3">
      <c r="A13" s="471"/>
      <c r="B13" s="156">
        <f>+'GRUPO C'!M23</f>
        <v>0</v>
      </c>
      <c r="C13" s="156">
        <f>+'GRUPO C'!C23</f>
        <v>0</v>
      </c>
      <c r="D13" s="156">
        <f>+'GRUPO C'!E23</f>
        <v>0</v>
      </c>
      <c r="E13" s="156">
        <f>+'GRUPO C'!G20</f>
        <v>0</v>
      </c>
      <c r="F13" s="156">
        <f>+'GRUPO C'!I23</f>
        <v>0</v>
      </c>
      <c r="G13" s="156">
        <f>+'GRUPO C'!K20</f>
        <v>0</v>
      </c>
      <c r="H13" s="157" t="str">
        <f>+'GRUPO C'!B4</f>
        <v>GRUPO C</v>
      </c>
      <c r="J13" s="160" t="str">
        <f>+'GRUPO B'!P10</f>
        <v xml:space="preserve">  1)  ATHLETIC MELGAR</v>
      </c>
      <c r="K13" s="154">
        <f>+'GRUPO B'!Q10</f>
        <v>6</v>
      </c>
      <c r="L13" s="154">
        <f>+'GRUPO B'!R10</f>
        <v>3</v>
      </c>
      <c r="M13" s="154">
        <f>+'GRUPO B'!S10</f>
        <v>2</v>
      </c>
      <c r="N13" s="154">
        <f>+'GRUPO B'!T10</f>
        <v>0</v>
      </c>
      <c r="O13" s="154">
        <f>+'GRUPO B'!U10</f>
        <v>1</v>
      </c>
      <c r="P13" s="154">
        <f>+'GRUPO B'!V10</f>
        <v>9</v>
      </c>
      <c r="Q13" s="154">
        <f>+'GRUPO B'!W10</f>
        <v>2</v>
      </c>
      <c r="R13" s="154">
        <f>+'GRUPO B'!X10</f>
        <v>7</v>
      </c>
      <c r="S13" s="154">
        <f>+'GRUPO B'!Y10</f>
        <v>0</v>
      </c>
    </row>
    <row r="14" spans="1:19" ht="21" hidden="1" customHeight="1" x14ac:dyDescent="0.3">
      <c r="A14" s="471"/>
      <c r="B14" s="154">
        <f>+'GRUPO D'!M20</f>
        <v>0</v>
      </c>
      <c r="C14" s="154">
        <f>+'GRUPO D'!C20</f>
        <v>0</v>
      </c>
      <c r="D14" s="154">
        <f>+'GRUPO D'!E20</f>
        <v>0</v>
      </c>
      <c r="E14" s="154">
        <f>+'GRUPO D'!G20</f>
        <v>0</v>
      </c>
      <c r="F14" s="154">
        <f>+'GRUPO D'!I20</f>
        <v>0</v>
      </c>
      <c r="G14" s="154">
        <f>+'GRUPO D'!K20</f>
        <v>0</v>
      </c>
      <c r="H14" s="154" t="str">
        <f>+'GRUPO D'!B4</f>
        <v>GRUPO D</v>
      </c>
      <c r="J14" s="160" t="str">
        <f>+'GRUPO B'!P12</f>
        <v xml:space="preserve">  2)  GOLDEN STEPS</v>
      </c>
      <c r="K14" s="154">
        <f>+'GRUPO B'!Q12</f>
        <v>4</v>
      </c>
      <c r="L14" s="154">
        <f>+'GRUPO B'!R12</f>
        <v>3</v>
      </c>
      <c r="M14" s="154">
        <f>+'GRUPO B'!S12</f>
        <v>1</v>
      </c>
      <c r="N14" s="154">
        <f>+'GRUPO B'!T12</f>
        <v>1</v>
      </c>
      <c r="O14" s="154">
        <f>+'GRUPO B'!U12</f>
        <v>1</v>
      </c>
      <c r="P14" s="154">
        <f>+'GRUPO B'!V12</f>
        <v>4</v>
      </c>
      <c r="Q14" s="154">
        <f>+'GRUPO B'!W12</f>
        <v>5</v>
      </c>
      <c r="R14" s="154">
        <f>+'GRUPO B'!X12</f>
        <v>-1</v>
      </c>
      <c r="S14" s="154">
        <f>+'GRUPO B'!Y12</f>
        <v>0</v>
      </c>
    </row>
    <row r="15" spans="1:19" ht="21" hidden="1" customHeight="1" x14ac:dyDescent="0.3">
      <c r="A15" s="471"/>
      <c r="B15" s="156">
        <f>+'GRUPO D'!M23</f>
        <v>0</v>
      </c>
      <c r="C15" s="156">
        <f>+'GRUPO D'!C23</f>
        <v>0</v>
      </c>
      <c r="D15" s="156">
        <f>+'GRUPO D'!E23</f>
        <v>0</v>
      </c>
      <c r="E15" s="156">
        <f>+'GRUPO D'!G23</f>
        <v>0</v>
      </c>
      <c r="F15" s="156">
        <f>+'GRUPO D'!I23</f>
        <v>0</v>
      </c>
      <c r="G15" s="156">
        <f>+'GRUPO D'!K23</f>
        <v>0</v>
      </c>
      <c r="H15" s="157" t="str">
        <f>+'GRUPO D'!B4</f>
        <v>GRUPO D</v>
      </c>
      <c r="J15" s="160" t="str">
        <f>+'GRUPO B'!P14</f>
        <v xml:space="preserve">  3)  LIONTA F. C.</v>
      </c>
      <c r="K15" s="154">
        <f>+'GRUPO B'!Q14</f>
        <v>0</v>
      </c>
      <c r="L15" s="154">
        <f>+'GRUPO B'!R14</f>
        <v>3</v>
      </c>
      <c r="M15" s="154">
        <f>+'GRUPO B'!S14</f>
        <v>0</v>
      </c>
      <c r="N15" s="154">
        <f>+'GRUPO B'!T14</f>
        <v>0</v>
      </c>
      <c r="O15" s="154">
        <f>+'GRUPO B'!U14</f>
        <v>3</v>
      </c>
      <c r="P15" s="154">
        <f>+'GRUPO B'!V14</f>
        <v>0</v>
      </c>
      <c r="Q15" s="154">
        <f>+'GRUPO B'!W14</f>
        <v>13</v>
      </c>
      <c r="R15" s="154">
        <f>+'GRUPO B'!X14</f>
        <v>-13</v>
      </c>
      <c r="S15" s="154">
        <f>+'GRUPO B'!Y14</f>
        <v>0</v>
      </c>
    </row>
    <row r="16" spans="1:19" ht="2.25" hidden="1" customHeight="1" x14ac:dyDescent="0.3">
      <c r="J16" s="168"/>
    </row>
    <row r="17" spans="1:19" ht="21" hidden="1" customHeight="1" x14ac:dyDescent="0.3">
      <c r="B17" s="472" t="str">
        <f>+'IMPRIMIR 2'!A14</f>
        <v>PARTIDOS                 fecha 2</v>
      </c>
      <c r="C17" s="473"/>
      <c r="D17" s="473"/>
      <c r="E17" s="473"/>
      <c r="F17" s="473"/>
      <c r="G17" s="473"/>
      <c r="H17" s="474"/>
      <c r="J17" s="160">
        <f>+'GRUPO B'!P16</f>
        <v>0</v>
      </c>
      <c r="K17" s="154">
        <f>+'GRUPO B'!Q16</f>
        <v>0</v>
      </c>
      <c r="L17" s="154">
        <f>+'GRUPO B'!R16</f>
        <v>0</v>
      </c>
      <c r="M17" s="154">
        <f>+'GRUPO B'!S16</f>
        <v>0</v>
      </c>
      <c r="N17" s="154">
        <f>+'GRUPO B'!T16</f>
        <v>0</v>
      </c>
      <c r="O17" s="154">
        <f>+'GRUPO B'!U16</f>
        <v>0</v>
      </c>
      <c r="P17" s="154">
        <f>+'GRUPO B'!V16</f>
        <v>0</v>
      </c>
      <c r="Q17" s="154">
        <f>+'GRUPO B'!W16</f>
        <v>0</v>
      </c>
      <c r="R17" s="154">
        <f>+'GRUPO B'!X16</f>
        <v>0</v>
      </c>
      <c r="S17" s="154">
        <f>+'GRUPO B'!Y16</f>
        <v>0</v>
      </c>
    </row>
    <row r="18" spans="1:19" ht="21" hidden="1" customHeight="1" x14ac:dyDescent="0.3">
      <c r="B18" s="165" t="s">
        <v>68</v>
      </c>
      <c r="C18" s="165" t="s">
        <v>69</v>
      </c>
      <c r="D18" s="165" t="s">
        <v>70</v>
      </c>
      <c r="E18" s="469" t="s">
        <v>71</v>
      </c>
      <c r="F18" s="469"/>
      <c r="G18" s="165" t="s">
        <v>70</v>
      </c>
      <c r="H18" s="165" t="s">
        <v>72</v>
      </c>
    </row>
    <row r="19" spans="1:19" ht="21" hidden="1" customHeight="1" x14ac:dyDescent="0.3">
      <c r="A19" s="470">
        <f>+'GRUPO A'!B26</f>
        <v>0</v>
      </c>
      <c r="B19" s="154">
        <f>+'GRUPO A'!M26</f>
        <v>0</v>
      </c>
      <c r="C19" s="154">
        <f>+'GRUPO A'!C26</f>
        <v>0</v>
      </c>
      <c r="D19" s="154">
        <f>+'GRUPO A'!E26</f>
        <v>0</v>
      </c>
      <c r="E19" s="154">
        <f>+'GRUPO A'!G26</f>
        <v>0</v>
      </c>
      <c r="F19" s="154">
        <f>+'GRUPO A'!I26</f>
        <v>0</v>
      </c>
      <c r="G19" s="154">
        <f>+'GRUPO A'!K26</f>
        <v>0</v>
      </c>
      <c r="H19" s="155" t="str">
        <f>+'GRUPO A'!B4</f>
        <v>GRUPO A</v>
      </c>
      <c r="J19" s="161" t="str">
        <f>+'GRUPO C'!B4</f>
        <v>GRUPO C</v>
      </c>
      <c r="K19" s="162" t="str">
        <f>+'GRUPO C'!Q8</f>
        <v>Pts.</v>
      </c>
      <c r="L19" s="162" t="str">
        <f>+'GRUPO C'!R8</f>
        <v>PJ</v>
      </c>
      <c r="M19" s="162" t="str">
        <f>+'GRUPO C'!S8</f>
        <v>Gan.</v>
      </c>
      <c r="N19" s="162" t="str">
        <f>+'GRUPO C'!T8</f>
        <v>Emp.</v>
      </c>
      <c r="O19" s="162" t="str">
        <f>+'GRUPO C'!U8</f>
        <v>Per.</v>
      </c>
      <c r="P19" s="162" t="str">
        <f>+'GRUPO C'!V8</f>
        <v>GF</v>
      </c>
      <c r="Q19" s="162" t="str">
        <f>+'GRUPO C'!W8</f>
        <v>GC</v>
      </c>
      <c r="R19" s="162" t="str">
        <f>+'GRUPO C'!X8</f>
        <v>Dif.</v>
      </c>
      <c r="S19" s="162" t="str">
        <f>+'GRUPO C'!Y8</f>
        <v>Tj</v>
      </c>
    </row>
    <row r="20" spans="1:19" ht="21" hidden="1" customHeight="1" x14ac:dyDescent="0.3">
      <c r="A20" s="471"/>
      <c r="B20" s="156" t="str">
        <f>+'GRUPO A'!M29</f>
        <v>CANCHA 1 C</v>
      </c>
      <c r="C20" s="156" t="str">
        <f>+'GRUPO A'!C29</f>
        <v>12:50. p.m.</v>
      </c>
      <c r="D20" s="156" t="str">
        <f>+'GRUPO A'!E29</f>
        <v>JAGUARES F. C.</v>
      </c>
      <c r="E20" s="156">
        <f>+'GRUPO A'!G29</f>
        <v>0</v>
      </c>
      <c r="F20" s="156">
        <f>+'GRUPO A'!I29</f>
        <v>3</v>
      </c>
      <c r="G20" s="156" t="str">
        <f>+'GRUPO A'!K29</f>
        <v>JUDERCAR F. C.</v>
      </c>
      <c r="H20" s="157" t="str">
        <f>+'GRUPO A'!B4</f>
        <v>GRUPO A</v>
      </c>
      <c r="J20" s="160" t="str">
        <f>+'GRUPO C'!P10</f>
        <v xml:space="preserve">  1)  CLUB DEPORTIVO NASSUAR</v>
      </c>
      <c r="K20" s="154">
        <f>+'GRUPO C'!Q10</f>
        <v>7</v>
      </c>
      <c r="L20" s="154">
        <f>+'GRUPO C'!R10</f>
        <v>3</v>
      </c>
      <c r="M20" s="154">
        <f>+'GRUPO C'!S10</f>
        <v>2</v>
      </c>
      <c r="N20" s="154">
        <f>+'GRUPO C'!T10</f>
        <v>1</v>
      </c>
      <c r="O20" s="154">
        <f>+'GRUPO C'!U10</f>
        <v>0</v>
      </c>
      <c r="P20" s="154">
        <f>+'GRUPO C'!V10</f>
        <v>5</v>
      </c>
      <c r="Q20" s="154">
        <f>+'GRUPO C'!W10</f>
        <v>1</v>
      </c>
      <c r="R20" s="154">
        <f>+'GRUPO C'!X10</f>
        <v>4</v>
      </c>
      <c r="S20" s="154">
        <f>+'GRUPO C'!Y10</f>
        <v>0</v>
      </c>
    </row>
    <row r="21" spans="1:19" ht="21" hidden="1" customHeight="1" x14ac:dyDescent="0.3">
      <c r="A21" s="471"/>
      <c r="B21" s="154">
        <f>+'GRUPO B'!M26</f>
        <v>0</v>
      </c>
      <c r="C21" s="154">
        <f>+'GRUPO B'!C26</f>
        <v>0</v>
      </c>
      <c r="D21" s="154">
        <f>+'GRUPO B'!E26</f>
        <v>0</v>
      </c>
      <c r="E21" s="154">
        <f>+'GRUPO B'!G26</f>
        <v>0</v>
      </c>
      <c r="F21" s="154">
        <f>+'GRUPO B'!I26</f>
        <v>0</v>
      </c>
      <c r="G21" s="154">
        <f>+'GRUPO B'!K26</f>
        <v>0</v>
      </c>
      <c r="H21" s="155" t="str">
        <f>+'GRUPO B'!B4</f>
        <v>GRUPO B</v>
      </c>
      <c r="J21" s="160" t="str">
        <f>+'GRUPO C'!P12</f>
        <v xml:space="preserve">  2)  SPORTING CLUB VILLAVICENCIO</v>
      </c>
      <c r="K21" s="154">
        <f>+'GRUPO C'!Q12</f>
        <v>7</v>
      </c>
      <c r="L21" s="154">
        <f>+'GRUPO C'!R12</f>
        <v>3</v>
      </c>
      <c r="M21" s="154">
        <f>+'GRUPO C'!S12</f>
        <v>2</v>
      </c>
      <c r="N21" s="154">
        <f>+'GRUPO C'!T12</f>
        <v>1</v>
      </c>
      <c r="O21" s="154">
        <f>+'GRUPO C'!U12</f>
        <v>0</v>
      </c>
      <c r="P21" s="154">
        <f>+'GRUPO C'!V12</f>
        <v>6</v>
      </c>
      <c r="Q21" s="154">
        <f>+'GRUPO C'!W12</f>
        <v>3</v>
      </c>
      <c r="R21" s="154">
        <f>+'GRUPO C'!X12</f>
        <v>3</v>
      </c>
      <c r="S21" s="154">
        <f>+'GRUPO C'!Y12</f>
        <v>0</v>
      </c>
    </row>
    <row r="22" spans="1:19" ht="21" hidden="1" customHeight="1" x14ac:dyDescent="0.3">
      <c r="A22" s="471"/>
      <c r="B22" s="156" t="str">
        <f>+'GRUPO B'!M29</f>
        <v>CANCHA 1 A</v>
      </c>
      <c r="C22" s="156" t="str">
        <f>+'GRUPO B'!C29</f>
        <v>10:50. a.m.</v>
      </c>
      <c r="D22" s="156" t="str">
        <f>+'GRUPO B'!E29</f>
        <v>GOLDEN STEPS</v>
      </c>
      <c r="E22" s="156">
        <f>+'GRUPO B'!G29</f>
        <v>3</v>
      </c>
      <c r="F22" s="156">
        <f>+'GRUPO B'!I29</f>
        <v>0</v>
      </c>
      <c r="G22" s="156" t="str">
        <f>+'GRUPO B'!K29</f>
        <v>LIONTA F. C.</v>
      </c>
      <c r="H22" s="157" t="str">
        <f>+'GRUPO B'!B4</f>
        <v>GRUPO B</v>
      </c>
      <c r="J22" s="160" t="str">
        <f>+'GRUPO C'!P14</f>
        <v xml:space="preserve">  3)  LE MAX TEAM</v>
      </c>
      <c r="K22" s="154">
        <f>+'GRUPO C'!Q14</f>
        <v>1</v>
      </c>
      <c r="L22" s="154">
        <f>+'GRUPO C'!R14</f>
        <v>3</v>
      </c>
      <c r="M22" s="154">
        <f>+'GRUPO C'!S14</f>
        <v>0</v>
      </c>
      <c r="N22" s="154">
        <f>+'GRUPO C'!T14</f>
        <v>1</v>
      </c>
      <c r="O22" s="154">
        <f>+'GRUPO C'!U14</f>
        <v>2</v>
      </c>
      <c r="P22" s="154">
        <f>+'GRUPO C'!V14</f>
        <v>1</v>
      </c>
      <c r="Q22" s="154">
        <f>+'GRUPO C'!W14</f>
        <v>6</v>
      </c>
      <c r="R22" s="154">
        <f>+'GRUPO C'!X14</f>
        <v>-5</v>
      </c>
      <c r="S22" s="154">
        <f>+'GRUPO C'!Y14</f>
        <v>0</v>
      </c>
    </row>
    <row r="23" spans="1:19" ht="21" hidden="1" customHeight="1" x14ac:dyDescent="0.3">
      <c r="A23" s="471"/>
      <c r="B23" s="154" t="str">
        <f>+'GRUPO C'!M26</f>
        <v>CANCHA 1 C</v>
      </c>
      <c r="C23" s="154" t="str">
        <f>+'GRUPO C'!C26</f>
        <v>03:50. p.m.</v>
      </c>
      <c r="D23" s="154" t="str">
        <f>+'GRUPO C'!E26</f>
        <v>LE MAX TEAM</v>
      </c>
      <c r="E23" s="154">
        <f>+'GRUPO C'!G26</f>
        <v>0</v>
      </c>
      <c r="F23" s="154">
        <f>+'GRUPO C'!I26</f>
        <v>3</v>
      </c>
      <c r="G23" s="154" t="str">
        <f>+'GRUPO C'!K26</f>
        <v>CLUB DEPORTIVO NASSUAR</v>
      </c>
      <c r="H23" s="154" t="str">
        <f>+'GRUPO C'!B4</f>
        <v>GRUPO C</v>
      </c>
      <c r="J23" s="160">
        <f>+'GRUPO C'!P16</f>
        <v>0</v>
      </c>
      <c r="K23" s="154">
        <f>+'GRUPO C'!Q16</f>
        <v>0</v>
      </c>
      <c r="L23" s="154">
        <f>+'GRUPO C'!R16</f>
        <v>0</v>
      </c>
      <c r="M23" s="154">
        <f>+'GRUPO C'!S16</f>
        <v>0</v>
      </c>
      <c r="N23" s="154">
        <f>+'GRUPO C'!T16</f>
        <v>0</v>
      </c>
      <c r="O23" s="154">
        <f>+'GRUPO C'!U16</f>
        <v>0</v>
      </c>
      <c r="P23" s="154">
        <f>+'GRUPO C'!V16</f>
        <v>0</v>
      </c>
      <c r="Q23" s="154">
        <f>+'GRUPO C'!W16</f>
        <v>0</v>
      </c>
      <c r="R23" s="154">
        <f>+'GRUPO C'!X16</f>
        <v>0</v>
      </c>
      <c r="S23" s="154">
        <f>+'GRUPO C'!Y16</f>
        <v>0</v>
      </c>
    </row>
    <row r="24" spans="1:19" ht="21" hidden="1" customHeight="1" x14ac:dyDescent="0.3">
      <c r="A24" s="471"/>
      <c r="B24" s="156" t="str">
        <f>+'GRUPO C'!M29</f>
        <v>CANCHA 1 A</v>
      </c>
      <c r="C24" s="156" t="str">
        <f>+'GRUPO C'!C29</f>
        <v>12:50. p.m.</v>
      </c>
      <c r="D24" s="156" t="str">
        <f>+'GRUPO C'!E29</f>
        <v>LE MAX TEAM</v>
      </c>
      <c r="E24" s="156">
        <f>+'GRUPO C'!G29</f>
        <v>0</v>
      </c>
      <c r="F24" s="156">
        <f>+'GRUPO C'!I29</f>
        <v>2</v>
      </c>
      <c r="G24" s="156" t="str">
        <f>+'GRUPO C'!K29</f>
        <v>SPORTING CLUB VILLAVICENCIO</v>
      </c>
      <c r="H24" s="157" t="str">
        <f>+'GRUPO C'!B4</f>
        <v>GRUPO C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471"/>
      <c r="B25" s="154" t="str">
        <f>+'GRUPO D'!M26</f>
        <v>CANCHA 1 B</v>
      </c>
      <c r="C25" s="154" t="str">
        <f>+'GRUPO D'!C26</f>
        <v>09:50. a.m.</v>
      </c>
      <c r="D25" s="154" t="str">
        <f>+'GRUPO D'!E26</f>
        <v>E.D.F CHOCONTA</v>
      </c>
      <c r="E25" s="154">
        <f>+'GRUPO D'!G26</f>
        <v>1</v>
      </c>
      <c r="F25" s="154">
        <f>+'GRUPO D'!I26</f>
        <v>2</v>
      </c>
      <c r="G25" s="154" t="str">
        <f>+'GRUPO D'!K26</f>
        <v>IMPERIUM FÚTBOL CLUB</v>
      </c>
      <c r="H25" s="154" t="str">
        <f>+'GRUPO D'!B4</f>
        <v>GRUPO D</v>
      </c>
      <c r="J25" s="163" t="str">
        <f>+'GRUPO D'!B4</f>
        <v>GRUPO D</v>
      </c>
      <c r="K25" s="164" t="str">
        <f>+'GRUPO D'!Q8</f>
        <v>Pts.</v>
      </c>
      <c r="L25" s="164" t="str">
        <f>+'GRUPO D'!R8</f>
        <v>PJ</v>
      </c>
      <c r="M25" s="164" t="str">
        <f>+'GRUPO D'!S8</f>
        <v>Gan.</v>
      </c>
      <c r="N25" s="164" t="str">
        <f>+'GRUPO D'!T8</f>
        <v>Emp.</v>
      </c>
      <c r="O25" s="164" t="str">
        <f>+'GRUPO D'!U8</f>
        <v>Per.</v>
      </c>
      <c r="P25" s="164" t="str">
        <f>+'GRUPO D'!V8</f>
        <v>GF</v>
      </c>
      <c r="Q25" s="164" t="str">
        <f>+'GRUPO D'!W8</f>
        <v>GC</v>
      </c>
      <c r="R25" s="164" t="str">
        <f>+'GRUPO D'!X8</f>
        <v>Dif.</v>
      </c>
      <c r="S25" s="164" t="str">
        <f>+'GRUPO D'!Y8</f>
        <v>Tj</v>
      </c>
    </row>
    <row r="26" spans="1:19" ht="21" hidden="1" customHeight="1" x14ac:dyDescent="0.3">
      <c r="A26" s="471"/>
      <c r="B26" s="156" t="str">
        <f>+'GRUPO D'!M29</f>
        <v>CANCHA 1 A</v>
      </c>
      <c r="C26" s="156" t="str">
        <f>+'GRUPO D'!C29</f>
        <v>11:55. a.m.</v>
      </c>
      <c r="D26" s="156" t="str">
        <f>+'GRUPO D'!E29</f>
        <v>E.D.F CHOCONTA</v>
      </c>
      <c r="E26" s="156">
        <f>+'GRUPO D'!G29</f>
        <v>0</v>
      </c>
      <c r="F26" s="156">
        <f>+'GRUPO D'!I29</f>
        <v>0</v>
      </c>
      <c r="G26" s="156" t="str">
        <f>+'GRUPO D'!K29</f>
        <v>ACADEMIA F.C SEDE RESTREPO</v>
      </c>
      <c r="H26" s="157" t="str">
        <f>+'GRUPO D'!B4</f>
        <v>GRUPO D</v>
      </c>
      <c r="J26" s="160" t="str">
        <f>+'GRUPO D'!P10</f>
        <v xml:space="preserve">  1)  IMPERIUM FÚTBOL CLUB</v>
      </c>
      <c r="K26" s="154">
        <f>+'GRUPO D'!Q10</f>
        <v>7</v>
      </c>
      <c r="L26" s="154">
        <f>+'GRUPO D'!R10</f>
        <v>3</v>
      </c>
      <c r="M26" s="154">
        <f>+'GRUPO D'!S10</f>
        <v>2</v>
      </c>
      <c r="N26" s="154">
        <f>+'GRUPO D'!T10</f>
        <v>1</v>
      </c>
      <c r="O26" s="154">
        <f>+'GRUPO D'!U10</f>
        <v>0</v>
      </c>
      <c r="P26" s="154">
        <f>+'GRUPO D'!V10</f>
        <v>7</v>
      </c>
      <c r="Q26" s="154">
        <f>+'GRUPO D'!W10</f>
        <v>3</v>
      </c>
      <c r="R26" s="154">
        <f>+'GRUPO D'!X10</f>
        <v>4</v>
      </c>
      <c r="S26" s="154">
        <f>+'GRUPO D'!Y10</f>
        <v>0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463" t="str">
        <f>+'IMPRIMIR 3'!A17</f>
        <v>PARTIDOS                 fecha 3 ULTIMA</v>
      </c>
      <c r="C28" s="464"/>
      <c r="D28" s="464"/>
      <c r="E28" s="464"/>
      <c r="F28" s="464"/>
      <c r="G28" s="464"/>
      <c r="H28" s="465"/>
      <c r="J28" s="160" t="str">
        <f>+'GRUPO D'!P12</f>
        <v xml:space="preserve">  2)  E.D.F CHOCONTA</v>
      </c>
      <c r="K28" s="154">
        <f>+'GRUPO D'!Q12</f>
        <v>1</v>
      </c>
      <c r="L28" s="154">
        <f>+'GRUPO D'!R12</f>
        <v>3</v>
      </c>
      <c r="M28" s="154">
        <f>+'GRUPO D'!S12</f>
        <v>0</v>
      </c>
      <c r="N28" s="154">
        <f>+'GRUPO D'!T12</f>
        <v>1</v>
      </c>
      <c r="O28" s="154">
        <f>+'GRUPO D'!U12</f>
        <v>2</v>
      </c>
      <c r="P28" s="154">
        <f>+'GRUPO D'!V12</f>
        <v>2</v>
      </c>
      <c r="Q28" s="154">
        <f>+'GRUPO D'!W12</f>
        <v>4</v>
      </c>
      <c r="R28" s="154">
        <f>+'GRUPO D'!X12</f>
        <v>-2</v>
      </c>
      <c r="S28" s="154">
        <f>+'GRUPO D'!Y12</f>
        <v>0</v>
      </c>
    </row>
    <row r="29" spans="1:19" ht="21" hidden="1" customHeight="1" x14ac:dyDescent="0.3">
      <c r="B29" s="165" t="s">
        <v>68</v>
      </c>
      <c r="C29" s="165" t="s">
        <v>69</v>
      </c>
      <c r="D29" s="165" t="s">
        <v>70</v>
      </c>
      <c r="E29" s="469" t="s">
        <v>71</v>
      </c>
      <c r="F29" s="469"/>
      <c r="G29" s="165" t="s">
        <v>70</v>
      </c>
      <c r="H29" s="165" t="s">
        <v>72</v>
      </c>
      <c r="J29" s="160" t="str">
        <f>+'GRUPO D'!P14</f>
        <v xml:space="preserve">  3)  ACADEMIA F.C SEDE RESTREPO</v>
      </c>
      <c r="K29" s="154">
        <f>+'GRUPO D'!Q14</f>
        <v>1</v>
      </c>
      <c r="L29" s="154">
        <f>+'GRUPO D'!R14</f>
        <v>3</v>
      </c>
      <c r="M29" s="154">
        <f>+'GRUPO D'!S14</f>
        <v>0</v>
      </c>
      <c r="N29" s="154">
        <f>+'GRUPO D'!T14</f>
        <v>1</v>
      </c>
      <c r="O29" s="154">
        <f>+'GRUPO D'!U14</f>
        <v>2</v>
      </c>
      <c r="P29" s="154">
        <f>+'GRUPO D'!V14</f>
        <v>4</v>
      </c>
      <c r="Q29" s="154">
        <f>+'GRUPO D'!W14</f>
        <v>8</v>
      </c>
      <c r="R29" s="154">
        <f>+'GRUPO D'!X14</f>
        <v>-4</v>
      </c>
      <c r="S29" s="154">
        <f>+'GRUPO D'!Y14</f>
        <v>0</v>
      </c>
    </row>
    <row r="30" spans="1:19" ht="21" hidden="1" customHeight="1" x14ac:dyDescent="0.3">
      <c r="A30" s="470">
        <f>+'GRUPO A'!B32</f>
        <v>42967</v>
      </c>
      <c r="B30" s="154" t="str">
        <f>+'GRUPO A'!M32</f>
        <v>CANCHA 1 A</v>
      </c>
      <c r="C30" s="154" t="str">
        <f>+'GRUPO A'!C32</f>
        <v>09:50. a.m.</v>
      </c>
      <c r="D30" s="154" t="str">
        <f>+'GRUPO A'!E32</f>
        <v>TROYA F. C.</v>
      </c>
      <c r="E30" s="154">
        <f>+'GRUPO A'!G32</f>
        <v>1</v>
      </c>
      <c r="F30" s="154">
        <f>+'GRUPO A'!I32</f>
        <v>0</v>
      </c>
      <c r="G30" s="154" t="str">
        <f>+'GRUPO A'!K32</f>
        <v>JUDERCAR F. C.</v>
      </c>
      <c r="H30" s="155" t="str">
        <f>+'GRUPO A'!B4</f>
        <v>GRUPO A</v>
      </c>
      <c r="J30" s="160">
        <f>+'GRUPO D'!P16</f>
        <v>0</v>
      </c>
      <c r="K30" s="154">
        <f>+'GRUPO D'!Q16</f>
        <v>0</v>
      </c>
      <c r="L30" s="154">
        <f>+'GRUPO D'!R16</f>
        <v>0</v>
      </c>
      <c r="M30" s="154">
        <f>+'GRUPO D'!S16</f>
        <v>0</v>
      </c>
      <c r="N30" s="154">
        <f>+'GRUPO D'!T16</f>
        <v>0</v>
      </c>
      <c r="O30" s="154">
        <f>+'GRUPO D'!U16</f>
        <v>0</v>
      </c>
      <c r="P30" s="154">
        <f>+'GRUPO D'!V16</f>
        <v>0</v>
      </c>
      <c r="Q30" s="154">
        <f>+'GRUPO D'!W16</f>
        <v>0</v>
      </c>
      <c r="R30" s="154">
        <f>+'GRUPO D'!X16</f>
        <v>0</v>
      </c>
      <c r="S30" s="154">
        <f>+'GRUPO D'!Y16</f>
        <v>0</v>
      </c>
    </row>
    <row r="31" spans="1:19" ht="21" hidden="1" customHeight="1" x14ac:dyDescent="0.3">
      <c r="A31" s="471"/>
      <c r="B31" s="156">
        <f>+'GRUPO A'!M35</f>
        <v>0</v>
      </c>
      <c r="C31" s="156">
        <f>+'GRUPO A'!C35</f>
        <v>0</v>
      </c>
      <c r="D31" s="156">
        <f>+'GRUPO A'!E35</f>
        <v>0</v>
      </c>
      <c r="E31" s="156">
        <f>+'GRUPO A'!G35</f>
        <v>0</v>
      </c>
      <c r="F31" s="156">
        <f>+'GRUPO A'!I35</f>
        <v>0</v>
      </c>
      <c r="G31" s="156">
        <f>+'GRUPO A'!K35</f>
        <v>0</v>
      </c>
      <c r="H31" s="157" t="str">
        <f>+'GRUPO A'!B4</f>
        <v>GRUPO A</v>
      </c>
    </row>
    <row r="32" spans="1:19" ht="21" hidden="1" customHeight="1" x14ac:dyDescent="0.3">
      <c r="A32" s="471"/>
      <c r="B32" s="154" t="str">
        <f>+'GRUPO B'!M32</f>
        <v>CANCHA 1 A</v>
      </c>
      <c r="C32" s="154" t="str">
        <f>+'GRUPO B'!C32</f>
        <v>04:30. p.m.</v>
      </c>
      <c r="D32" s="154" t="str">
        <f>+'GRUPO B'!E32</f>
        <v>ATHLETIC MELGAR</v>
      </c>
      <c r="E32" s="154">
        <f>+'GRUPO B'!G32</f>
        <v>4</v>
      </c>
      <c r="F32" s="154">
        <f>+'GRUPO B'!I32</f>
        <v>0</v>
      </c>
      <c r="G32" s="154" t="str">
        <f>+'GRUPO B'!K32</f>
        <v>LIONTA F. C.</v>
      </c>
      <c r="H32" s="155" t="str">
        <f>+'GRUPO B'!B4</f>
        <v>GRUPO B</v>
      </c>
    </row>
    <row r="33" spans="1:8" ht="21" hidden="1" customHeight="1" x14ac:dyDescent="0.3">
      <c r="A33" s="471"/>
      <c r="B33" s="156">
        <f>+'GRUPO B'!M35</f>
        <v>0</v>
      </c>
      <c r="C33" s="156">
        <f>+'GRUPO B'!C35</f>
        <v>0</v>
      </c>
      <c r="D33" s="156">
        <f>+'GRUPO B'!E35</f>
        <v>0</v>
      </c>
      <c r="E33" s="156">
        <f>+'GRUPO B'!G35</f>
        <v>0</v>
      </c>
      <c r="F33" s="156">
        <f>+'GRUPO B'!I35</f>
        <v>0</v>
      </c>
      <c r="G33" s="156">
        <f>+'GRUPO B'!K35</f>
        <v>0</v>
      </c>
      <c r="H33" s="157" t="str">
        <f>+'GRUPO B'!B4</f>
        <v>GRUPO B</v>
      </c>
    </row>
    <row r="34" spans="1:8" ht="21" hidden="1" customHeight="1" x14ac:dyDescent="0.3">
      <c r="A34" s="471"/>
      <c r="B34" s="154" t="str">
        <f>+'GRUPO C'!M32</f>
        <v>CANCHA 1 C</v>
      </c>
      <c r="C34" s="154" t="str">
        <f>+'GRUPO C'!C32</f>
        <v>09:50. a.m.</v>
      </c>
      <c r="D34" s="154" t="str">
        <f>+'GRUPO C'!E32</f>
        <v>CLUB DEPORTIVO NASSUAR</v>
      </c>
      <c r="E34" s="154">
        <f>+'GRUPO C'!G32</f>
        <v>0</v>
      </c>
      <c r="F34" s="154">
        <f>+'GRUPO C'!I32</f>
        <v>0</v>
      </c>
      <c r="G34" s="154" t="str">
        <f>+'GRUPO C'!K32</f>
        <v>SPORTING CLUB VILLAVICENCIO</v>
      </c>
      <c r="H34" s="154" t="str">
        <f>+'GRUPO C'!B4</f>
        <v>GRUPO C</v>
      </c>
    </row>
    <row r="35" spans="1:8" ht="21" hidden="1" customHeight="1" x14ac:dyDescent="0.3">
      <c r="A35" s="471"/>
      <c r="B35" s="156">
        <f>+'GRUPO C'!M35</f>
        <v>0</v>
      </c>
      <c r="C35" s="156">
        <f>+'GRUPO C'!C35</f>
        <v>0</v>
      </c>
      <c r="D35" s="156">
        <f>+'GRUPO C'!E35</f>
        <v>0</v>
      </c>
      <c r="E35" s="156">
        <f>+'GRUPO C'!G35</f>
        <v>0</v>
      </c>
      <c r="F35" s="156">
        <f>+'GRUPO C'!I35</f>
        <v>0</v>
      </c>
      <c r="G35" s="156">
        <f>+'GRUPO C'!K35</f>
        <v>0</v>
      </c>
      <c r="H35" s="157" t="str">
        <f>+'GRUPO C'!B4</f>
        <v>GRUPO C</v>
      </c>
    </row>
    <row r="36" spans="1:8" ht="21" hidden="1" customHeight="1" x14ac:dyDescent="0.3">
      <c r="A36" s="471"/>
      <c r="B36" s="154" t="str">
        <f>+'GRUPO D'!M32</f>
        <v>CANCHA 1 A</v>
      </c>
      <c r="C36" s="154" t="str">
        <f>+'GRUPO D'!C32</f>
        <v>12:40. p.m.</v>
      </c>
      <c r="D36" s="154" t="str">
        <f>+'GRUPO D'!E32</f>
        <v>IMPERIUM FÚTBOL CLUB</v>
      </c>
      <c r="E36" s="154">
        <f>+'GRUPO D'!G32</f>
        <v>4</v>
      </c>
      <c r="F36" s="154">
        <f>+'GRUPO D'!I32</f>
        <v>1</v>
      </c>
      <c r="G36" s="154" t="str">
        <f>+'GRUPO D'!K32</f>
        <v>ACADEMIA F.C SEDE RESTREPO</v>
      </c>
      <c r="H36" s="154" t="str">
        <f>+'GRUPO D'!B4</f>
        <v>GRUPO D</v>
      </c>
    </row>
    <row r="37" spans="1:8" ht="21" hidden="1" customHeight="1" x14ac:dyDescent="0.3">
      <c r="A37" s="471"/>
      <c r="B37" s="156">
        <f>+'GRUPO D'!M35</f>
        <v>0</v>
      </c>
      <c r="C37" s="156">
        <f>+'GRUPO D'!C35</f>
        <v>0</v>
      </c>
      <c r="D37" s="156">
        <f>+'GRUPO D'!E35</f>
        <v>0</v>
      </c>
      <c r="E37" s="156">
        <f>+'GRUPO D'!G35</f>
        <v>0</v>
      </c>
      <c r="F37" s="156">
        <f>+'GRUPO D'!I35</f>
        <v>0</v>
      </c>
      <c r="G37" s="156">
        <f>+'GRUPO D'!K35</f>
        <v>0</v>
      </c>
      <c r="H37" s="157" t="str">
        <f>+'GRUPO D'!B4</f>
        <v>GRUPO D</v>
      </c>
    </row>
    <row r="38" spans="1:8" ht="3" customHeight="1" x14ac:dyDescent="0.3">
      <c r="B38"/>
      <c r="C38"/>
      <c r="D38"/>
      <c r="E38"/>
      <c r="F38"/>
      <c r="G38"/>
      <c r="H38"/>
    </row>
    <row r="39" spans="1:8" ht="23.25" customHeight="1" x14ac:dyDescent="0.3">
      <c r="B39" s="481" t="str">
        <f>+'CUARTOS DE FINAL.'!B2</f>
        <v>CUARTOS DE FINAL</v>
      </c>
      <c r="C39" s="482"/>
      <c r="D39" s="482"/>
      <c r="E39" s="482"/>
      <c r="F39" s="482"/>
      <c r="G39" s="482"/>
      <c r="H39" s="483"/>
    </row>
    <row r="40" spans="1:8" ht="21" customHeight="1" x14ac:dyDescent="0.3">
      <c r="B40" s="165" t="s">
        <v>68</v>
      </c>
      <c r="C40" s="165" t="s">
        <v>69</v>
      </c>
      <c r="D40" s="165" t="s">
        <v>70</v>
      </c>
      <c r="E40" s="469" t="s">
        <v>71</v>
      </c>
      <c r="F40" s="469"/>
      <c r="G40" s="165" t="s">
        <v>70</v>
      </c>
      <c r="H40" s="165" t="s">
        <v>75</v>
      </c>
    </row>
    <row r="41" spans="1:8" ht="21" customHeight="1" x14ac:dyDescent="0.3">
      <c r="A41" s="470">
        <f>+'CUARTOS DE FINAL.'!B9</f>
        <v>42596</v>
      </c>
      <c r="B41" s="155" t="str">
        <f>+'CUARTOS DE FINAL.'!N6</f>
        <v>PALMARA</v>
      </c>
      <c r="C41" s="154" t="str">
        <f>+'CUARTOS DE FINAL.'!D6</f>
        <v>03:00. p.m.</v>
      </c>
      <c r="D41" s="154" t="e">
        <f>+'CUARTOS DE FINAL.'!G6</f>
        <v>#N/A</v>
      </c>
      <c r="E41" s="154">
        <f>+'CUARTOS DE FINAL.'!H6</f>
        <v>1</v>
      </c>
      <c r="F41" s="154">
        <f>+'CUARTOS DE FINAL.'!J6</f>
        <v>2</v>
      </c>
      <c r="G41" s="154" t="str">
        <f>+'CUARTOS DE FINAL.'!L6</f>
        <v>SPORTING CLUB VILLAVICENCIO</v>
      </c>
      <c r="H41" s="155" t="str">
        <f>+'CUARTOS DE FINAL.'!C6</f>
        <v>LLAVE A</v>
      </c>
    </row>
    <row r="42" spans="1:8" ht="21" customHeight="1" x14ac:dyDescent="0.3">
      <c r="A42" s="470"/>
      <c r="B42" s="157" t="str">
        <f>+'CUARTOS DE FINAL.'!N9</f>
        <v>CANCHA 2</v>
      </c>
      <c r="C42" s="156" t="str">
        <f>+'CUARTOS DE FINAL.'!D9</f>
        <v>04:20. p.m.</v>
      </c>
      <c r="D42" s="156" t="str">
        <f>+'CUARTOS DE FINAL.'!G9</f>
        <v>ATHLETIC MELGAR</v>
      </c>
      <c r="E42" s="156">
        <f>+'CUARTOS DE FINAL.'!H9</f>
        <v>2</v>
      </c>
      <c r="F42" s="156">
        <f>+'CUARTOS DE FINAL.'!J9</f>
        <v>1</v>
      </c>
      <c r="G42" s="156" t="str">
        <f>+'CUARTOS DE FINAL.'!L9</f>
        <v>E.D.F CHOCONTA</v>
      </c>
      <c r="H42" s="157" t="str">
        <f>+'CUARTOS DE FINAL.'!C9</f>
        <v>LLAVE B</v>
      </c>
    </row>
    <row r="43" spans="1:8" ht="21" customHeight="1" x14ac:dyDescent="0.3">
      <c r="A43" s="470"/>
      <c r="B43" s="155" t="str">
        <f>+'CUARTOS DE FINAL.'!N12</f>
        <v>CANCHA 2</v>
      </c>
      <c r="C43" s="154" t="str">
        <f>+'CUARTOS DE FINAL.'!D12</f>
        <v>03:00. p.m.</v>
      </c>
      <c r="D43" s="154" t="str">
        <f>+'CUARTOS DE FINAL.'!G12</f>
        <v>CLUB DEPORTIVO NASSUAR</v>
      </c>
      <c r="E43" s="154">
        <f>+'CUARTOS DE FINAL.'!H12</f>
        <v>1</v>
      </c>
      <c r="F43" s="154">
        <f>+'CUARTOS DE FINAL.'!J12</f>
        <v>2</v>
      </c>
      <c r="G43" s="154" t="e">
        <f>+'CUARTOS DE FINAL.'!L12</f>
        <v>#N/A</v>
      </c>
      <c r="H43" s="155" t="str">
        <f>+'CUARTOS DE FINAL.'!C12</f>
        <v>LLAVE C</v>
      </c>
    </row>
    <row r="44" spans="1:8" ht="21" customHeight="1" x14ac:dyDescent="0.3">
      <c r="A44" s="470"/>
      <c r="B44" s="157" t="str">
        <f>+'CUARTOS DE FINAL.'!N15</f>
        <v>PALMARA</v>
      </c>
      <c r="C44" s="156" t="str">
        <f>+'CUARTOS DE FINAL.'!D15</f>
        <v>04:20. p.m.</v>
      </c>
      <c r="D44" s="156" t="str">
        <f>+'CUARTOS DE FINAL.'!G15</f>
        <v>IMPERIUM FÚTBOL CLUB</v>
      </c>
      <c r="E44" s="156">
        <f>+'CUARTOS DE FINAL.'!H15</f>
        <v>2</v>
      </c>
      <c r="F44" s="156">
        <f>+'CUARTOS DE FINAL.'!J15</f>
        <v>1</v>
      </c>
      <c r="G44" s="156" t="str">
        <f>+'CUARTOS DE FINAL.'!L15</f>
        <v>GOLDEN STEPS</v>
      </c>
      <c r="H44" s="157" t="str">
        <f>+'CUARTOS DE FINAL.'!C15</f>
        <v>LLAVE D</v>
      </c>
    </row>
    <row r="45" spans="1:8" ht="21" customHeight="1" x14ac:dyDescent="0.3">
      <c r="A45" s="166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484" t="e">
        <f>+#REF!</f>
        <v>#REF!</v>
      </c>
      <c r="C46" s="485"/>
      <c r="D46" s="485"/>
      <c r="E46" s="485"/>
      <c r="F46" s="485"/>
      <c r="G46" s="485"/>
      <c r="H46" s="486"/>
    </row>
    <row r="47" spans="1:8" ht="27.9" customHeight="1" x14ac:dyDescent="0.3">
      <c r="B47" s="165" t="s">
        <v>68</v>
      </c>
      <c r="C47" s="165" t="s">
        <v>69</v>
      </c>
      <c r="D47" s="165" t="s">
        <v>70</v>
      </c>
      <c r="E47" s="469" t="s">
        <v>71</v>
      </c>
      <c r="F47" s="469"/>
      <c r="G47" s="165" t="s">
        <v>70</v>
      </c>
      <c r="H47" s="165" t="s">
        <v>75</v>
      </c>
    </row>
    <row r="48" spans="1:8" ht="27.9" customHeight="1" x14ac:dyDescent="0.3">
      <c r="A48" s="470" t="e">
        <f>+#REF!</f>
        <v>#REF!</v>
      </c>
      <c r="B48" s="155" t="e">
        <f>+#REF!</f>
        <v>#REF!</v>
      </c>
      <c r="C48" s="154" t="e">
        <f>+#REF!</f>
        <v>#REF!</v>
      </c>
      <c r="D48" s="154" t="str">
        <f>+'CUARTOS DE FINAL.'!P6</f>
        <v>SPORTING CLUB VILLAVICENCIO</v>
      </c>
      <c r="E48" s="154" t="e">
        <f>+#REF!</f>
        <v>#REF!</v>
      </c>
      <c r="F48" s="154" t="e">
        <f>+#REF!</f>
        <v>#REF!</v>
      </c>
      <c r="G48" s="154" t="e">
        <f>+'CUARTOS DE FINAL.'!P12</f>
        <v>#N/A</v>
      </c>
      <c r="H48" s="155" t="e">
        <f>+#REF!</f>
        <v>#REF!</v>
      </c>
    </row>
    <row r="49" spans="1:8" ht="27.9" customHeight="1" x14ac:dyDescent="0.3">
      <c r="A49" s="470"/>
      <c r="B49" s="157" t="e">
        <f>+#REF!</f>
        <v>#REF!</v>
      </c>
      <c r="C49" s="156" t="e">
        <f>+#REF!</f>
        <v>#REF!</v>
      </c>
      <c r="D49" s="156" t="str">
        <f>+'CUARTOS DE FINAL.'!P9</f>
        <v>ATHLETIC MELGAR</v>
      </c>
      <c r="E49" s="156" t="e">
        <f>+#REF!</f>
        <v>#REF!</v>
      </c>
      <c r="F49" s="156" t="e">
        <f>+#REF!</f>
        <v>#REF!</v>
      </c>
      <c r="G49" s="156" t="str">
        <f>+'CUARTOS DE FINAL.'!P15</f>
        <v>IMPERIUM FÚTBOL CLUB</v>
      </c>
      <c r="H49" s="157" t="e">
        <f>+#REF!</f>
        <v>#REF!</v>
      </c>
    </row>
    <row r="50" spans="1:8" ht="27.9" customHeight="1" x14ac:dyDescent="0.3">
      <c r="A50" s="173"/>
      <c r="B50" s="169"/>
      <c r="C50" s="1"/>
      <c r="D50" s="1"/>
      <c r="E50" s="1"/>
      <c r="F50" s="1"/>
      <c r="G50" s="1"/>
      <c r="H50" s="169"/>
    </row>
    <row r="51" spans="1:8" ht="27.9" customHeight="1" x14ac:dyDescent="0.3">
      <c r="B51" s="478" t="e">
        <f>+#REF!</f>
        <v>#REF!</v>
      </c>
      <c r="C51" s="479"/>
      <c r="D51" s="479"/>
      <c r="E51" s="479"/>
      <c r="F51" s="479"/>
      <c r="G51" s="479"/>
      <c r="H51" s="480"/>
    </row>
    <row r="52" spans="1:8" ht="27.9" customHeight="1" x14ac:dyDescent="0.3">
      <c r="B52" s="165" t="s">
        <v>68</v>
      </c>
      <c r="C52" s="165" t="s">
        <v>69</v>
      </c>
      <c r="D52" s="165" t="s">
        <v>70</v>
      </c>
      <c r="E52" s="469" t="s">
        <v>71</v>
      </c>
      <c r="F52" s="469"/>
      <c r="G52" s="165" t="s">
        <v>70</v>
      </c>
      <c r="H52" s="165"/>
    </row>
    <row r="53" spans="1:8" ht="27.9" customHeight="1" x14ac:dyDescent="0.3">
      <c r="A53" s="177" t="e">
        <f>+#REF!</f>
        <v>#REF!</v>
      </c>
      <c r="B53" s="155" t="e">
        <f>+#REF!</f>
        <v>#REF!</v>
      </c>
      <c r="C53" s="154" t="e">
        <f>+#REF!</f>
        <v>#REF!</v>
      </c>
      <c r="D53" s="154" t="e">
        <f>+#REF!</f>
        <v>#REF!</v>
      </c>
      <c r="E53" s="154" t="e">
        <f>+#REF!</f>
        <v>#REF!</v>
      </c>
      <c r="F53" s="154" t="e">
        <f>+#REF!</f>
        <v>#REF!</v>
      </c>
      <c r="G53" s="154" t="e">
        <f>+#REF!</f>
        <v>#REF!</v>
      </c>
      <c r="H53" s="155"/>
    </row>
    <row r="54" spans="1:8" ht="10.5" customHeight="1" x14ac:dyDescent="0.3">
      <c r="A54" s="171"/>
      <c r="B54" s="174"/>
      <c r="C54" s="175"/>
      <c r="D54" s="175"/>
      <c r="E54" s="175"/>
      <c r="F54" s="175"/>
      <c r="G54" s="175"/>
      <c r="H54" s="176"/>
    </row>
    <row r="55" spans="1:8" ht="27.9" customHeight="1" x14ac:dyDescent="0.3">
      <c r="A55" s="171"/>
      <c r="B55" s="475" t="e">
        <f>+#REF!</f>
        <v>#REF!</v>
      </c>
      <c r="C55" s="476"/>
      <c r="D55" s="476"/>
      <c r="E55" s="476"/>
      <c r="F55" s="476"/>
      <c r="G55" s="476"/>
      <c r="H55" s="477"/>
    </row>
    <row r="56" spans="1:8" ht="27.9" customHeight="1" x14ac:dyDescent="0.3">
      <c r="A56" s="171"/>
      <c r="B56" s="165" t="s">
        <v>68</v>
      </c>
      <c r="C56" s="165" t="s">
        <v>69</v>
      </c>
      <c r="D56" s="165" t="s">
        <v>70</v>
      </c>
      <c r="E56" s="469" t="s">
        <v>71</v>
      </c>
      <c r="F56" s="469"/>
      <c r="G56" s="165" t="s">
        <v>70</v>
      </c>
      <c r="H56" s="165"/>
    </row>
    <row r="57" spans="1:8" ht="27.9" customHeight="1" x14ac:dyDescent="0.3">
      <c r="A57" s="177" t="e">
        <f>+#REF!</f>
        <v>#REF!</v>
      </c>
      <c r="B57" s="157" t="e">
        <f>+#REF!</f>
        <v>#REF!</v>
      </c>
      <c r="C57" s="156" t="e">
        <f>+#REF!</f>
        <v>#REF!</v>
      </c>
      <c r="D57" s="156" t="e">
        <f>+#REF!</f>
        <v>#REF!</v>
      </c>
      <c r="E57" s="156" t="e">
        <f>+#REF!</f>
        <v>#REF!</v>
      </c>
      <c r="F57" s="156" t="e">
        <f>+#REF!</f>
        <v>#REF!</v>
      </c>
      <c r="G57" s="156" t="e">
        <f>+#REF!</f>
        <v>#REF!</v>
      </c>
      <c r="H57" s="157"/>
    </row>
    <row r="59" spans="1:8" ht="37.5" customHeight="1" x14ac:dyDescent="0.3">
      <c r="B59" s="489" t="e">
        <f>+#REF!</f>
        <v>#REF!</v>
      </c>
      <c r="C59" s="490"/>
      <c r="D59" s="490"/>
      <c r="E59" s="490"/>
      <c r="F59" s="490"/>
      <c r="G59" s="490"/>
      <c r="H59" s="491"/>
    </row>
    <row r="60" spans="1:8" x14ac:dyDescent="0.3">
      <c r="B60" s="487" t="e">
        <f>+#REF!</f>
        <v>#REF!</v>
      </c>
      <c r="C60" s="487"/>
      <c r="D60" s="487"/>
      <c r="E60" s="487"/>
      <c r="F60" s="487"/>
      <c r="G60" s="487"/>
      <c r="H60" s="487"/>
    </row>
    <row r="61" spans="1:8" x14ac:dyDescent="0.3">
      <c r="B61" s="488"/>
      <c r="C61" s="488"/>
      <c r="D61" s="488"/>
      <c r="E61" s="488"/>
      <c r="F61" s="488"/>
      <c r="G61" s="488"/>
      <c r="H61" s="488"/>
    </row>
    <row r="62" spans="1:8" x14ac:dyDescent="0.3">
      <c r="B62" s="488"/>
      <c r="C62" s="488"/>
      <c r="D62" s="488"/>
      <c r="E62" s="488"/>
      <c r="F62" s="488"/>
      <c r="G62" s="488"/>
      <c r="H62" s="488"/>
    </row>
    <row r="64" spans="1:8" ht="38.25" customHeight="1" x14ac:dyDescent="0.3">
      <c r="B64" s="492" t="e">
        <f>+#REF!</f>
        <v>#REF!</v>
      </c>
      <c r="C64" s="493"/>
      <c r="D64" s="493"/>
      <c r="E64" s="493"/>
      <c r="F64" s="493"/>
      <c r="G64" s="493"/>
      <c r="H64" s="494"/>
    </row>
    <row r="65" spans="2:8" x14ac:dyDescent="0.3">
      <c r="B65" s="487" t="e">
        <f>+#REF!</f>
        <v>#REF!</v>
      </c>
      <c r="C65" s="487"/>
      <c r="D65" s="487"/>
      <c r="E65" s="487"/>
      <c r="F65" s="487"/>
      <c r="G65" s="487"/>
      <c r="H65" s="487"/>
    </row>
    <row r="66" spans="2:8" x14ac:dyDescent="0.3">
      <c r="B66" s="488"/>
      <c r="C66" s="488"/>
      <c r="D66" s="488"/>
      <c r="E66" s="488"/>
      <c r="F66" s="488"/>
      <c r="G66" s="488"/>
      <c r="H66" s="488"/>
    </row>
    <row r="67" spans="2:8" x14ac:dyDescent="0.3">
      <c r="B67" s="488"/>
      <c r="C67" s="488"/>
      <c r="D67" s="488"/>
      <c r="E67" s="488"/>
      <c r="F67" s="488"/>
      <c r="G67" s="488"/>
      <c r="H67" s="488"/>
    </row>
    <row r="69" spans="2:8" ht="38.4" x14ac:dyDescent="0.3">
      <c r="B69" s="495" t="e">
        <f>+#REF!</f>
        <v>#REF!</v>
      </c>
      <c r="C69" s="496"/>
      <c r="D69" s="496"/>
      <c r="E69" s="496"/>
      <c r="F69" s="496"/>
      <c r="G69" s="496"/>
      <c r="H69" s="497"/>
    </row>
    <row r="70" spans="2:8" x14ac:dyDescent="0.3">
      <c r="B70" s="487" t="e">
        <f>+#REF!</f>
        <v>#REF!</v>
      </c>
      <c r="C70" s="487"/>
      <c r="D70" s="487"/>
      <c r="E70" s="487"/>
      <c r="F70" s="487"/>
      <c r="G70" s="487"/>
      <c r="H70" s="487"/>
    </row>
    <row r="71" spans="2:8" x14ac:dyDescent="0.3">
      <c r="B71" s="488"/>
      <c r="C71" s="488"/>
      <c r="D71" s="488"/>
      <c r="E71" s="488"/>
      <c r="F71" s="488"/>
      <c r="G71" s="488"/>
      <c r="H71" s="488"/>
    </row>
    <row r="72" spans="2:8" x14ac:dyDescent="0.3">
      <c r="B72" s="488"/>
      <c r="C72" s="488"/>
      <c r="D72" s="488"/>
      <c r="E72" s="488"/>
      <c r="F72" s="488"/>
      <c r="G72" s="488"/>
      <c r="H72" s="488"/>
    </row>
  </sheetData>
  <mergeCells count="30">
    <mergeCell ref="A1:H1"/>
    <mergeCell ref="A2:H2"/>
    <mergeCell ref="A3:H3"/>
    <mergeCell ref="A4:H4"/>
    <mergeCell ref="A5:H5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CFD1-024A-4EA2-BE15-1C7ADD1B9878}">
  <sheetPr>
    <pageSetUpPr fitToPage="1"/>
  </sheetPr>
  <dimension ref="A1:X43"/>
  <sheetViews>
    <sheetView topLeftCell="A25" zoomScale="55" zoomScaleNormal="55" workbookViewId="0">
      <selection activeCell="D33" sqref="D33"/>
    </sheetView>
  </sheetViews>
  <sheetFormatPr baseColWidth="10" defaultColWidth="11.44140625" defaultRowHeight="14.4" x14ac:dyDescent="0.3"/>
  <cols>
    <col min="1" max="1" width="13.21875" style="3" customWidth="1"/>
    <col min="2" max="2" width="37.21875" style="3" customWidth="1"/>
    <col min="3" max="3" width="20.77734375" style="3" customWidth="1"/>
    <col min="4" max="4" width="44.21875" style="3" customWidth="1"/>
    <col min="5" max="6" width="7.33203125" style="3" customWidth="1"/>
    <col min="7" max="7" width="44.21875" style="3" customWidth="1"/>
    <col min="8" max="8" width="28.33203125" style="3" customWidth="1"/>
    <col min="9" max="9" width="19.77734375" style="3" customWidth="1"/>
    <col min="10" max="10" width="1.33203125" style="3" customWidth="1"/>
    <col min="11" max="11" width="8.44140625" style="3" customWidth="1"/>
    <col min="12" max="12" width="43.88671875" style="3" customWidth="1"/>
    <col min="13" max="21" width="8.21875" style="3" customWidth="1"/>
    <col min="22" max="22" width="3.5546875" style="3" customWidth="1"/>
    <col min="23" max="16384" width="11.44140625" style="3"/>
  </cols>
  <sheetData>
    <row r="1" spans="1:22" ht="60" x14ac:dyDescent="0.45">
      <c r="A1" s="502" t="str">
        <f>+'PRE INFANTIL GRUPOS'!C1</f>
        <v>XVIII Campeonato Nacional de Fútbol Infantil</v>
      </c>
      <c r="B1" s="502"/>
      <c r="C1" s="502"/>
      <c r="D1" s="502"/>
      <c r="E1" s="502"/>
      <c r="F1" s="502"/>
      <c r="G1" s="502"/>
      <c r="H1" s="502"/>
      <c r="I1" s="502"/>
      <c r="J1" s="178" t="s">
        <v>145</v>
      </c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2" ht="46.2" x14ac:dyDescent="0.55000000000000004">
      <c r="A2" s="503" t="str">
        <f>+'PRE INFANTIL GRUPOS'!C2</f>
        <v>“COPA SOCCER MELGAR”</v>
      </c>
      <c r="B2" s="503"/>
      <c r="C2" s="503"/>
      <c r="D2" s="503"/>
      <c r="E2" s="503"/>
      <c r="F2" s="503"/>
      <c r="G2" s="503"/>
      <c r="H2" s="503"/>
      <c r="I2" s="503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</row>
    <row r="3" spans="1:22" s="243" customFormat="1" ht="36.6" x14ac:dyDescent="0.7">
      <c r="A3" s="504" t="str">
        <f>+'PRE INFANTIL GRUPOS'!C3</f>
        <v>DICIEMBRE 4 AL 6 DEL 2024</v>
      </c>
      <c r="B3" s="504"/>
      <c r="C3" s="504"/>
      <c r="D3" s="504"/>
      <c r="E3" s="504"/>
      <c r="F3" s="504"/>
      <c r="G3" s="504"/>
      <c r="H3" s="504"/>
      <c r="I3" s="504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</row>
    <row r="4" spans="1:22" s="243" customFormat="1" ht="46.2" x14ac:dyDescent="0.7">
      <c r="A4" s="505" t="str">
        <f>+'PRE INFANTIL GRUPOS'!C4</f>
        <v>NACIDOS 2010 2011</v>
      </c>
      <c r="B4" s="505"/>
      <c r="C4" s="505"/>
      <c r="D4" s="505"/>
      <c r="E4" s="505"/>
      <c r="F4" s="505"/>
      <c r="G4" s="505"/>
      <c r="H4" s="505"/>
      <c r="I4" s="505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</row>
    <row r="5" spans="1:22" ht="21" x14ac:dyDescent="0.4">
      <c r="A5" s="506"/>
      <c r="B5" s="506"/>
      <c r="C5" s="506"/>
      <c r="D5" s="506"/>
      <c r="E5" s="506"/>
      <c r="F5" s="506"/>
      <c r="G5" s="506"/>
      <c r="H5" s="506"/>
      <c r="I5" s="506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</row>
    <row r="6" spans="1:22" ht="21" x14ac:dyDescent="0.4">
      <c r="A6" s="507" t="s">
        <v>73</v>
      </c>
      <c r="B6" s="507"/>
      <c r="C6" s="507"/>
      <c r="D6" s="507"/>
      <c r="E6" s="507"/>
      <c r="F6" s="507"/>
      <c r="G6" s="507"/>
      <c r="H6" s="507"/>
      <c r="I6" s="507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</row>
    <row r="7" spans="1:22" ht="58.2" customHeight="1" x14ac:dyDescent="0.5">
      <c r="A7" s="205"/>
      <c r="B7" s="513" t="s">
        <v>85</v>
      </c>
      <c r="C7" s="513"/>
      <c r="D7" s="513"/>
      <c r="E7" s="513"/>
      <c r="F7" s="513"/>
      <c r="G7" s="513"/>
      <c r="H7" s="513"/>
      <c r="I7" s="513"/>
      <c r="J7" s="111"/>
      <c r="K7" s="111"/>
      <c r="L7" s="206" t="str">
        <f>+'GRUPO A'!B4</f>
        <v>GRUPO A</v>
      </c>
      <c r="M7" s="206" t="str">
        <f>+'GRUPO A'!Q8</f>
        <v>Pts.</v>
      </c>
      <c r="N7" s="206" t="str">
        <f>+'GRUPO A'!R8</f>
        <v>PJ</v>
      </c>
      <c r="O7" s="206" t="str">
        <f>+'GRUPO A'!S8</f>
        <v>Gan.</v>
      </c>
      <c r="P7" s="206" t="str">
        <f>+'GRUPO A'!T8</f>
        <v>Emp.</v>
      </c>
      <c r="Q7" s="206" t="str">
        <f>+'GRUPO A'!U8</f>
        <v>Per.</v>
      </c>
      <c r="R7" s="206" t="str">
        <f>+'GRUPO A'!V8</f>
        <v>GF</v>
      </c>
      <c r="S7" s="206" t="str">
        <f>+'GRUPO A'!W8</f>
        <v>GC</v>
      </c>
      <c r="T7" s="206" t="str">
        <f>+'GRUPO A'!X8</f>
        <v>Dif.</v>
      </c>
      <c r="U7" s="206" t="str">
        <f>+'GRUPO A'!Y8</f>
        <v>Tj</v>
      </c>
      <c r="V7" s="111"/>
    </row>
    <row r="8" spans="1:22" ht="58.8" customHeight="1" x14ac:dyDescent="0.5">
      <c r="A8" s="111"/>
      <c r="B8" s="207" t="s">
        <v>68</v>
      </c>
      <c r="C8" s="207" t="s">
        <v>69</v>
      </c>
      <c r="D8" s="207" t="s">
        <v>70</v>
      </c>
      <c r="E8" s="514" t="s">
        <v>71</v>
      </c>
      <c r="F8" s="514"/>
      <c r="G8" s="207" t="s">
        <v>70</v>
      </c>
      <c r="H8" s="207" t="s">
        <v>72</v>
      </c>
      <c r="I8" s="207" t="s">
        <v>102</v>
      </c>
      <c r="J8" s="111"/>
      <c r="K8" s="111"/>
      <c r="L8" s="208" t="str">
        <f>+'GRUPO A'!P10</f>
        <v xml:space="preserve">  1)  JUDERCAR F. C.</v>
      </c>
      <c r="M8" s="209">
        <f>+'GRUPO A'!Q10</f>
        <v>6</v>
      </c>
      <c r="N8" s="209">
        <f>+'GRUPO A'!R10</f>
        <v>3</v>
      </c>
      <c r="O8" s="209">
        <f>+'GRUPO A'!S10</f>
        <v>2</v>
      </c>
      <c r="P8" s="209">
        <f>+'GRUPO A'!T10</f>
        <v>0</v>
      </c>
      <c r="Q8" s="209">
        <f>+'GRUPO A'!U10</f>
        <v>1</v>
      </c>
      <c r="R8" s="209">
        <f>+'GRUPO A'!V10</f>
        <v>9</v>
      </c>
      <c r="S8" s="209">
        <f>+'GRUPO A'!W10</f>
        <v>1</v>
      </c>
      <c r="T8" s="209">
        <f>+'GRUPO A'!X10</f>
        <v>8</v>
      </c>
      <c r="U8" s="209">
        <f>+'GRUPO A'!Y10</f>
        <v>0</v>
      </c>
      <c r="V8" s="111"/>
    </row>
    <row r="9" spans="1:22" s="181" customFormat="1" ht="58.2" customHeight="1" x14ac:dyDescent="0.5">
      <c r="A9" s="246">
        <v>45630</v>
      </c>
      <c r="B9" s="247" t="s">
        <v>151</v>
      </c>
      <c r="C9" s="248">
        <v>0.33333333333333331</v>
      </c>
      <c r="D9" s="211" t="str">
        <f>+'GRUPO A'!E8</f>
        <v>JAGUARES F. C.</v>
      </c>
      <c r="E9" s="211">
        <f>+'GRUPO A'!G8</f>
        <v>0</v>
      </c>
      <c r="F9" s="211">
        <f>+'GRUPO A'!I8</f>
        <v>0</v>
      </c>
      <c r="G9" s="211" t="str">
        <f>+'GRUPO A'!K8</f>
        <v>GOLDEN STEPS</v>
      </c>
      <c r="H9" s="211" t="s">
        <v>84</v>
      </c>
      <c r="I9" s="211" t="str">
        <f>+$A$4</f>
        <v>NACIDOS 2010 2011</v>
      </c>
      <c r="J9" s="213"/>
      <c r="K9" s="213"/>
      <c r="L9" s="208" t="str">
        <f>+'GRUPO A'!P12</f>
        <v xml:space="preserve">  2)  TROYA F. C.</v>
      </c>
      <c r="M9" s="211">
        <f>+'GRUPO A'!Q12</f>
        <v>6</v>
      </c>
      <c r="N9" s="211">
        <f>+'GRUPO A'!R12</f>
        <v>3</v>
      </c>
      <c r="O9" s="211">
        <f>+'GRUPO A'!S12</f>
        <v>2</v>
      </c>
      <c r="P9" s="211">
        <f>+'GRUPO A'!T12</f>
        <v>0</v>
      </c>
      <c r="Q9" s="211">
        <f>+'GRUPO A'!U12</f>
        <v>1</v>
      </c>
      <c r="R9" s="211">
        <f>+'GRUPO A'!V12</f>
        <v>4</v>
      </c>
      <c r="S9" s="211">
        <f>+'GRUPO A'!W12</f>
        <v>3</v>
      </c>
      <c r="T9" s="211">
        <f>+'GRUPO A'!X12</f>
        <v>1</v>
      </c>
      <c r="U9" s="211">
        <f>+'GRUPO A'!Y12</f>
        <v>0</v>
      </c>
      <c r="V9" s="213"/>
    </row>
    <row r="10" spans="1:22" s="181" customFormat="1" ht="58.2" customHeight="1" x14ac:dyDescent="0.5">
      <c r="A10" s="246">
        <v>45630</v>
      </c>
      <c r="B10" s="247" t="s">
        <v>151</v>
      </c>
      <c r="C10" s="248">
        <v>0.3888888888888889</v>
      </c>
      <c r="D10" s="211" t="str">
        <f>+'GRUPO A'!E32</f>
        <v>TROYA F. C.</v>
      </c>
      <c r="E10" s="211">
        <f>+'GRUPO A'!G32</f>
        <v>1</v>
      </c>
      <c r="F10" s="211">
        <f>+'GRUPO A'!I32</f>
        <v>0</v>
      </c>
      <c r="G10" s="211" t="str">
        <f>+'GRUPO A'!K32</f>
        <v>JUDERCAR F. C.</v>
      </c>
      <c r="H10" s="210" t="str">
        <f>+'GRUPO A'!B4</f>
        <v>GRUPO A</v>
      </c>
      <c r="I10" s="211" t="str">
        <f t="shared" ref="I10:I29" si="0">+$A$4</f>
        <v>NACIDOS 2010 2011</v>
      </c>
      <c r="J10" s="213"/>
      <c r="K10" s="213"/>
      <c r="L10" s="208" t="str">
        <f>+'GRUPO A'!P14</f>
        <v xml:space="preserve">  3)  JAGUARES F. C.</v>
      </c>
      <c r="M10" s="211">
        <f>+'GRUPO A'!Q14</f>
        <v>4</v>
      </c>
      <c r="N10" s="211">
        <f>+'GRUPO A'!R14</f>
        <v>3</v>
      </c>
      <c r="O10" s="211">
        <f>+'GRUPO A'!S14</f>
        <v>1</v>
      </c>
      <c r="P10" s="211">
        <f>+'GRUPO A'!T14</f>
        <v>1</v>
      </c>
      <c r="Q10" s="211">
        <f>+'GRUPO A'!U14</f>
        <v>1</v>
      </c>
      <c r="R10" s="211">
        <f>+'GRUPO A'!V14</f>
        <v>3</v>
      </c>
      <c r="S10" s="211">
        <f>+'GRUPO A'!W14</f>
        <v>5</v>
      </c>
      <c r="T10" s="211">
        <f>+'GRUPO A'!X14</f>
        <v>-2</v>
      </c>
      <c r="U10" s="211">
        <f>+'GRUPO A'!Y14</f>
        <v>0</v>
      </c>
      <c r="V10" s="213"/>
    </row>
    <row r="11" spans="1:22" s="181" customFormat="1" ht="58.2" customHeight="1" x14ac:dyDescent="0.5">
      <c r="A11" s="246">
        <v>45630</v>
      </c>
      <c r="B11" s="247" t="s">
        <v>151</v>
      </c>
      <c r="C11" s="248">
        <v>0.44444444444444442</v>
      </c>
      <c r="D11" s="211" t="str">
        <f>+'GRUPO B'!E32</f>
        <v>ATHLETIC MELGAR</v>
      </c>
      <c r="E11" s="211">
        <f>+'GRUPO B'!G32</f>
        <v>4</v>
      </c>
      <c r="F11" s="211">
        <f>+'GRUPO B'!I32</f>
        <v>0</v>
      </c>
      <c r="G11" s="211" t="str">
        <f>+'GRUPO B'!K32</f>
        <v>LIONTA F. C.</v>
      </c>
      <c r="H11" s="210" t="str">
        <f>+'GRUPO B'!B4</f>
        <v>GRUPO B</v>
      </c>
      <c r="I11" s="211" t="str">
        <f t="shared" si="0"/>
        <v>NACIDOS 2010 2011</v>
      </c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</row>
    <row r="12" spans="1:22" s="181" customFormat="1" ht="58.2" customHeight="1" x14ac:dyDescent="0.5">
      <c r="A12" s="246">
        <v>45630</v>
      </c>
      <c r="B12" s="247" t="s">
        <v>151</v>
      </c>
      <c r="C12" s="249">
        <v>0.5</v>
      </c>
      <c r="D12" s="211" t="str">
        <f>+'GRUPO C'!E32</f>
        <v>CLUB DEPORTIVO NASSUAR</v>
      </c>
      <c r="E12" s="211">
        <f>+'GRUPO C'!G32</f>
        <v>0</v>
      </c>
      <c r="F12" s="211">
        <f>+'GRUPO C'!I32</f>
        <v>0</v>
      </c>
      <c r="G12" s="211" t="str">
        <f>+'GRUPO C'!K32</f>
        <v>SPORTING CLUB VILLAVICENCIO</v>
      </c>
      <c r="H12" s="210" t="str">
        <f>+'GRUPO C'!B4</f>
        <v>GRUPO C</v>
      </c>
      <c r="I12" s="211" t="str">
        <f t="shared" si="0"/>
        <v>NACIDOS 2010 2011</v>
      </c>
      <c r="J12" s="213"/>
      <c r="K12" s="213"/>
      <c r="L12" s="214" t="str">
        <f>+'GRUPO B'!B4</f>
        <v>GRUPO B</v>
      </c>
      <c r="M12" s="214" t="str">
        <f>+'GRUPO B'!Q8</f>
        <v>Pts.</v>
      </c>
      <c r="N12" s="214" t="str">
        <f>+'GRUPO B'!R8</f>
        <v>PJ</v>
      </c>
      <c r="O12" s="214" t="str">
        <f>+'GRUPO B'!S8</f>
        <v>Gan.</v>
      </c>
      <c r="P12" s="214" t="str">
        <f>+'GRUPO B'!T8</f>
        <v>Emp.</v>
      </c>
      <c r="Q12" s="214" t="str">
        <f>+'GRUPO B'!U8</f>
        <v>Per.</v>
      </c>
      <c r="R12" s="214" t="str">
        <f>+'GRUPO B'!V8</f>
        <v>GF</v>
      </c>
      <c r="S12" s="214" t="str">
        <f>+'GRUPO B'!W8</f>
        <v>GC</v>
      </c>
      <c r="T12" s="214" t="str">
        <f>+'GRUPO B'!X8</f>
        <v>Dif.</v>
      </c>
      <c r="U12" s="214" t="str">
        <f>+'GRUPO B'!Y8</f>
        <v>Tj</v>
      </c>
      <c r="V12" s="213"/>
    </row>
    <row r="13" spans="1:22" s="181" customFormat="1" ht="58.2" customHeight="1" x14ac:dyDescent="0.5">
      <c r="A13" s="246">
        <v>45630</v>
      </c>
      <c r="B13" s="247" t="s">
        <v>151</v>
      </c>
      <c r="C13" s="250">
        <v>0.55555555555555558</v>
      </c>
      <c r="D13" s="211" t="str">
        <f>+'GRUPO C'!E8</f>
        <v>LE MAX TEAM</v>
      </c>
      <c r="E13" s="211">
        <f>+'GRUPO C'!G8</f>
        <v>1</v>
      </c>
      <c r="F13" s="211">
        <f>+'GRUPO C'!I8</f>
        <v>1</v>
      </c>
      <c r="G13" s="211" t="str">
        <f>+'GRUPO C'!K8</f>
        <v>IMPERIUM FÚTBOL CLUB</v>
      </c>
      <c r="H13" s="211" t="s">
        <v>84</v>
      </c>
      <c r="I13" s="211" t="str">
        <f t="shared" si="0"/>
        <v>NACIDOS 2010 2011</v>
      </c>
      <c r="J13" s="213"/>
      <c r="K13" s="213"/>
      <c r="L13" s="208" t="str">
        <f>+'GRUPO B'!P10</f>
        <v xml:space="preserve">  1)  ATHLETIC MELGAR</v>
      </c>
      <c r="M13" s="211">
        <f>+'GRUPO B'!Q10</f>
        <v>6</v>
      </c>
      <c r="N13" s="211">
        <f>+'GRUPO B'!R10</f>
        <v>3</v>
      </c>
      <c r="O13" s="211">
        <f>+'GRUPO B'!S10</f>
        <v>2</v>
      </c>
      <c r="P13" s="211">
        <f>+'GRUPO B'!T10</f>
        <v>0</v>
      </c>
      <c r="Q13" s="211">
        <f>+'GRUPO B'!U10</f>
        <v>1</v>
      </c>
      <c r="R13" s="211">
        <f>+'GRUPO B'!V10</f>
        <v>9</v>
      </c>
      <c r="S13" s="211">
        <f>+'GRUPO B'!W10</f>
        <v>2</v>
      </c>
      <c r="T13" s="211">
        <f>+'GRUPO B'!X10</f>
        <v>7</v>
      </c>
      <c r="U13" s="211">
        <f>+'GRUPO B'!Y10</f>
        <v>0</v>
      </c>
      <c r="V13" s="213"/>
    </row>
    <row r="14" spans="1:22" s="181" customFormat="1" ht="58.2" customHeight="1" x14ac:dyDescent="0.5">
      <c r="A14" s="246">
        <v>45630</v>
      </c>
      <c r="B14" s="247" t="s">
        <v>151</v>
      </c>
      <c r="C14" s="250">
        <v>0.61805555555555558</v>
      </c>
      <c r="D14" s="211" t="str">
        <f>+'GRUPO A'!E29</f>
        <v>JAGUARES F. C.</v>
      </c>
      <c r="E14" s="211">
        <f>+'GRUPO A'!G29</f>
        <v>0</v>
      </c>
      <c r="F14" s="211">
        <f>+'GRUPO A'!I29</f>
        <v>3</v>
      </c>
      <c r="G14" s="211" t="str">
        <f>+'GRUPO A'!K29</f>
        <v>JUDERCAR F. C.</v>
      </c>
      <c r="H14" s="210" t="str">
        <f>+'GRUPO A'!B4</f>
        <v>GRUPO A</v>
      </c>
      <c r="I14" s="211" t="str">
        <f t="shared" si="0"/>
        <v>NACIDOS 2010 2011</v>
      </c>
      <c r="J14" s="213"/>
      <c r="K14" s="213"/>
      <c r="L14" s="208" t="str">
        <f>+'GRUPO B'!P12</f>
        <v xml:space="preserve">  2)  GOLDEN STEPS</v>
      </c>
      <c r="M14" s="211">
        <f>+'GRUPO B'!Q12</f>
        <v>4</v>
      </c>
      <c r="N14" s="211">
        <f>+'GRUPO B'!R12</f>
        <v>3</v>
      </c>
      <c r="O14" s="211">
        <f>+'GRUPO B'!S12</f>
        <v>1</v>
      </c>
      <c r="P14" s="211">
        <f>+'GRUPO B'!T12</f>
        <v>1</v>
      </c>
      <c r="Q14" s="211">
        <f>+'GRUPO B'!U12</f>
        <v>1</v>
      </c>
      <c r="R14" s="211">
        <f>+'GRUPO B'!V12</f>
        <v>4</v>
      </c>
      <c r="S14" s="211">
        <f>+'GRUPO B'!W12</f>
        <v>5</v>
      </c>
      <c r="T14" s="211">
        <f>+'GRUPO B'!X12</f>
        <v>-1</v>
      </c>
      <c r="U14" s="211">
        <f>+'GRUPO B'!Y12</f>
        <v>0</v>
      </c>
      <c r="V14" s="213"/>
    </row>
    <row r="15" spans="1:22" s="181" customFormat="1" ht="58.2" customHeight="1" x14ac:dyDescent="0.5">
      <c r="A15" s="246">
        <v>45630</v>
      </c>
      <c r="B15" s="247" t="s">
        <v>151</v>
      </c>
      <c r="C15" s="250">
        <v>0.67361111111111116</v>
      </c>
      <c r="D15" s="211" t="str">
        <f>+'GRUPO A'!E11</f>
        <v>TROYA F. C.</v>
      </c>
      <c r="E15" s="211">
        <f>+'GRUPO A'!G11</f>
        <v>1</v>
      </c>
      <c r="F15" s="211">
        <f>+'GRUPO A'!I11</f>
        <v>0</v>
      </c>
      <c r="G15" s="211" t="str">
        <f>+'GRUPO A'!K11</f>
        <v>ATHLETIC MELGAR</v>
      </c>
      <c r="H15" s="211" t="s">
        <v>84</v>
      </c>
      <c r="I15" s="211" t="str">
        <f t="shared" si="0"/>
        <v>NACIDOS 2010 2011</v>
      </c>
      <c r="J15" s="213"/>
      <c r="K15" s="213"/>
      <c r="L15" s="208" t="str">
        <f>+'GRUPO B'!P14</f>
        <v xml:space="preserve">  3)  LIONTA F. C.</v>
      </c>
      <c r="M15" s="211">
        <f>+'GRUPO B'!Q14</f>
        <v>0</v>
      </c>
      <c r="N15" s="211">
        <f>+'GRUPO B'!R14</f>
        <v>3</v>
      </c>
      <c r="O15" s="211">
        <f>+'GRUPO B'!S14</f>
        <v>0</v>
      </c>
      <c r="P15" s="211">
        <f>+'GRUPO B'!T14</f>
        <v>0</v>
      </c>
      <c r="Q15" s="211">
        <f>+'GRUPO B'!U14</f>
        <v>3</v>
      </c>
      <c r="R15" s="211">
        <f>+'GRUPO B'!V14</f>
        <v>0</v>
      </c>
      <c r="S15" s="211">
        <f>+'GRUPO B'!W14</f>
        <v>13</v>
      </c>
      <c r="T15" s="211">
        <f>+'GRUPO B'!X14</f>
        <v>-13</v>
      </c>
      <c r="U15" s="211">
        <f>+'GRUPO B'!Y14</f>
        <v>0</v>
      </c>
      <c r="V15" s="213"/>
    </row>
    <row r="16" spans="1:22" s="181" customFormat="1" ht="58.2" customHeight="1" x14ac:dyDescent="0.5">
      <c r="A16" s="246">
        <v>45630</v>
      </c>
      <c r="B16" s="245" t="s">
        <v>150</v>
      </c>
      <c r="C16" s="250">
        <v>0.85416666666666663</v>
      </c>
      <c r="D16" s="211" t="str">
        <f>+'GRUPO D'!E29</f>
        <v>E.D.F CHOCONTA</v>
      </c>
      <c r="E16" s="211">
        <f>+'GRUPO D'!G29</f>
        <v>0</v>
      </c>
      <c r="F16" s="211">
        <f>+'GRUPO D'!I29</f>
        <v>0</v>
      </c>
      <c r="G16" s="211" t="str">
        <f>+'GRUPO D'!K29</f>
        <v>ACADEMIA F.C SEDE RESTREPO</v>
      </c>
      <c r="H16" s="211" t="str">
        <f>+'GRUPO D'!B4</f>
        <v>GRUPO D</v>
      </c>
      <c r="I16" s="211" t="str">
        <f t="shared" si="0"/>
        <v>NACIDOS 2010 2011</v>
      </c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</row>
    <row r="17" spans="1:24" s="181" customFormat="1" ht="58.2" customHeight="1" x14ac:dyDescent="0.5">
      <c r="J17" s="213"/>
      <c r="K17" s="213"/>
      <c r="L17" s="216" t="str">
        <f>+'GRUPO C'!B4</f>
        <v>GRUPO C</v>
      </c>
      <c r="M17" s="217" t="str">
        <f>+'GRUPO C'!Q8</f>
        <v>Pts.</v>
      </c>
      <c r="N17" s="217" t="str">
        <f>+'GRUPO C'!R8</f>
        <v>PJ</v>
      </c>
      <c r="O17" s="217" t="str">
        <f>+'GRUPO C'!S8</f>
        <v>Gan.</v>
      </c>
      <c r="P17" s="217" t="str">
        <f>+'GRUPO C'!T8</f>
        <v>Emp.</v>
      </c>
      <c r="Q17" s="217" t="str">
        <f>+'GRUPO C'!U8</f>
        <v>Per.</v>
      </c>
      <c r="R17" s="217" t="str">
        <f>+'GRUPO C'!V8</f>
        <v>GF</v>
      </c>
      <c r="S17" s="217" t="str">
        <f>+'GRUPO C'!W8</f>
        <v>GC</v>
      </c>
      <c r="T17" s="217" t="str">
        <f>+'GRUPO C'!X8</f>
        <v>Dif.</v>
      </c>
      <c r="U17" s="217" t="str">
        <f>+'GRUPO C'!Y8</f>
        <v>Tj</v>
      </c>
      <c r="V17" s="213"/>
      <c r="W17" s="213"/>
      <c r="X17" s="213"/>
    </row>
    <row r="18" spans="1:24" s="181" customFormat="1" ht="58.2" customHeight="1" x14ac:dyDescent="0.5">
      <c r="B18" s="515" t="str">
        <f>+'IMPRIMIR 2'!A14</f>
        <v>PARTIDOS                 fecha 2</v>
      </c>
      <c r="C18" s="515"/>
      <c r="D18" s="515"/>
      <c r="E18" s="515"/>
      <c r="F18" s="515"/>
      <c r="G18" s="515"/>
      <c r="H18" s="515"/>
      <c r="I18" s="515"/>
      <c r="J18" s="213"/>
      <c r="K18" s="213"/>
      <c r="L18" s="208" t="str">
        <f>+'GRUPO C'!P10</f>
        <v xml:space="preserve">  1)  CLUB DEPORTIVO NASSUAR</v>
      </c>
      <c r="M18" s="211">
        <f>+'GRUPO C'!Q10</f>
        <v>7</v>
      </c>
      <c r="N18" s="211">
        <f>+'GRUPO C'!R10</f>
        <v>3</v>
      </c>
      <c r="O18" s="211">
        <f>+'GRUPO C'!S10</f>
        <v>2</v>
      </c>
      <c r="P18" s="211">
        <f>+'GRUPO C'!T10</f>
        <v>1</v>
      </c>
      <c r="Q18" s="211">
        <f>+'GRUPO C'!U10</f>
        <v>0</v>
      </c>
      <c r="R18" s="211">
        <f>+'GRUPO C'!V10</f>
        <v>5</v>
      </c>
      <c r="S18" s="211">
        <f>+'GRUPO C'!W10</f>
        <v>1</v>
      </c>
      <c r="T18" s="211">
        <f>+'GRUPO C'!X10</f>
        <v>4</v>
      </c>
      <c r="U18" s="211">
        <f>+'GRUPO C'!Y10</f>
        <v>0</v>
      </c>
      <c r="V18" s="213"/>
      <c r="W18" s="213"/>
      <c r="X18" s="213"/>
    </row>
    <row r="19" spans="1:24" s="181" customFormat="1" ht="58.2" customHeight="1" x14ac:dyDescent="0.5">
      <c r="B19" s="215" t="s">
        <v>68</v>
      </c>
      <c r="C19" s="215" t="s">
        <v>69</v>
      </c>
      <c r="D19" s="215" t="s">
        <v>70</v>
      </c>
      <c r="E19" s="508" t="s">
        <v>71</v>
      </c>
      <c r="F19" s="508"/>
      <c r="G19" s="215" t="s">
        <v>70</v>
      </c>
      <c r="H19" s="215" t="s">
        <v>72</v>
      </c>
      <c r="I19" s="207" t="s">
        <v>102</v>
      </c>
      <c r="J19" s="213"/>
      <c r="K19" s="213"/>
      <c r="L19" s="208" t="str">
        <f>+'GRUPO C'!P12</f>
        <v xml:space="preserve">  2)  SPORTING CLUB VILLAVICENCIO</v>
      </c>
      <c r="M19" s="211">
        <f>+'GRUPO C'!Q12</f>
        <v>7</v>
      </c>
      <c r="N19" s="211">
        <f>+'GRUPO C'!R12</f>
        <v>3</v>
      </c>
      <c r="O19" s="211">
        <f>+'GRUPO C'!S12</f>
        <v>2</v>
      </c>
      <c r="P19" s="211">
        <f>+'GRUPO C'!T12</f>
        <v>1</v>
      </c>
      <c r="Q19" s="211">
        <f>+'GRUPO C'!U12</f>
        <v>0</v>
      </c>
      <c r="R19" s="211">
        <f>+'GRUPO C'!V12</f>
        <v>6</v>
      </c>
      <c r="S19" s="211">
        <f>+'GRUPO C'!W12</f>
        <v>3</v>
      </c>
      <c r="T19" s="211">
        <f>+'GRUPO C'!X12</f>
        <v>3</v>
      </c>
      <c r="U19" s="211">
        <f>+'GRUPO C'!Y12</f>
        <v>0</v>
      </c>
      <c r="V19" s="213"/>
      <c r="W19" s="213"/>
      <c r="X19" s="213"/>
    </row>
    <row r="20" spans="1:24" s="181" customFormat="1" ht="58.2" customHeight="1" x14ac:dyDescent="0.5">
      <c r="A20" s="210">
        <v>45631</v>
      </c>
      <c r="B20" s="245" t="s">
        <v>150</v>
      </c>
      <c r="C20" s="240">
        <v>0.27083333333333331</v>
      </c>
      <c r="D20" s="211" t="str">
        <f>+'GRUPO B'!E29</f>
        <v>GOLDEN STEPS</v>
      </c>
      <c r="E20" s="211">
        <f>+'GRUPO B'!G29</f>
        <v>3</v>
      </c>
      <c r="F20" s="211">
        <f>+'GRUPO B'!I29</f>
        <v>0</v>
      </c>
      <c r="G20" s="211" t="str">
        <f>+'GRUPO B'!K29</f>
        <v>LIONTA F. C.</v>
      </c>
      <c r="H20" s="211" t="str">
        <f>+'GRUPO B'!B4</f>
        <v>GRUPO B</v>
      </c>
      <c r="I20" s="211" t="str">
        <f t="shared" si="0"/>
        <v>NACIDOS 2010 2011</v>
      </c>
      <c r="J20" s="213"/>
      <c r="K20" s="213"/>
      <c r="L20" s="208" t="str">
        <f>+'GRUPO C'!P14</f>
        <v xml:space="preserve">  3)  LE MAX TEAM</v>
      </c>
      <c r="M20" s="211">
        <f>+'GRUPO C'!Q14</f>
        <v>1</v>
      </c>
      <c r="N20" s="211">
        <f>+'GRUPO C'!R14</f>
        <v>3</v>
      </c>
      <c r="O20" s="211">
        <f>+'GRUPO C'!S14</f>
        <v>0</v>
      </c>
      <c r="P20" s="211">
        <f>+'GRUPO C'!T14</f>
        <v>1</v>
      </c>
      <c r="Q20" s="211">
        <f>+'GRUPO C'!U14</f>
        <v>2</v>
      </c>
      <c r="R20" s="211">
        <f>+'GRUPO C'!V14</f>
        <v>1</v>
      </c>
      <c r="S20" s="211">
        <f>+'GRUPO C'!W14</f>
        <v>6</v>
      </c>
      <c r="T20" s="211">
        <f>+'GRUPO C'!X14</f>
        <v>-5</v>
      </c>
      <c r="U20" s="211">
        <f>+'GRUPO C'!Y14</f>
        <v>0</v>
      </c>
      <c r="V20" s="213"/>
      <c r="W20" s="213"/>
      <c r="X20" s="213" t="s">
        <v>118</v>
      </c>
    </row>
    <row r="21" spans="1:24" s="181" customFormat="1" ht="58.2" customHeight="1" x14ac:dyDescent="0.5">
      <c r="A21" s="210">
        <v>45631</v>
      </c>
      <c r="B21" s="247" t="s">
        <v>151</v>
      </c>
      <c r="C21" s="240">
        <v>0.28472222222222221</v>
      </c>
      <c r="D21" s="211" t="str">
        <f>+'GRUPO C'!E11</f>
        <v>CLUB DEPORTIVO NASSUAR</v>
      </c>
      <c r="E21" s="211">
        <f>+'GRUPO C'!G11</f>
        <v>2</v>
      </c>
      <c r="F21" s="211">
        <f>+'GRUPO C'!I11</f>
        <v>1</v>
      </c>
      <c r="G21" s="211" t="str">
        <f>+'GRUPO C'!K11</f>
        <v>E.D.F CHOCONTA</v>
      </c>
      <c r="H21" s="211" t="s">
        <v>84</v>
      </c>
      <c r="I21" s="211" t="str">
        <f t="shared" si="0"/>
        <v>NACIDOS 2010 2011</v>
      </c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</row>
    <row r="22" spans="1:24" s="181" customFormat="1" ht="58.2" customHeight="1" x14ac:dyDescent="0.5">
      <c r="A22" s="210">
        <v>45631</v>
      </c>
      <c r="B22" s="247" t="s">
        <v>151</v>
      </c>
      <c r="C22" s="212">
        <v>0.34027777777777779</v>
      </c>
      <c r="D22" s="211" t="str">
        <f>+'GRUPO C'!E29</f>
        <v>LE MAX TEAM</v>
      </c>
      <c r="E22" s="211">
        <f>+'GRUPO C'!G29</f>
        <v>0</v>
      </c>
      <c r="F22" s="211">
        <f>+'GRUPO C'!I29</f>
        <v>2</v>
      </c>
      <c r="G22" s="211" t="str">
        <f>+'GRUPO C'!K29</f>
        <v>SPORTING CLUB VILLAVICENCIO</v>
      </c>
      <c r="H22" s="211" t="str">
        <f>+'GRUPO C'!B4</f>
        <v>GRUPO C</v>
      </c>
      <c r="I22" s="211" t="str">
        <f t="shared" si="0"/>
        <v>NACIDOS 2010 2011</v>
      </c>
      <c r="J22" s="213"/>
      <c r="K22" s="213"/>
      <c r="L22" s="218" t="str">
        <f>+'GRUPO D'!B4</f>
        <v>GRUPO D</v>
      </c>
      <c r="M22" s="219" t="str">
        <f>+'GRUPO D'!Q8</f>
        <v>Pts.</v>
      </c>
      <c r="N22" s="219" t="str">
        <f>+'GRUPO D'!R8</f>
        <v>PJ</v>
      </c>
      <c r="O22" s="219" t="str">
        <f>+'GRUPO D'!S8</f>
        <v>Gan.</v>
      </c>
      <c r="P22" s="219" t="str">
        <f>+'GRUPO D'!T8</f>
        <v>Emp.</v>
      </c>
      <c r="Q22" s="219" t="str">
        <f>+'GRUPO D'!U8</f>
        <v>Per.</v>
      </c>
      <c r="R22" s="219" t="str">
        <f>+'GRUPO D'!V8</f>
        <v>GF</v>
      </c>
      <c r="S22" s="219" t="str">
        <f>+'GRUPO D'!W8</f>
        <v>GC</v>
      </c>
      <c r="T22" s="219" t="str">
        <f>+'GRUPO D'!X8</f>
        <v>Dif.</v>
      </c>
      <c r="U22" s="219" t="str">
        <f>+'GRUPO D'!Y8</f>
        <v>Tj</v>
      </c>
      <c r="V22" s="213"/>
      <c r="W22" s="213"/>
      <c r="X22" s="213"/>
    </row>
    <row r="23" spans="1:24" s="181" customFormat="1" ht="58.2" customHeight="1" x14ac:dyDescent="0.5">
      <c r="A23" s="210">
        <v>45631</v>
      </c>
      <c r="B23" s="247" t="s">
        <v>151</v>
      </c>
      <c r="C23" s="212">
        <v>0.39583333333333331</v>
      </c>
      <c r="D23" s="211" t="str">
        <f>+'GRUPO D'!E32</f>
        <v>IMPERIUM FÚTBOL CLUB</v>
      </c>
      <c r="E23" s="211">
        <f>+'GRUPO D'!G32</f>
        <v>4</v>
      </c>
      <c r="F23" s="211">
        <f>+'GRUPO D'!I32</f>
        <v>1</v>
      </c>
      <c r="G23" s="211" t="str">
        <f>+'GRUPO D'!K32</f>
        <v>ACADEMIA F.C SEDE RESTREPO</v>
      </c>
      <c r="H23" s="210" t="str">
        <f>+'GRUPO D'!B4</f>
        <v>GRUPO D</v>
      </c>
      <c r="I23" s="211" t="str">
        <f t="shared" si="0"/>
        <v>NACIDOS 2010 2011</v>
      </c>
      <c r="J23" s="213"/>
      <c r="K23" s="213"/>
      <c r="L23" s="208" t="str">
        <f>+'GRUPO D'!P10</f>
        <v xml:space="preserve">  1)  IMPERIUM FÚTBOL CLUB</v>
      </c>
      <c r="M23" s="211">
        <f>+'GRUPO D'!Q10</f>
        <v>7</v>
      </c>
      <c r="N23" s="211">
        <f>+'GRUPO D'!R10</f>
        <v>3</v>
      </c>
      <c r="O23" s="211">
        <f>+'GRUPO D'!S10</f>
        <v>2</v>
      </c>
      <c r="P23" s="211">
        <f>+'GRUPO D'!T10</f>
        <v>1</v>
      </c>
      <c r="Q23" s="211">
        <f>+'GRUPO D'!U10</f>
        <v>0</v>
      </c>
      <c r="R23" s="211">
        <f>+'GRUPO D'!V10</f>
        <v>7</v>
      </c>
      <c r="S23" s="211">
        <f>+'GRUPO D'!W10</f>
        <v>3</v>
      </c>
      <c r="T23" s="211">
        <f>+'GRUPO D'!X10</f>
        <v>4</v>
      </c>
      <c r="U23" s="211">
        <f>+'GRUPO D'!Y10</f>
        <v>0</v>
      </c>
      <c r="V23" s="213"/>
      <c r="W23" s="213"/>
      <c r="X23" s="213"/>
    </row>
    <row r="24" spans="1:24" s="181" customFormat="1" ht="58.2" customHeight="1" x14ac:dyDescent="0.5">
      <c r="A24" s="210">
        <v>45631</v>
      </c>
      <c r="B24" s="247" t="s">
        <v>151</v>
      </c>
      <c r="C24" s="212">
        <v>0.4513888888888889</v>
      </c>
      <c r="D24" s="211" t="str">
        <f>+'GRUPO A'!E17</f>
        <v>JAGUARES F. C.</v>
      </c>
      <c r="E24" s="211">
        <f>+'GRUPO A'!G17</f>
        <v>3</v>
      </c>
      <c r="F24" s="211">
        <f>+'GRUPO A'!I17</f>
        <v>2</v>
      </c>
      <c r="G24" s="211" t="str">
        <f>+'GRUPO A'!K17</f>
        <v>TROYA F. C.</v>
      </c>
      <c r="H24" s="211" t="str">
        <f>+'GRUPO A'!B4</f>
        <v>GRUPO A</v>
      </c>
      <c r="I24" s="211" t="str">
        <f t="shared" si="0"/>
        <v>NACIDOS 2010 2011</v>
      </c>
      <c r="J24" s="213"/>
      <c r="K24" s="213"/>
      <c r="L24" s="208" t="str">
        <f>+'GRUPO D'!P12</f>
        <v xml:space="preserve">  2)  E.D.F CHOCONTA</v>
      </c>
      <c r="M24" s="211">
        <f>+'GRUPO D'!Q12</f>
        <v>1</v>
      </c>
      <c r="N24" s="211">
        <f>+'GRUPO D'!R12</f>
        <v>3</v>
      </c>
      <c r="O24" s="211">
        <f>+'GRUPO D'!S12</f>
        <v>0</v>
      </c>
      <c r="P24" s="211">
        <f>+'GRUPO D'!T12</f>
        <v>1</v>
      </c>
      <c r="Q24" s="211">
        <f>+'GRUPO D'!U12</f>
        <v>2</v>
      </c>
      <c r="R24" s="211">
        <f>+'GRUPO D'!V12</f>
        <v>2</v>
      </c>
      <c r="S24" s="211">
        <f>+'GRUPO D'!W12</f>
        <v>4</v>
      </c>
      <c r="T24" s="211">
        <f>+'GRUPO D'!X12</f>
        <v>-2</v>
      </c>
      <c r="U24" s="211">
        <f>+'GRUPO D'!Y12</f>
        <v>0</v>
      </c>
      <c r="V24" s="213"/>
      <c r="W24" s="213"/>
      <c r="X24" s="213"/>
    </row>
    <row r="25" spans="1:24" s="181" customFormat="1" ht="58.2" customHeight="1" x14ac:dyDescent="0.5">
      <c r="A25" s="210">
        <v>45631</v>
      </c>
      <c r="B25" s="247" t="s">
        <v>151</v>
      </c>
      <c r="C25" s="212">
        <v>0.50694444444444442</v>
      </c>
      <c r="D25" s="211" t="str">
        <f>+'GRUPO B'!E17</f>
        <v>GOLDEN STEPS</v>
      </c>
      <c r="E25" s="211">
        <f>+'GRUPO B'!G17</f>
        <v>1</v>
      </c>
      <c r="F25" s="211">
        <f>+'GRUPO B'!I17</f>
        <v>5</v>
      </c>
      <c r="G25" s="211" t="str">
        <f>+'GRUPO B'!K17</f>
        <v>ATHLETIC MELGAR</v>
      </c>
      <c r="H25" s="211" t="str">
        <f>+'GRUPO B'!B4</f>
        <v>GRUPO B</v>
      </c>
      <c r="I25" s="211" t="str">
        <f t="shared" si="0"/>
        <v>NACIDOS 2010 2011</v>
      </c>
      <c r="J25" s="213"/>
      <c r="K25" s="213"/>
      <c r="L25" s="208" t="str">
        <f>+'GRUPO D'!P14</f>
        <v xml:space="preserve">  3)  ACADEMIA F.C SEDE RESTREPO</v>
      </c>
      <c r="M25" s="211">
        <f>+'GRUPO D'!Q14</f>
        <v>1</v>
      </c>
      <c r="N25" s="211">
        <f>+'GRUPO D'!R14</f>
        <v>3</v>
      </c>
      <c r="O25" s="211">
        <f>+'GRUPO D'!S14</f>
        <v>0</v>
      </c>
      <c r="P25" s="211">
        <f>+'GRUPO D'!T14</f>
        <v>1</v>
      </c>
      <c r="Q25" s="211">
        <f>+'GRUPO D'!U14</f>
        <v>2</v>
      </c>
      <c r="R25" s="211">
        <f>+'GRUPO D'!V14</f>
        <v>4</v>
      </c>
      <c r="S25" s="211">
        <f>+'GRUPO D'!W14</f>
        <v>8</v>
      </c>
      <c r="T25" s="211">
        <f>+'GRUPO D'!X14</f>
        <v>-4</v>
      </c>
      <c r="U25" s="211">
        <f>+'GRUPO D'!Y14</f>
        <v>0</v>
      </c>
      <c r="V25" s="213"/>
      <c r="W25" s="213"/>
      <c r="X25" s="213"/>
    </row>
    <row r="26" spans="1:24" s="181" customFormat="1" ht="58.2" customHeight="1" x14ac:dyDescent="0.5">
      <c r="A26" s="210">
        <v>45631</v>
      </c>
      <c r="B26" s="245" t="s">
        <v>150</v>
      </c>
      <c r="C26" s="240">
        <v>0.57291666666666663</v>
      </c>
      <c r="D26" s="211" t="str">
        <f>+'GRUPO A'!E14</f>
        <v>JUDERCAR F. C.</v>
      </c>
      <c r="E26" s="211">
        <f>+'GRUPO A'!G14</f>
        <v>6</v>
      </c>
      <c r="F26" s="211">
        <f>+'GRUPO A'!I14</f>
        <v>0</v>
      </c>
      <c r="G26" s="211" t="str">
        <f>+'GRUPO A'!K14</f>
        <v>LIONTA F. C.</v>
      </c>
      <c r="H26" s="211" t="s">
        <v>84</v>
      </c>
      <c r="I26" s="211" t="str">
        <f t="shared" si="0"/>
        <v>NACIDOS 2010 2011</v>
      </c>
      <c r="J26" s="213"/>
      <c r="K26" s="213"/>
      <c r="U26" s="213"/>
      <c r="V26" s="213"/>
      <c r="W26" s="213"/>
      <c r="X26" s="213"/>
    </row>
    <row r="27" spans="1:24" s="181" customFormat="1" ht="58.2" customHeight="1" thickBot="1" x14ac:dyDescent="0.55000000000000004">
      <c r="A27" s="210">
        <v>45631</v>
      </c>
      <c r="B27" s="247" t="s">
        <v>151</v>
      </c>
      <c r="C27" s="212">
        <v>0.5625</v>
      </c>
      <c r="D27" s="211" t="str">
        <f>+'GRUPO C'!E26</f>
        <v>LE MAX TEAM</v>
      </c>
      <c r="E27" s="211">
        <f>+'GRUPO C'!G26</f>
        <v>0</v>
      </c>
      <c r="F27" s="211">
        <f>+'GRUPO C'!I26</f>
        <v>3</v>
      </c>
      <c r="G27" s="211" t="str">
        <f>+'GRUPO C'!K26</f>
        <v>CLUB DEPORTIVO NASSUAR</v>
      </c>
      <c r="H27" s="210" t="str">
        <f>+'GRUPO C'!B4</f>
        <v>GRUPO C</v>
      </c>
      <c r="I27" s="211" t="str">
        <f t="shared" si="0"/>
        <v>NACIDOS 2010 2011</v>
      </c>
      <c r="J27" s="213"/>
      <c r="K27" s="498" t="s">
        <v>126</v>
      </c>
      <c r="L27" s="498"/>
      <c r="M27" s="498"/>
      <c r="N27" s="498"/>
      <c r="O27" s="498"/>
      <c r="P27" s="498"/>
      <c r="Q27" s="498"/>
      <c r="R27" s="498"/>
      <c r="S27" s="498"/>
      <c r="T27" s="498"/>
      <c r="U27" s="498"/>
      <c r="V27" s="225"/>
      <c r="W27" s="213"/>
      <c r="X27" s="213"/>
    </row>
    <row r="28" spans="1:24" s="181" customFormat="1" ht="58.2" customHeight="1" x14ac:dyDescent="0.5">
      <c r="A28" s="210">
        <v>45631</v>
      </c>
      <c r="B28" s="247" t="s">
        <v>151</v>
      </c>
      <c r="C28" s="212">
        <v>0.61805555555555558</v>
      </c>
      <c r="D28" s="211" t="str">
        <f>+'GRUPO D'!E26</f>
        <v>E.D.F CHOCONTA</v>
      </c>
      <c r="E28" s="211">
        <f>+'GRUPO D'!G26</f>
        <v>1</v>
      </c>
      <c r="F28" s="211">
        <f>+'GRUPO D'!I26</f>
        <v>2</v>
      </c>
      <c r="G28" s="211" t="str">
        <f>+'GRUPO D'!K26</f>
        <v>IMPERIUM FÚTBOL CLUB</v>
      </c>
      <c r="H28" s="211" t="str">
        <f>+'GRUPO D'!B4</f>
        <v>GRUPO D</v>
      </c>
      <c r="I28" s="211" t="str">
        <f t="shared" si="0"/>
        <v>NACIDOS 2010 2011</v>
      </c>
      <c r="J28" s="213"/>
      <c r="K28" s="226" t="s">
        <v>127</v>
      </c>
      <c r="L28" s="227" t="s">
        <v>70</v>
      </c>
      <c r="M28" s="227" t="s">
        <v>128</v>
      </c>
      <c r="N28" s="227" t="s">
        <v>16</v>
      </c>
      <c r="O28" s="227" t="s">
        <v>129</v>
      </c>
      <c r="P28" s="227" t="s">
        <v>130</v>
      </c>
      <c r="Q28" s="227" t="s">
        <v>131</v>
      </c>
      <c r="R28" s="227" t="s">
        <v>11</v>
      </c>
      <c r="S28" s="227" t="s">
        <v>12</v>
      </c>
      <c r="T28" s="227" t="s">
        <v>132</v>
      </c>
      <c r="U28" s="228" t="s">
        <v>35</v>
      </c>
      <c r="V28" s="225"/>
      <c r="W28" s="213"/>
      <c r="X28" s="213"/>
    </row>
    <row r="29" spans="1:24" s="181" customFormat="1" ht="58.2" customHeight="1" x14ac:dyDescent="0.5">
      <c r="A29" s="210">
        <v>45631</v>
      </c>
      <c r="B29" s="247" t="s">
        <v>151</v>
      </c>
      <c r="C29" s="212">
        <v>0.67708333333333337</v>
      </c>
      <c r="D29" s="211" t="str">
        <f>+'GRUPO C'!E14</f>
        <v>SPORTING CLUB VILLAVICENCIO</v>
      </c>
      <c r="E29" s="211">
        <f>+'GRUPO C'!G14</f>
        <v>4</v>
      </c>
      <c r="F29" s="211">
        <f>+'GRUPO C'!I14</f>
        <v>3</v>
      </c>
      <c r="G29" s="211" t="str">
        <f>+'GRUPO C'!K14</f>
        <v>ACADEMIA F.C SEDE RESTREPO</v>
      </c>
      <c r="H29" s="211" t="s">
        <v>84</v>
      </c>
      <c r="I29" s="211" t="str">
        <f t="shared" si="0"/>
        <v>NACIDOS 2010 2011</v>
      </c>
      <c r="J29" s="213"/>
      <c r="K29" s="229">
        <v>1</v>
      </c>
      <c r="L29" s="211" t="str">
        <f>'GRUPO D'!P10</f>
        <v xml:space="preserve">  1)  IMPERIUM FÚTBOL CLUB</v>
      </c>
      <c r="M29" s="211">
        <f>'GRUPO D'!Q10</f>
        <v>7</v>
      </c>
      <c r="N29" s="211">
        <f>'GRUPO D'!R10</f>
        <v>3</v>
      </c>
      <c r="O29" s="211">
        <f>'GRUPO D'!S10</f>
        <v>2</v>
      </c>
      <c r="P29" s="211">
        <f>'GRUPO D'!T10</f>
        <v>1</v>
      </c>
      <c r="Q29" s="211">
        <f>'GRUPO D'!U10</f>
        <v>0</v>
      </c>
      <c r="R29" s="211">
        <f>'GRUPO D'!V10</f>
        <v>7</v>
      </c>
      <c r="S29" s="211">
        <f>'GRUPO D'!W10</f>
        <v>3</v>
      </c>
      <c r="T29" s="211">
        <f>'GRUPO D'!X10</f>
        <v>4</v>
      </c>
      <c r="U29" s="211">
        <f>'GRUPO D'!Y10</f>
        <v>0</v>
      </c>
      <c r="V29" s="230"/>
      <c r="W29" s="213"/>
      <c r="X29" s="213"/>
    </row>
    <row r="30" spans="1:24" s="181" customFormat="1" ht="48.6" customHeight="1" thickBot="1" x14ac:dyDescent="0.55000000000000004">
      <c r="J30" s="213"/>
      <c r="K30" s="229">
        <v>2</v>
      </c>
      <c r="L30" s="211" t="str">
        <f>'GRUPO C'!P10</f>
        <v xml:space="preserve">  1)  CLUB DEPORTIVO NASSUAR</v>
      </c>
      <c r="M30" s="211">
        <f>'GRUPO C'!Q10</f>
        <v>7</v>
      </c>
      <c r="N30" s="211">
        <f>'GRUPO C'!R10</f>
        <v>3</v>
      </c>
      <c r="O30" s="211">
        <f>'GRUPO C'!S10</f>
        <v>2</v>
      </c>
      <c r="P30" s="211">
        <f>'GRUPO C'!T10</f>
        <v>1</v>
      </c>
      <c r="Q30" s="211">
        <f>'GRUPO C'!U10</f>
        <v>0</v>
      </c>
      <c r="R30" s="211">
        <f>'GRUPO C'!V10</f>
        <v>5</v>
      </c>
      <c r="S30" s="211">
        <f>'GRUPO C'!W10</f>
        <v>1</v>
      </c>
      <c r="T30" s="211">
        <f>'GRUPO C'!X10</f>
        <v>4</v>
      </c>
      <c r="U30" s="211">
        <f>'GRUPO C'!Y10</f>
        <v>0</v>
      </c>
      <c r="V30" s="230"/>
      <c r="W30" s="213"/>
      <c r="X30" s="213"/>
    </row>
    <row r="31" spans="1:24" s="181" customFormat="1" ht="58.2" customHeight="1" thickBot="1" x14ac:dyDescent="0.55000000000000004">
      <c r="A31" s="213"/>
      <c r="B31" s="499" t="s">
        <v>124</v>
      </c>
      <c r="C31" s="500"/>
      <c r="D31" s="500"/>
      <c r="E31" s="500"/>
      <c r="F31" s="500"/>
      <c r="G31" s="500"/>
      <c r="H31" s="500"/>
      <c r="I31" s="501"/>
      <c r="J31" s="213"/>
      <c r="K31" s="229">
        <v>3</v>
      </c>
      <c r="L31" s="211" t="str">
        <f>'GRUPO A'!P10</f>
        <v xml:space="preserve">  1)  JUDERCAR F. C.</v>
      </c>
      <c r="M31" s="211">
        <f>'GRUPO A'!Q10</f>
        <v>6</v>
      </c>
      <c r="N31" s="211">
        <f>'GRUPO A'!R10</f>
        <v>3</v>
      </c>
      <c r="O31" s="211">
        <f>'GRUPO A'!S10</f>
        <v>2</v>
      </c>
      <c r="P31" s="211">
        <f>'GRUPO A'!T10</f>
        <v>0</v>
      </c>
      <c r="Q31" s="211">
        <f>'GRUPO A'!U10</f>
        <v>1</v>
      </c>
      <c r="R31" s="211">
        <f>'GRUPO A'!V10</f>
        <v>9</v>
      </c>
      <c r="S31" s="211">
        <f>'GRUPO A'!W10</f>
        <v>1</v>
      </c>
      <c r="T31" s="211">
        <f>'GRUPO A'!X10</f>
        <v>8</v>
      </c>
      <c r="U31" s="211">
        <f>'GRUPO A'!Y10</f>
        <v>0</v>
      </c>
      <c r="V31" s="230"/>
      <c r="W31" s="213"/>
    </row>
    <row r="32" spans="1:24" s="181" customFormat="1" ht="58.2" customHeight="1" x14ac:dyDescent="0.5">
      <c r="A32" s="213"/>
      <c r="B32" s="215" t="s">
        <v>68</v>
      </c>
      <c r="C32" s="215" t="s">
        <v>69</v>
      </c>
      <c r="D32" s="215" t="s">
        <v>70</v>
      </c>
      <c r="E32" s="508" t="s">
        <v>71</v>
      </c>
      <c r="F32" s="508"/>
      <c r="G32" s="215" t="s">
        <v>70</v>
      </c>
      <c r="H32" s="215" t="s">
        <v>72</v>
      </c>
      <c r="I32" s="207" t="s">
        <v>102</v>
      </c>
      <c r="J32" s="213"/>
      <c r="K32" s="229">
        <v>4</v>
      </c>
      <c r="L32" s="211" t="str">
        <f>'GRUPO B'!P10</f>
        <v xml:space="preserve">  1)  ATHLETIC MELGAR</v>
      </c>
      <c r="M32" s="211">
        <f>'GRUPO B'!Q10</f>
        <v>6</v>
      </c>
      <c r="N32" s="211">
        <f>'GRUPO B'!R10</f>
        <v>3</v>
      </c>
      <c r="O32" s="211">
        <f>'GRUPO B'!S10</f>
        <v>2</v>
      </c>
      <c r="P32" s="211">
        <f>'GRUPO B'!T10</f>
        <v>0</v>
      </c>
      <c r="Q32" s="211">
        <f>'GRUPO B'!U10</f>
        <v>1</v>
      </c>
      <c r="R32" s="211">
        <f>'GRUPO B'!V10</f>
        <v>9</v>
      </c>
      <c r="S32" s="211">
        <f>'GRUPO B'!W10</f>
        <v>2</v>
      </c>
      <c r="T32" s="211">
        <f>'GRUPO B'!X10</f>
        <v>7</v>
      </c>
      <c r="U32" s="211">
        <f>'GRUPO B'!Y10</f>
        <v>0</v>
      </c>
      <c r="V32" s="230"/>
      <c r="W32" s="213"/>
      <c r="X32" s="213"/>
    </row>
    <row r="33" spans="1:22" s="181" customFormat="1" ht="58.2" customHeight="1" x14ac:dyDescent="0.5">
      <c r="A33" s="210">
        <v>45632</v>
      </c>
      <c r="B33" s="247" t="s">
        <v>151</v>
      </c>
      <c r="C33" s="212">
        <v>0.28472222222222221</v>
      </c>
      <c r="D33" s="211" t="s">
        <v>80</v>
      </c>
      <c r="E33" s="211">
        <v>0</v>
      </c>
      <c r="F33" s="211">
        <v>0</v>
      </c>
      <c r="G33" s="211" t="s">
        <v>82</v>
      </c>
      <c r="H33" s="239" t="s">
        <v>122</v>
      </c>
      <c r="I33" s="211" t="str">
        <f t="shared" ref="I33:I38" si="1">+$A$4</f>
        <v>NACIDOS 2010 2011</v>
      </c>
      <c r="J33" s="213"/>
      <c r="K33" s="231">
        <v>5</v>
      </c>
      <c r="L33" s="211" t="str">
        <f>'GRUPO C'!P12</f>
        <v xml:space="preserve">  2)  SPORTING CLUB VILLAVICENCIO</v>
      </c>
      <c r="M33" s="211">
        <f>'GRUPO C'!Q12</f>
        <v>7</v>
      </c>
      <c r="N33" s="211">
        <f>'GRUPO C'!R12</f>
        <v>3</v>
      </c>
      <c r="O33" s="211">
        <f>'GRUPO C'!S12</f>
        <v>2</v>
      </c>
      <c r="P33" s="211">
        <f>'GRUPO C'!T12</f>
        <v>1</v>
      </c>
      <c r="Q33" s="211">
        <f>'GRUPO C'!U12</f>
        <v>0</v>
      </c>
      <c r="R33" s="211">
        <f>'GRUPO C'!V12</f>
        <v>6</v>
      </c>
      <c r="S33" s="211">
        <f>'GRUPO C'!W12</f>
        <v>3</v>
      </c>
      <c r="T33" s="211">
        <f>'GRUPO C'!X12</f>
        <v>3</v>
      </c>
      <c r="U33" s="211">
        <f>'GRUPO C'!Y12</f>
        <v>0</v>
      </c>
      <c r="V33" s="232"/>
    </row>
    <row r="34" spans="1:22" s="181" customFormat="1" ht="58.2" customHeight="1" x14ac:dyDescent="0.5">
      <c r="A34" s="210">
        <v>45632</v>
      </c>
      <c r="B34" s="247" t="s">
        <v>151</v>
      </c>
      <c r="C34" s="212">
        <v>0.34027777777777779</v>
      </c>
      <c r="D34" s="211" t="s">
        <v>83</v>
      </c>
      <c r="E34" s="211">
        <v>0</v>
      </c>
      <c r="F34" s="211">
        <v>0</v>
      </c>
      <c r="G34" s="211" t="s">
        <v>81</v>
      </c>
      <c r="H34" s="239" t="s">
        <v>123</v>
      </c>
      <c r="I34" s="211" t="str">
        <f t="shared" si="1"/>
        <v>NACIDOS 2010 2011</v>
      </c>
      <c r="J34" s="213"/>
      <c r="K34" s="231">
        <v>6</v>
      </c>
      <c r="L34" s="211" t="str">
        <f>'GRUPO A'!P12</f>
        <v xml:space="preserve">  2)  TROYA F. C.</v>
      </c>
      <c r="M34" s="211">
        <f>'GRUPO A'!Q12</f>
        <v>6</v>
      </c>
      <c r="N34" s="211">
        <f>'GRUPO A'!R12</f>
        <v>3</v>
      </c>
      <c r="O34" s="211">
        <f>'GRUPO A'!S12</f>
        <v>2</v>
      </c>
      <c r="P34" s="211">
        <f>'GRUPO A'!T12</f>
        <v>0</v>
      </c>
      <c r="Q34" s="211">
        <f>'GRUPO A'!U12</f>
        <v>1</v>
      </c>
      <c r="R34" s="211">
        <f>'GRUPO A'!V12</f>
        <v>4</v>
      </c>
      <c r="S34" s="211">
        <f>'GRUPO A'!W12</f>
        <v>3</v>
      </c>
      <c r="T34" s="211">
        <f>'GRUPO A'!X12</f>
        <v>1</v>
      </c>
      <c r="U34" s="211">
        <f>'GRUPO A'!Y12</f>
        <v>0</v>
      </c>
      <c r="V34" s="232"/>
    </row>
    <row r="35" spans="1:22" s="181" customFormat="1" ht="58.2" customHeight="1" x14ac:dyDescent="0.5">
      <c r="A35" s="210">
        <v>45632</v>
      </c>
      <c r="B35" s="247" t="s">
        <v>151</v>
      </c>
      <c r="C35" s="212">
        <v>0.39583333333333331</v>
      </c>
      <c r="D35" s="211" t="s">
        <v>141</v>
      </c>
      <c r="E35" s="211">
        <v>0</v>
      </c>
      <c r="F35" s="211">
        <v>0</v>
      </c>
      <c r="G35" s="211" t="s">
        <v>142</v>
      </c>
      <c r="H35" s="211" t="s">
        <v>135</v>
      </c>
      <c r="I35" s="211" t="str">
        <f t="shared" si="1"/>
        <v>NACIDOS 2010 2011</v>
      </c>
      <c r="J35" s="213"/>
      <c r="K35" s="233">
        <v>7</v>
      </c>
      <c r="L35" s="211" t="str">
        <f>'GRUPO B'!P12</f>
        <v xml:space="preserve">  2)  GOLDEN STEPS</v>
      </c>
      <c r="M35" s="211">
        <f>'GRUPO B'!Q12</f>
        <v>4</v>
      </c>
      <c r="N35" s="211">
        <f>'GRUPO B'!R12</f>
        <v>3</v>
      </c>
      <c r="O35" s="211">
        <f>'GRUPO B'!S12</f>
        <v>1</v>
      </c>
      <c r="P35" s="211">
        <f>'GRUPO B'!T12</f>
        <v>1</v>
      </c>
      <c r="Q35" s="211">
        <f>'GRUPO B'!U12</f>
        <v>1</v>
      </c>
      <c r="R35" s="211">
        <f>'GRUPO B'!V12</f>
        <v>4</v>
      </c>
      <c r="S35" s="211">
        <f>'GRUPO B'!W12</f>
        <v>5</v>
      </c>
      <c r="T35" s="211">
        <f>'GRUPO B'!X12</f>
        <v>-1</v>
      </c>
      <c r="U35" s="211">
        <f>'GRUPO B'!Y12</f>
        <v>0</v>
      </c>
      <c r="V35" s="234"/>
    </row>
    <row r="36" spans="1:22" s="181" customFormat="1" ht="58.2" customHeight="1" x14ac:dyDescent="0.5">
      <c r="A36" s="210">
        <v>45632</v>
      </c>
      <c r="B36" s="247" t="s">
        <v>151</v>
      </c>
      <c r="C36" s="212">
        <v>0.4513888888888889</v>
      </c>
      <c r="D36" s="211" t="s">
        <v>143</v>
      </c>
      <c r="E36" s="211">
        <v>0</v>
      </c>
      <c r="F36" s="211">
        <v>0</v>
      </c>
      <c r="G36" s="211" t="s">
        <v>144</v>
      </c>
      <c r="H36" s="211" t="s">
        <v>136</v>
      </c>
      <c r="I36" s="211" t="str">
        <f t="shared" si="1"/>
        <v>NACIDOS 2010 2011</v>
      </c>
      <c r="J36" s="213"/>
      <c r="K36" s="233">
        <v>8</v>
      </c>
      <c r="L36" s="211" t="str">
        <f>'GRUPO A'!P14</f>
        <v xml:space="preserve">  3)  JAGUARES F. C.</v>
      </c>
      <c r="M36" s="211">
        <f>'GRUPO A'!Q14</f>
        <v>4</v>
      </c>
      <c r="N36" s="211">
        <f>'GRUPO A'!R14</f>
        <v>3</v>
      </c>
      <c r="O36" s="211">
        <f>'GRUPO A'!S14</f>
        <v>1</v>
      </c>
      <c r="P36" s="211">
        <f>'GRUPO A'!T14</f>
        <v>1</v>
      </c>
      <c r="Q36" s="211">
        <f>'GRUPO A'!U14</f>
        <v>1</v>
      </c>
      <c r="R36" s="211">
        <f>'GRUPO A'!V14</f>
        <v>3</v>
      </c>
      <c r="S36" s="211">
        <f>'GRUPO A'!W14</f>
        <v>5</v>
      </c>
      <c r="T36" s="211">
        <f>'GRUPO A'!X14</f>
        <v>-2</v>
      </c>
      <c r="U36" s="211">
        <f>'GRUPO A'!Y14</f>
        <v>0</v>
      </c>
      <c r="V36" s="234"/>
    </row>
    <row r="37" spans="1:22" s="181" customFormat="1" ht="58.2" customHeight="1" x14ac:dyDescent="0.5">
      <c r="A37" s="210">
        <v>45632</v>
      </c>
      <c r="B37" s="247" t="s">
        <v>151</v>
      </c>
      <c r="C37" s="212">
        <v>0.50694444444444442</v>
      </c>
      <c r="D37" s="211" t="s">
        <v>138</v>
      </c>
      <c r="E37" s="211">
        <v>0</v>
      </c>
      <c r="F37" s="211">
        <v>0</v>
      </c>
      <c r="G37" s="211" t="s">
        <v>137</v>
      </c>
      <c r="H37" s="211" t="s">
        <v>133</v>
      </c>
      <c r="I37" s="211" t="str">
        <f t="shared" si="1"/>
        <v>NACIDOS 2010 2011</v>
      </c>
      <c r="J37" s="213"/>
      <c r="K37" s="235">
        <v>9</v>
      </c>
      <c r="L37" s="211" t="str">
        <f>'GRUPO D'!P12</f>
        <v xml:space="preserve">  2)  E.D.F CHOCONTA</v>
      </c>
      <c r="M37" s="211">
        <f>'GRUPO D'!Q12</f>
        <v>1</v>
      </c>
      <c r="N37" s="211">
        <f>'GRUPO D'!R12</f>
        <v>3</v>
      </c>
      <c r="O37" s="211">
        <f>'GRUPO D'!S12</f>
        <v>0</v>
      </c>
      <c r="P37" s="211">
        <f>'GRUPO D'!T12</f>
        <v>1</v>
      </c>
      <c r="Q37" s="211">
        <f>'GRUPO D'!U12</f>
        <v>2</v>
      </c>
      <c r="R37" s="211">
        <f>'GRUPO D'!V12</f>
        <v>2</v>
      </c>
      <c r="S37" s="211">
        <f>'GRUPO D'!W12</f>
        <v>4</v>
      </c>
      <c r="T37" s="211">
        <f>'GRUPO D'!X12</f>
        <v>-2</v>
      </c>
      <c r="U37" s="211">
        <f>'GRUPO D'!Y12</f>
        <v>0</v>
      </c>
      <c r="V37" s="236"/>
    </row>
    <row r="38" spans="1:22" s="181" customFormat="1" ht="58.2" customHeight="1" x14ac:dyDescent="0.5">
      <c r="A38" s="210">
        <v>45632</v>
      </c>
      <c r="B38" s="247" t="s">
        <v>151</v>
      </c>
      <c r="C38" s="212">
        <v>0.5625</v>
      </c>
      <c r="D38" s="211" t="s">
        <v>139</v>
      </c>
      <c r="E38" s="211">
        <v>0</v>
      </c>
      <c r="F38" s="211">
        <v>0</v>
      </c>
      <c r="G38" s="211" t="s">
        <v>140</v>
      </c>
      <c r="H38" s="211" t="s">
        <v>134</v>
      </c>
      <c r="I38" s="211" t="str">
        <f t="shared" si="1"/>
        <v>NACIDOS 2010 2011</v>
      </c>
      <c r="J38" s="213"/>
      <c r="K38" s="235">
        <v>10</v>
      </c>
      <c r="L38" s="211" t="str">
        <f>'GRUPO D'!P14</f>
        <v xml:space="preserve">  3)  ACADEMIA F.C SEDE RESTREPO</v>
      </c>
      <c r="M38" s="211">
        <f>'GRUPO D'!Q14</f>
        <v>1</v>
      </c>
      <c r="N38" s="211">
        <f>'GRUPO D'!R14</f>
        <v>3</v>
      </c>
      <c r="O38" s="211">
        <f>'GRUPO D'!S14</f>
        <v>0</v>
      </c>
      <c r="P38" s="211">
        <f>'GRUPO D'!T14</f>
        <v>1</v>
      </c>
      <c r="Q38" s="211">
        <f>'GRUPO D'!U14</f>
        <v>2</v>
      </c>
      <c r="R38" s="211">
        <f>'GRUPO D'!V14</f>
        <v>4</v>
      </c>
      <c r="S38" s="211">
        <f>'GRUPO D'!W14</f>
        <v>8</v>
      </c>
      <c r="T38" s="211">
        <f>'GRUPO D'!X14</f>
        <v>-4</v>
      </c>
      <c r="U38" s="211">
        <f>'GRUPO D'!Y14</f>
        <v>0</v>
      </c>
      <c r="V38" s="236"/>
    </row>
    <row r="39" spans="1:22" ht="58.2" customHeight="1" thickBot="1" x14ac:dyDescent="0.55000000000000004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237">
        <v>11</v>
      </c>
      <c r="L39" s="211" t="str">
        <f>'GRUPO C'!P14</f>
        <v xml:space="preserve">  3)  LE MAX TEAM</v>
      </c>
      <c r="M39" s="211">
        <f>'GRUPO C'!Q14</f>
        <v>1</v>
      </c>
      <c r="N39" s="211">
        <f>'GRUPO C'!R14</f>
        <v>3</v>
      </c>
      <c r="O39" s="211">
        <f>'GRUPO C'!S14</f>
        <v>0</v>
      </c>
      <c r="P39" s="211">
        <f>'GRUPO C'!T14</f>
        <v>1</v>
      </c>
      <c r="Q39" s="211">
        <f>'GRUPO C'!U14</f>
        <v>2</v>
      </c>
      <c r="R39" s="211">
        <f>'GRUPO C'!V14</f>
        <v>1</v>
      </c>
      <c r="S39" s="211">
        <f>'GRUPO C'!W14</f>
        <v>6</v>
      </c>
      <c r="T39" s="211">
        <f>'GRUPO C'!X14</f>
        <v>-5</v>
      </c>
      <c r="U39" s="211">
        <f>'GRUPO C'!Y14</f>
        <v>0</v>
      </c>
      <c r="V39" s="238"/>
    </row>
    <row r="40" spans="1:22" ht="58.2" customHeight="1" thickBot="1" x14ac:dyDescent="0.55000000000000004">
      <c r="A40" s="213"/>
      <c r="B40" s="509" t="s">
        <v>125</v>
      </c>
      <c r="C40" s="510"/>
      <c r="D40" s="510"/>
      <c r="E40" s="510"/>
      <c r="F40" s="510"/>
      <c r="G40" s="510"/>
      <c r="H40" s="510"/>
      <c r="I40" s="511"/>
      <c r="J40" s="111"/>
      <c r="K40" s="237">
        <v>12</v>
      </c>
      <c r="L40" s="211" t="str">
        <f>'GRUPO B'!P14</f>
        <v xml:space="preserve">  3)  LIONTA F. C.</v>
      </c>
      <c r="M40" s="211">
        <f>'GRUPO B'!Q14</f>
        <v>0</v>
      </c>
      <c r="N40" s="211">
        <f>'GRUPO B'!R14</f>
        <v>3</v>
      </c>
      <c r="O40" s="211">
        <f>'GRUPO B'!S14</f>
        <v>0</v>
      </c>
      <c r="P40" s="211">
        <f>'GRUPO B'!T14</f>
        <v>0</v>
      </c>
      <c r="Q40" s="211">
        <f>'GRUPO B'!U14</f>
        <v>3</v>
      </c>
      <c r="R40" s="211">
        <f>'GRUPO B'!V14</f>
        <v>0</v>
      </c>
      <c r="S40" s="211">
        <f>'GRUPO B'!W14</f>
        <v>13</v>
      </c>
      <c r="T40" s="211">
        <f>'GRUPO B'!X14</f>
        <v>-13</v>
      </c>
      <c r="U40" s="211">
        <f>'GRUPO B'!Y14</f>
        <v>0</v>
      </c>
      <c r="V40" s="238"/>
    </row>
    <row r="41" spans="1:22" ht="58.2" customHeight="1" x14ac:dyDescent="0.5">
      <c r="A41" s="111"/>
      <c r="B41" s="221" t="s">
        <v>68</v>
      </c>
      <c r="C41" s="221" t="s">
        <v>69</v>
      </c>
      <c r="D41" s="221" t="s">
        <v>70</v>
      </c>
      <c r="E41" s="512" t="s">
        <v>71</v>
      </c>
      <c r="F41" s="512"/>
      <c r="G41" s="221" t="s">
        <v>70</v>
      </c>
      <c r="H41" s="221" t="s">
        <v>72</v>
      </c>
      <c r="I41" s="221" t="s">
        <v>119</v>
      </c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</row>
    <row r="42" spans="1:22" ht="58.2" customHeight="1" x14ac:dyDescent="0.5">
      <c r="A42" s="210">
        <v>45632</v>
      </c>
      <c r="B42" s="247" t="s">
        <v>151</v>
      </c>
      <c r="C42" s="212">
        <v>0.61805555555555558</v>
      </c>
      <c r="D42" s="211" t="s">
        <v>64</v>
      </c>
      <c r="E42" s="211">
        <v>0</v>
      </c>
      <c r="F42" s="211">
        <v>0</v>
      </c>
      <c r="G42" s="211" t="s">
        <v>65</v>
      </c>
      <c r="H42" s="220" t="s">
        <v>146</v>
      </c>
      <c r="I42" s="211" t="str">
        <f>+$A$4</f>
        <v>NACIDOS 2010 2011</v>
      </c>
      <c r="J42" s="111"/>
      <c r="K42" s="111"/>
      <c r="Q42" s="111"/>
      <c r="R42" s="111"/>
      <c r="S42" s="111"/>
      <c r="T42" s="111"/>
      <c r="U42" s="111"/>
      <c r="V42" s="111"/>
    </row>
    <row r="43" spans="1:22" ht="58.2" customHeight="1" x14ac:dyDescent="0.5">
      <c r="A43" s="210">
        <v>45632</v>
      </c>
      <c r="B43" s="247" t="s">
        <v>151</v>
      </c>
      <c r="C43" s="212">
        <v>0.67361111111111116</v>
      </c>
      <c r="D43" s="211" t="s">
        <v>66</v>
      </c>
      <c r="E43" s="211">
        <v>0</v>
      </c>
      <c r="F43" s="211">
        <v>0</v>
      </c>
      <c r="G43" s="211" t="s">
        <v>67</v>
      </c>
      <c r="H43" s="220" t="s">
        <v>147</v>
      </c>
      <c r="I43" s="211" t="str">
        <f>+$A$4</f>
        <v>NACIDOS 2010 2011</v>
      </c>
      <c r="J43" s="111"/>
      <c r="K43" s="111"/>
      <c r="Q43" s="111"/>
      <c r="R43" s="111"/>
      <c r="S43" s="111"/>
      <c r="T43" s="111"/>
      <c r="U43" s="111"/>
      <c r="V43" s="111"/>
    </row>
  </sheetData>
  <mergeCells count="15">
    <mergeCell ref="E32:F32"/>
    <mergeCell ref="B40:I40"/>
    <mergeCell ref="E41:F41"/>
    <mergeCell ref="B7:I7"/>
    <mergeCell ref="E8:F8"/>
    <mergeCell ref="B18:I18"/>
    <mergeCell ref="E19:F19"/>
    <mergeCell ref="K27:U27"/>
    <mergeCell ref="B31:I31"/>
    <mergeCell ref="A1:I1"/>
    <mergeCell ref="A2:I2"/>
    <mergeCell ref="A3:I3"/>
    <mergeCell ref="A4:I4"/>
    <mergeCell ref="A5:I5"/>
    <mergeCell ref="A6:I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0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I55"/>
  <sheetViews>
    <sheetView topLeftCell="A24" zoomScaleNormal="100" workbookViewId="0">
      <selection activeCell="B1" sqref="B1:J56"/>
    </sheetView>
  </sheetViews>
  <sheetFormatPr baseColWidth="10" defaultColWidth="11.44140625" defaultRowHeight="14.4" x14ac:dyDescent="0.3"/>
  <cols>
    <col min="1" max="1" width="4.5546875" style="3" customWidth="1"/>
    <col min="2" max="2" width="9.1093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1" width="4.44140625" style="3" customWidth="1"/>
    <col min="12" max="16384" width="11.44140625" style="3"/>
  </cols>
  <sheetData>
    <row r="1" spans="3:9" ht="22.8" x14ac:dyDescent="0.3">
      <c r="C1" s="457" t="str">
        <f>+'PRE INFANTIL GRUPOS'!C1:I1</f>
        <v>XVIII Campeonato Nacional de Fútbol Infantil</v>
      </c>
      <c r="D1" s="457"/>
      <c r="E1" s="457"/>
      <c r="F1" s="457"/>
      <c r="G1" s="457"/>
      <c r="H1" s="457"/>
      <c r="I1" s="457"/>
    </row>
    <row r="2" spans="3:9" ht="17.399999999999999" x14ac:dyDescent="0.3">
      <c r="C2" s="458" t="s">
        <v>6</v>
      </c>
      <c r="D2" s="458"/>
      <c r="E2" s="458"/>
      <c r="F2" s="458"/>
      <c r="G2" s="458"/>
      <c r="H2" s="458"/>
      <c r="I2" s="458"/>
    </row>
    <row r="3" spans="3:9" ht="4.2" customHeight="1" x14ac:dyDescent="0.3"/>
    <row r="4" spans="3:9" ht="20.399999999999999" x14ac:dyDescent="0.3">
      <c r="C4" s="519" t="s">
        <v>45</v>
      </c>
      <c r="D4" s="519"/>
      <c r="E4" s="519"/>
      <c r="F4" s="519"/>
      <c r="G4" s="519"/>
      <c r="H4" s="519"/>
      <c r="I4" s="519"/>
    </row>
    <row r="5" spans="3:9" ht="6" customHeight="1" thickBot="1" x14ac:dyDescent="0.35">
      <c r="C5" s="141"/>
      <c r="D5" s="141"/>
      <c r="E5" s="141"/>
      <c r="F5" s="141"/>
      <c r="G5" s="141"/>
      <c r="H5" s="141"/>
      <c r="I5" s="141"/>
    </row>
    <row r="6" spans="3:9" ht="15.6" x14ac:dyDescent="0.3">
      <c r="C6" s="142" t="s">
        <v>0</v>
      </c>
      <c r="D6" s="143"/>
      <c r="E6" s="144" t="s">
        <v>1</v>
      </c>
      <c r="F6" s="145"/>
      <c r="G6" s="146" t="s">
        <v>38</v>
      </c>
      <c r="H6" s="147"/>
      <c r="I6" s="148" t="s">
        <v>39</v>
      </c>
    </row>
    <row r="7" spans="3:9" ht="18" x14ac:dyDescent="0.3">
      <c r="C7" s="110">
        <v>1</v>
      </c>
      <c r="D7" s="149"/>
      <c r="E7" s="110">
        <v>4</v>
      </c>
      <c r="G7" s="110">
        <v>7</v>
      </c>
      <c r="H7" s="31"/>
      <c r="I7" s="110">
        <v>10</v>
      </c>
    </row>
    <row r="8" spans="3:9" ht="18" x14ac:dyDescent="0.3">
      <c r="C8" s="110">
        <v>2</v>
      </c>
      <c r="D8" s="149"/>
      <c r="E8" s="110">
        <v>5</v>
      </c>
      <c r="G8" s="110">
        <v>8</v>
      </c>
      <c r="H8" s="31"/>
      <c r="I8" s="110">
        <v>11</v>
      </c>
    </row>
    <row r="9" spans="3:9" ht="18" x14ac:dyDescent="0.3">
      <c r="C9" s="110">
        <v>3</v>
      </c>
      <c r="D9" s="149"/>
      <c r="E9" s="110">
        <v>6</v>
      </c>
      <c r="G9" s="110">
        <v>9</v>
      </c>
      <c r="H9" s="31"/>
      <c r="I9" s="110">
        <v>12</v>
      </c>
    </row>
    <row r="10" spans="3:9" ht="6.6" customHeight="1" x14ac:dyDescent="0.3">
      <c r="C10" s="201"/>
      <c r="D10" s="201"/>
      <c r="E10" s="201"/>
      <c r="F10" s="201"/>
      <c r="G10" s="201"/>
      <c r="H10" s="201"/>
      <c r="I10" s="201"/>
    </row>
    <row r="11" spans="3:9" ht="20.399999999999999" x14ac:dyDescent="0.3">
      <c r="C11" s="516" t="s">
        <v>79</v>
      </c>
      <c r="D11" s="516"/>
      <c r="E11" s="516"/>
      <c r="F11" s="516"/>
      <c r="G11" s="516"/>
      <c r="H11" s="516"/>
      <c r="I11" s="516"/>
    </row>
    <row r="12" spans="3:9" ht="3.6" customHeight="1" thickBot="1" x14ac:dyDescent="0.4">
      <c r="C12" s="150"/>
      <c r="D12" s="150"/>
      <c r="E12" s="150"/>
      <c r="F12" s="150"/>
      <c r="G12" s="150"/>
      <c r="H12" s="150"/>
      <c r="I12" s="150"/>
    </row>
    <row r="13" spans="3:9" ht="15" thickBot="1" x14ac:dyDescent="0.35">
      <c r="C13" s="455" t="s">
        <v>86</v>
      </c>
      <c r="D13" s="455"/>
      <c r="E13" s="455"/>
      <c r="F13" s="152" t="s">
        <v>47</v>
      </c>
      <c r="G13" s="454" t="s">
        <v>92</v>
      </c>
      <c r="H13" s="455"/>
      <c r="I13" s="456"/>
    </row>
    <row r="14" spans="3:9" ht="4.2" customHeight="1" thickBot="1" x14ac:dyDescent="0.35">
      <c r="F14" s="153"/>
    </row>
    <row r="15" spans="3:9" ht="15" thickBot="1" x14ac:dyDescent="0.35">
      <c r="C15" s="455" t="s">
        <v>87</v>
      </c>
      <c r="D15" s="455"/>
      <c r="E15" s="455"/>
      <c r="F15" s="152" t="s">
        <v>47</v>
      </c>
      <c r="G15" s="454" t="s">
        <v>90</v>
      </c>
      <c r="H15" s="455"/>
      <c r="I15" s="456"/>
    </row>
    <row r="17" spans="3:9" ht="15" thickBot="1" x14ac:dyDescent="0.35">
      <c r="C17" s="455" t="s">
        <v>88</v>
      </c>
      <c r="D17" s="455"/>
      <c r="E17" s="455"/>
      <c r="F17" s="152" t="s">
        <v>47</v>
      </c>
      <c r="G17" s="454" t="s">
        <v>91</v>
      </c>
      <c r="H17" s="455"/>
      <c r="I17" s="456"/>
    </row>
    <row r="18" spans="3:9" ht="4.2" customHeight="1" thickBot="1" x14ac:dyDescent="0.35"/>
    <row r="19" spans="3:9" ht="15" thickBot="1" x14ac:dyDescent="0.35">
      <c r="C19" s="455" t="s">
        <v>93</v>
      </c>
      <c r="D19" s="455"/>
      <c r="E19" s="455"/>
      <c r="F19" s="152" t="s">
        <v>47</v>
      </c>
      <c r="G19" s="454" t="s">
        <v>94</v>
      </c>
      <c r="H19" s="455"/>
      <c r="I19" s="456"/>
    </row>
    <row r="20" spans="3:9" ht="4.2" customHeight="1" thickBot="1" x14ac:dyDescent="0.35">
      <c r="C20" s="189"/>
      <c r="D20" s="189"/>
      <c r="E20" s="189"/>
      <c r="F20" s="190"/>
      <c r="G20" s="189"/>
      <c r="H20" s="189"/>
      <c r="I20" s="189"/>
    </row>
    <row r="21" spans="3:9" ht="15" thickBot="1" x14ac:dyDescent="0.35">
      <c r="C21" s="455" t="s">
        <v>95</v>
      </c>
      <c r="D21" s="455"/>
      <c r="E21" s="455"/>
      <c r="F21" s="152" t="s">
        <v>47</v>
      </c>
      <c r="G21" s="454" t="s">
        <v>96</v>
      </c>
      <c r="H21" s="455"/>
      <c r="I21" s="456"/>
    </row>
    <row r="22" spans="3:9" ht="4.2" customHeight="1" thickBot="1" x14ac:dyDescent="0.35">
      <c r="F22" s="153"/>
    </row>
    <row r="23" spans="3:9" ht="15" thickBot="1" x14ac:dyDescent="0.35">
      <c r="C23" s="455" t="s">
        <v>89</v>
      </c>
      <c r="D23" s="455"/>
      <c r="E23" s="455"/>
      <c r="F23" s="152" t="s">
        <v>47</v>
      </c>
      <c r="G23" s="454" t="s">
        <v>97</v>
      </c>
      <c r="H23" s="455"/>
      <c r="I23" s="456"/>
    </row>
    <row r="24" spans="3:9" ht="7.2" customHeight="1" x14ac:dyDescent="0.3"/>
    <row r="25" spans="3:9" ht="20.399999999999999" customHeight="1" x14ac:dyDescent="0.3">
      <c r="C25" s="516" t="s">
        <v>79</v>
      </c>
      <c r="D25" s="516"/>
      <c r="E25" s="516"/>
      <c r="F25" s="516"/>
      <c r="G25" s="516"/>
      <c r="H25" s="516"/>
      <c r="I25" s="516"/>
    </row>
    <row r="26" spans="3:9" ht="3.6" customHeight="1" thickBot="1" x14ac:dyDescent="0.4">
      <c r="C26" s="150"/>
      <c r="D26" s="150"/>
      <c r="E26" s="150"/>
      <c r="F26" s="150"/>
      <c r="G26" s="150"/>
      <c r="H26" s="150"/>
      <c r="I26" s="150"/>
    </row>
    <row r="27" spans="3:9" ht="15" customHeight="1" thickBot="1" x14ac:dyDescent="0.35">
      <c r="C27" s="454" t="s">
        <v>86</v>
      </c>
      <c r="D27" s="455"/>
      <c r="E27" s="456"/>
      <c r="F27" s="152" t="s">
        <v>47</v>
      </c>
      <c r="G27" s="454" t="s">
        <v>93</v>
      </c>
      <c r="H27" s="455"/>
      <c r="I27" s="456"/>
    </row>
    <row r="28" spans="3:9" ht="4.2" customHeight="1" thickBot="1" x14ac:dyDescent="0.35">
      <c r="F28" s="153"/>
    </row>
    <row r="29" spans="3:9" ht="15" customHeight="1" thickBot="1" x14ac:dyDescent="0.35">
      <c r="C29" s="454" t="s">
        <v>87</v>
      </c>
      <c r="D29" s="455"/>
      <c r="E29" s="456"/>
      <c r="F29" s="152" t="s">
        <v>47</v>
      </c>
      <c r="G29" s="454" t="s">
        <v>95</v>
      </c>
      <c r="H29" s="455"/>
      <c r="I29" s="456"/>
    </row>
    <row r="30" spans="3:9" ht="4.2" customHeight="1" thickBot="1" x14ac:dyDescent="0.35"/>
    <row r="31" spans="3:9" ht="15" customHeight="1" thickBot="1" x14ac:dyDescent="0.35">
      <c r="C31" s="454" t="s">
        <v>88</v>
      </c>
      <c r="D31" s="455"/>
      <c r="E31" s="456"/>
      <c r="F31" s="152" t="s">
        <v>47</v>
      </c>
      <c r="G31" s="454" t="s">
        <v>89</v>
      </c>
      <c r="H31" s="455"/>
      <c r="I31" s="456"/>
    </row>
    <row r="33" spans="2:9" ht="15" customHeight="1" thickBot="1" x14ac:dyDescent="0.35">
      <c r="B33" s="153"/>
      <c r="C33" s="454" t="s">
        <v>92</v>
      </c>
      <c r="D33" s="455"/>
      <c r="E33" s="456"/>
      <c r="F33" s="152" t="s">
        <v>47</v>
      </c>
      <c r="G33" s="454" t="s">
        <v>94</v>
      </c>
      <c r="H33" s="455"/>
      <c r="I33" s="456"/>
    </row>
    <row r="34" spans="2:9" ht="4.2" customHeight="1" thickBot="1" x14ac:dyDescent="0.35">
      <c r="B34" s="153"/>
      <c r="C34" s="189"/>
      <c r="D34" s="189"/>
      <c r="E34" s="189"/>
      <c r="F34" s="190"/>
      <c r="G34" s="189"/>
      <c r="H34" s="189"/>
      <c r="I34" s="189"/>
    </row>
    <row r="35" spans="2:9" ht="15" customHeight="1" thickBot="1" x14ac:dyDescent="0.35">
      <c r="B35" s="153"/>
      <c r="C35" s="454" t="s">
        <v>90</v>
      </c>
      <c r="D35" s="455"/>
      <c r="E35" s="456"/>
      <c r="F35" s="152" t="s">
        <v>47</v>
      </c>
      <c r="G35" s="454" t="s">
        <v>96</v>
      </c>
      <c r="H35" s="455"/>
      <c r="I35" s="456"/>
    </row>
    <row r="36" spans="2:9" ht="4.2" customHeight="1" thickBot="1" x14ac:dyDescent="0.35">
      <c r="B36" s="153"/>
      <c r="F36" s="153"/>
    </row>
    <row r="37" spans="2:9" ht="15" thickBot="1" x14ac:dyDescent="0.35">
      <c r="B37" s="191"/>
      <c r="C37" s="454" t="s">
        <v>91</v>
      </c>
      <c r="D37" s="455"/>
      <c r="E37" s="456"/>
      <c r="F37" s="152" t="s">
        <v>47</v>
      </c>
      <c r="G37" s="454" t="s">
        <v>97</v>
      </c>
      <c r="H37" s="455"/>
      <c r="I37" s="456"/>
    </row>
    <row r="38" spans="2:9" x14ac:dyDescent="0.3">
      <c r="B38" s="188"/>
      <c r="C38" s="517" t="s">
        <v>98</v>
      </c>
      <c r="D38" s="517"/>
      <c r="E38" s="517"/>
      <c r="F38" s="517"/>
      <c r="G38" s="517"/>
      <c r="H38" s="517"/>
      <c r="I38" s="517"/>
    </row>
    <row r="39" spans="2:9" x14ac:dyDescent="0.3">
      <c r="B39" s="188"/>
      <c r="C39" s="517"/>
      <c r="D39" s="517"/>
      <c r="E39" s="517"/>
      <c r="F39" s="517"/>
      <c r="G39" s="517"/>
      <c r="H39" s="517"/>
      <c r="I39" s="517"/>
    </row>
    <row r="41" spans="2:9" ht="18" x14ac:dyDescent="0.35">
      <c r="B41" s="462" t="s">
        <v>57</v>
      </c>
      <c r="C41" s="462"/>
      <c r="D41" s="462"/>
      <c r="E41" s="462"/>
      <c r="F41" s="462"/>
      <c r="G41" s="462"/>
      <c r="H41" s="462"/>
      <c r="I41" s="462"/>
    </row>
    <row r="42" spans="2:9" x14ac:dyDescent="0.3">
      <c r="B42" s="518" t="s">
        <v>116</v>
      </c>
      <c r="C42" s="518"/>
      <c r="D42" s="518"/>
      <c r="E42" s="518"/>
      <c r="F42" s="518"/>
      <c r="G42" s="518"/>
      <c r="H42" s="518"/>
      <c r="I42" s="518"/>
    </row>
    <row r="43" spans="2:9" x14ac:dyDescent="0.3">
      <c r="B43" s="518"/>
      <c r="C43" s="518"/>
      <c r="D43" s="518"/>
      <c r="E43" s="518"/>
      <c r="F43" s="518"/>
      <c r="G43" s="518"/>
      <c r="H43" s="518"/>
      <c r="I43" s="518"/>
    </row>
    <row r="44" spans="2:9" ht="3.75" customHeight="1" thickBot="1" x14ac:dyDescent="0.35"/>
    <row r="45" spans="2:9" ht="15" thickBot="1" x14ac:dyDescent="0.35">
      <c r="B45" s="151" t="s">
        <v>43</v>
      </c>
      <c r="C45" s="454" t="s">
        <v>80</v>
      </c>
      <c r="D45" s="455"/>
      <c r="E45" s="456"/>
      <c r="F45" s="152" t="s">
        <v>47</v>
      </c>
      <c r="G45" s="454" t="s">
        <v>83</v>
      </c>
      <c r="H45" s="455"/>
      <c r="I45" s="456"/>
    </row>
    <row r="46" spans="2:9" ht="6.75" customHeight="1" thickBot="1" x14ac:dyDescent="0.35"/>
    <row r="47" spans="2:9" ht="15" thickBot="1" x14ac:dyDescent="0.35">
      <c r="B47" s="151" t="s">
        <v>44</v>
      </c>
      <c r="C47" s="454" t="s">
        <v>81</v>
      </c>
      <c r="D47" s="455"/>
      <c r="E47" s="456"/>
      <c r="F47" s="152" t="s">
        <v>47</v>
      </c>
      <c r="G47" s="454" t="s">
        <v>82</v>
      </c>
      <c r="H47" s="455"/>
      <c r="I47" s="456"/>
    </row>
    <row r="49" spans="3:9" ht="17.399999999999999" customHeight="1" thickBot="1" x14ac:dyDescent="0.35">
      <c r="C49" s="461" t="s">
        <v>63</v>
      </c>
      <c r="D49" s="461"/>
      <c r="E49" s="461"/>
      <c r="F49" s="461"/>
      <c r="G49" s="461"/>
      <c r="H49" s="461"/>
      <c r="I49" s="461"/>
    </row>
    <row r="50" spans="3:9" ht="0.6" hidden="1" customHeight="1" thickBot="1" x14ac:dyDescent="0.35"/>
    <row r="51" spans="3:9" ht="15" thickBot="1" x14ac:dyDescent="0.35">
      <c r="C51" s="454" t="s">
        <v>64</v>
      </c>
      <c r="D51" s="455"/>
      <c r="E51" s="456"/>
      <c r="F51" s="152" t="s">
        <v>47</v>
      </c>
      <c r="G51" s="454" t="s">
        <v>65</v>
      </c>
      <c r="H51" s="455"/>
      <c r="I51" s="456"/>
    </row>
    <row r="53" spans="3:9" ht="16.95" customHeight="1" thickBot="1" x14ac:dyDescent="0.35">
      <c r="C53" s="461" t="s">
        <v>62</v>
      </c>
      <c r="D53" s="461"/>
      <c r="E53" s="461"/>
      <c r="F53" s="461"/>
      <c r="G53" s="461"/>
      <c r="H53" s="461"/>
      <c r="I53" s="461"/>
    </row>
    <row r="54" spans="3:9" ht="7.2" hidden="1" customHeight="1" thickBot="1" x14ac:dyDescent="0.35"/>
    <row r="55" spans="3:9" ht="15" thickBot="1" x14ac:dyDescent="0.35">
      <c r="C55" s="454" t="s">
        <v>66</v>
      </c>
      <c r="D55" s="455"/>
      <c r="E55" s="456"/>
      <c r="F55" s="152" t="s">
        <v>47</v>
      </c>
      <c r="G55" s="454" t="s">
        <v>67</v>
      </c>
      <c r="H55" s="455"/>
      <c r="I55" s="456"/>
    </row>
  </sheetData>
  <mergeCells count="42">
    <mergeCell ref="C1:I1"/>
    <mergeCell ref="C2:I2"/>
    <mergeCell ref="C4:I4"/>
    <mergeCell ref="C13:E13"/>
    <mergeCell ref="G13:I13"/>
    <mergeCell ref="G47:I47"/>
    <mergeCell ref="C49:I49"/>
    <mergeCell ref="C15:E15"/>
    <mergeCell ref="G15:I15"/>
    <mergeCell ref="C17:E17"/>
    <mergeCell ref="G17:I17"/>
    <mergeCell ref="C19:E19"/>
    <mergeCell ref="G19:I19"/>
    <mergeCell ref="C38:I39"/>
    <mergeCell ref="B42:I43"/>
    <mergeCell ref="C27:E27"/>
    <mergeCell ref="G27:I27"/>
    <mergeCell ref="C33:E33"/>
    <mergeCell ref="G33:I33"/>
    <mergeCell ref="C35:E35"/>
    <mergeCell ref="G35:I35"/>
    <mergeCell ref="G55:I55"/>
    <mergeCell ref="C11:I11"/>
    <mergeCell ref="C21:E21"/>
    <mergeCell ref="G21:I21"/>
    <mergeCell ref="C23:E23"/>
    <mergeCell ref="G23:I23"/>
    <mergeCell ref="C37:E37"/>
    <mergeCell ref="G37:I37"/>
    <mergeCell ref="C51:E51"/>
    <mergeCell ref="G51:I51"/>
    <mergeCell ref="C53:I53"/>
    <mergeCell ref="C55:E55"/>
    <mergeCell ref="B41:I41"/>
    <mergeCell ref="C45:E45"/>
    <mergeCell ref="G45:I45"/>
    <mergeCell ref="C47:E47"/>
    <mergeCell ref="C25:I25"/>
    <mergeCell ref="C29:E29"/>
    <mergeCell ref="G29:I29"/>
    <mergeCell ref="C31:E31"/>
    <mergeCell ref="G31:I31"/>
  </mergeCells>
  <hyperlinks>
    <hyperlink ref="G6" location="'GRUPO B'!A1" display="GRUPO B" xr:uid="{00000000-0004-0000-1400-000000000000}"/>
    <hyperlink ref="E6" location="'GRUPO B'!A1" display="GRUPO B" xr:uid="{00000000-0004-0000-1400-000001000000}"/>
    <hyperlink ref="C6" location="'GRUPO B'!A1" display="GRUPO B" xr:uid="{00000000-0004-0000-1400-000002000000}"/>
    <hyperlink ref="I6" location="'GRUPO B'!A1" display="GRUPO B" xr:uid="{00000000-0004-0000-1400-000003000000}"/>
  </hyperlink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17</vt:i4>
      </vt:variant>
    </vt:vector>
  </HeadingPairs>
  <TitlesOfParts>
    <vt:vector size="36" baseType="lpstr">
      <vt:lpstr>PRE INFANTIL GRUPOS</vt:lpstr>
      <vt:lpstr>GRUPO A</vt:lpstr>
      <vt:lpstr>GRUPO B</vt:lpstr>
      <vt:lpstr>GRUPO C</vt:lpstr>
      <vt:lpstr>GRUPO D</vt:lpstr>
      <vt:lpstr>CUARTOS DE FINAL.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Hoja2 (2)</vt:lpstr>
      <vt:lpstr>Hoja2 (3)</vt:lpstr>
      <vt:lpstr>Hoja2 (4)</vt:lpstr>
      <vt:lpstr>IMPRIMIR HOJA 1  (3)</vt:lpstr>
      <vt:lpstr>Hoja1 (2)</vt:lpstr>
      <vt:lpstr>'CUARTOS DE FINAL'!Área_de_impresión</vt:lpstr>
      <vt:lpstr>'CUARTOS DE FINAL.'!Área_de_impresión</vt:lpstr>
      <vt:lpstr>'GRUPO A'!Área_de_impresión</vt:lpstr>
      <vt:lpstr>'GRUPO B'!Área_de_impresión</vt:lpstr>
      <vt:lpstr>'GRUPO C'!Área_de_impresión</vt:lpstr>
      <vt:lpstr>'GRUPO D'!Área_de_impresión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 1  (3)'!Área_de_impresión</vt:lpstr>
      <vt:lpstr>'PRE INFANTIL GRUPOS'!Área_de_impresión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2022-08-02T23:54:25Z</cp:lastPrinted>
  <dcterms:created xsi:type="dcterms:W3CDTF">2015-01-09T01:36:28Z</dcterms:created>
  <dcterms:modified xsi:type="dcterms:W3CDTF">2025-04-02T13:18:01Z</dcterms:modified>
</cp:coreProperties>
</file>