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93998cefab3876/Escritorio/PARA LA APP/"/>
    </mc:Choice>
  </mc:AlternateContent>
  <xr:revisionPtr revIDLastSave="1" documentId="13_ncr:1_{A6C23F21-D3A0-48F1-ABAF-C73814A4E294}" xr6:coauthVersionLast="47" xr6:coauthVersionMax="47" xr10:uidLastSave="{A3FBA330-5A5E-4043-8D7F-CAEE57FA6B0A}"/>
  <bookViews>
    <workbookView xWindow="-108" yWindow="-108" windowWidth="23256" windowHeight="13896" tabRatio="825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DEFINICION" sheetId="10" state="hidden" r:id="rId5"/>
    <sheet name="FINAL" sheetId="11" state="hidden" r:id="rId6"/>
    <sheet name="IMPRIMIR" sheetId="14" state="hidden" r:id="rId7"/>
    <sheet name="IMPRIMIR 2" sheetId="15" state="hidden" r:id="rId8"/>
    <sheet name="IMPRIMIR 3" sheetId="17" state="hidden" r:id="rId9"/>
    <sheet name="IMPRIMIR 3 (2)" sheetId="22" state="hidden" r:id="rId10"/>
    <sheet name="CUARTOS DE FINAL" sheetId="23" state="hidden" r:id="rId11"/>
    <sheet name="IMPRIMIR 4" sheetId="18" state="hidden" r:id="rId12"/>
    <sheet name="IMPRIMIR 5" sheetId="19" state="hidden" r:id="rId13"/>
    <sheet name="Hoja1" sheetId="24" state="hidden" r:id="rId14"/>
    <sheet name="SOLO IDA" sheetId="34" r:id="rId15"/>
    <sheet name="IMPRIMIR HOJA 1" sheetId="25" state="hidden" r:id="rId16"/>
    <sheet name="Hoja2 (2)" sheetId="28" state="hidden" r:id="rId17"/>
    <sheet name="Hoja2 (3)" sheetId="29" state="hidden" r:id="rId18"/>
    <sheet name="Hoja2 (4)" sheetId="30" state="hidden" r:id="rId19"/>
    <sheet name="IMPRIMIR HOJA 1 (2)" sheetId="33" state="hidden" r:id="rId20"/>
    <sheet name="Hoja1 (2)" sheetId="31" r:id="rId21"/>
  </sheets>
  <externalReferences>
    <externalReference r:id="rId22"/>
  </externalReferences>
  <definedNames>
    <definedName name="_xlnm.Print_Area" localSheetId="10">'CUARTOS DE FINAL'!$A$1:$Q$23</definedName>
    <definedName name="_xlnm.Print_Area" localSheetId="3">'CUARTOS DE FINAL.'!$A$1:$Q$23</definedName>
    <definedName name="_xlnm.Print_Area" localSheetId="4">DEFINICION!$A$1:$U$16</definedName>
    <definedName name="_xlnm.Print_Area" localSheetId="5">FINAL!$A$1:$R$23</definedName>
    <definedName name="_xlnm.Print_Area" localSheetId="1">'GRUPO A'!$A$1:$AL$37</definedName>
    <definedName name="_xlnm.Print_Area" localSheetId="2">'GRUPO B'!$A$1:$AL$37</definedName>
    <definedName name="_xlnm.Print_Area" localSheetId="0">'GRUPOS INFANTIL'!$A$1:$M$14</definedName>
    <definedName name="_xlnm.Print_Area" localSheetId="16">'Hoja2 (2)'!$A$1:$T$45</definedName>
    <definedName name="_xlnm.Print_Area" localSheetId="17">'Hoja2 (3)'!$A$1:$T$45</definedName>
    <definedName name="_xlnm.Print_Area" localSheetId="18">'Hoja2 (4)'!$A$1:$W$74</definedName>
    <definedName name="_xlnm.Print_Area" localSheetId="6">IMPRIMIR!$A$1:$O$49</definedName>
    <definedName name="_xlnm.Print_Area" localSheetId="7">'IMPRIMIR 2'!$A$1:$O$49</definedName>
    <definedName name="_xlnm.Print_Area" localSheetId="8">'IMPRIMIR 3'!$A$1:$M$81</definedName>
    <definedName name="_xlnm.Print_Area" localSheetId="9">'IMPRIMIR 3 (2)'!$A$1:$M$81</definedName>
    <definedName name="_xlnm.Print_Area" localSheetId="11">'IMPRIMIR 4'!$A$1:$R$26</definedName>
    <definedName name="_xlnm.Print_Area" localSheetId="12">'IMPRIMIR 5'!$A$1:$R$31</definedName>
    <definedName name="_xlnm.Print_Area" localSheetId="15">'IMPRIMIR HOJA 1'!$A$1:$U$45</definedName>
    <definedName name="_xlnm.Print_Area" localSheetId="19">'IMPRIMIR HOJA 1 (2)'!$A$1:$T$45</definedName>
    <definedName name="_xlnm.Print_Area" localSheetId="14">'SOLO IDA'!$A$1:$U$36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4" l="1"/>
  <c r="D25" i="34"/>
  <c r="G24" i="34"/>
  <c r="D24" i="34"/>
  <c r="F30" i="34"/>
  <c r="E30" i="34"/>
  <c r="F29" i="34"/>
  <c r="E29" i="34"/>
  <c r="F25" i="34"/>
  <c r="E25" i="34"/>
  <c r="F24" i="34"/>
  <c r="E24" i="34"/>
  <c r="F20" i="34" l="1"/>
  <c r="E20" i="34"/>
  <c r="F19" i="34"/>
  <c r="E19" i="34"/>
  <c r="F14" i="34"/>
  <c r="E14" i="34"/>
  <c r="F15" i="34"/>
  <c r="E15" i="34"/>
  <c r="I13" i="34"/>
  <c r="I18" i="34" s="1"/>
  <c r="B12" i="34"/>
  <c r="F10" i="34"/>
  <c r="E10" i="34"/>
  <c r="F9" i="34"/>
  <c r="E9" i="34"/>
  <c r="T7" i="34"/>
  <c r="S7" i="34"/>
  <c r="R7" i="34"/>
  <c r="Q7" i="34"/>
  <c r="P7" i="34"/>
  <c r="O7" i="34"/>
  <c r="N7" i="34"/>
  <c r="M7" i="34"/>
  <c r="L7" i="34"/>
  <c r="A5" i="34"/>
  <c r="A4" i="34"/>
  <c r="A3" i="34"/>
  <c r="A2" i="34"/>
  <c r="A1" i="34"/>
  <c r="I19" i="34" l="1"/>
  <c r="I10" i="34"/>
  <c r="I9" i="34"/>
  <c r="I15" i="34"/>
  <c r="I14" i="34"/>
  <c r="I20" i="34"/>
  <c r="I30" i="34"/>
  <c r="I29" i="34"/>
  <c r="I24" i="34"/>
  <c r="I25" i="34"/>
  <c r="E9" i="25" l="1"/>
  <c r="F9" i="25"/>
  <c r="F10" i="25"/>
  <c r="E10" i="25"/>
  <c r="A5" i="25"/>
  <c r="E14" i="25"/>
  <c r="F14" i="25"/>
  <c r="F15" i="25"/>
  <c r="E15" i="25"/>
  <c r="I25" i="25" l="1"/>
  <c r="K20" i="6"/>
  <c r="C1" i="31" l="1"/>
  <c r="I13" i="25" l="1"/>
  <c r="I20" i="25" s="1"/>
  <c r="F29" i="33" l="1"/>
  <c r="E29" i="33"/>
  <c r="C29" i="33"/>
  <c r="B29" i="33"/>
  <c r="A29" i="33"/>
  <c r="F28" i="33"/>
  <c r="E28" i="33"/>
  <c r="C28" i="33"/>
  <c r="B28" i="33"/>
  <c r="A28" i="33"/>
  <c r="F27" i="33"/>
  <c r="E27" i="33"/>
  <c r="C27" i="33"/>
  <c r="B27" i="33"/>
  <c r="A27" i="33"/>
  <c r="F26" i="33"/>
  <c r="E26" i="33"/>
  <c r="C26" i="33"/>
  <c r="B26" i="33"/>
  <c r="A26" i="33"/>
  <c r="F25" i="33"/>
  <c r="E25" i="33"/>
  <c r="C25" i="33"/>
  <c r="B25" i="33"/>
  <c r="A25" i="33"/>
  <c r="F24" i="33"/>
  <c r="E24" i="33"/>
  <c r="C24" i="33"/>
  <c r="B24" i="33"/>
  <c r="A24" i="33"/>
  <c r="F20" i="33"/>
  <c r="E20" i="33"/>
  <c r="C20" i="33"/>
  <c r="B20" i="33"/>
  <c r="A20" i="33"/>
  <c r="F19" i="33"/>
  <c r="E19" i="33"/>
  <c r="C19" i="33"/>
  <c r="B19" i="33"/>
  <c r="A19" i="33"/>
  <c r="F18" i="33"/>
  <c r="E18" i="33"/>
  <c r="C18" i="33"/>
  <c r="B18" i="33"/>
  <c r="A18" i="33"/>
  <c r="F17" i="33"/>
  <c r="E17" i="33"/>
  <c r="C17" i="33"/>
  <c r="B17" i="33"/>
  <c r="A17" i="33"/>
  <c r="F16" i="33"/>
  <c r="E16" i="33"/>
  <c r="C16" i="33"/>
  <c r="B16" i="33"/>
  <c r="A16" i="33"/>
  <c r="F15" i="33"/>
  <c r="E15" i="33"/>
  <c r="C15" i="33"/>
  <c r="B15" i="33"/>
  <c r="A15" i="33"/>
  <c r="B13" i="33"/>
  <c r="S12" i="33"/>
  <c r="R12" i="33"/>
  <c r="Q12" i="33"/>
  <c r="P12" i="33"/>
  <c r="O12" i="33"/>
  <c r="N12" i="33"/>
  <c r="M12" i="33"/>
  <c r="L12" i="33"/>
  <c r="K12" i="33"/>
  <c r="F11" i="33"/>
  <c r="E11" i="33"/>
  <c r="C11" i="33"/>
  <c r="B11" i="33"/>
  <c r="F10" i="33"/>
  <c r="E10" i="33"/>
  <c r="C10" i="33"/>
  <c r="B10" i="33"/>
  <c r="F9" i="33"/>
  <c r="E9" i="33"/>
  <c r="C9" i="33"/>
  <c r="B9" i="33"/>
  <c r="F8" i="33"/>
  <c r="E8" i="33"/>
  <c r="C8" i="33"/>
  <c r="B8" i="33"/>
  <c r="A8" i="33"/>
  <c r="A9" i="33" s="1"/>
  <c r="A10" i="33" s="1"/>
  <c r="A11" i="33" s="1"/>
  <c r="S6" i="33"/>
  <c r="R6" i="33"/>
  <c r="Q6" i="33"/>
  <c r="P6" i="33"/>
  <c r="O6" i="33"/>
  <c r="N6" i="33"/>
  <c r="M6" i="33"/>
  <c r="L6" i="33"/>
  <c r="K6" i="33"/>
  <c r="A4" i="33"/>
  <c r="A3" i="33"/>
  <c r="A2" i="33"/>
  <c r="A1" i="33"/>
  <c r="B12" i="25"/>
  <c r="F27" i="25" l="1"/>
  <c r="F26" i="25"/>
  <c r="E27" i="25"/>
  <c r="E26" i="25"/>
  <c r="F22" i="25"/>
  <c r="F21" i="25"/>
  <c r="E22" i="25"/>
  <c r="E21" i="25"/>
  <c r="F17" i="25"/>
  <c r="F16" i="25"/>
  <c r="E17" i="25"/>
  <c r="E16" i="25"/>
  <c r="E29" i="25"/>
  <c r="F29" i="25"/>
  <c r="F28" i="25"/>
  <c r="E28" i="25"/>
  <c r="A3" i="25" l="1"/>
  <c r="A2" i="25"/>
  <c r="A1" i="25"/>
  <c r="A1" i="10"/>
  <c r="A2" i="11"/>
  <c r="F11" i="6"/>
  <c r="I14" i="25" l="1"/>
  <c r="I15" i="25"/>
  <c r="I29" i="25"/>
  <c r="I10" i="25"/>
  <c r="I28" i="25"/>
  <c r="I21" i="25" s="1"/>
  <c r="I9" i="25"/>
  <c r="I17" i="25"/>
  <c r="I16" i="25"/>
  <c r="T7" i="25"/>
  <c r="S7" i="25"/>
  <c r="R7" i="25"/>
  <c r="Q7" i="25"/>
  <c r="P7" i="25"/>
  <c r="O7" i="25"/>
  <c r="N7" i="25"/>
  <c r="M7" i="25"/>
  <c r="L7" i="25"/>
  <c r="I22" i="25" l="1"/>
  <c r="AA16" i="2"/>
  <c r="AA14" i="2"/>
  <c r="AA12" i="2"/>
  <c r="AA10" i="2"/>
  <c r="F8" i="2"/>
  <c r="Q58" i="2" s="1"/>
  <c r="AG16" i="6"/>
  <c r="AG22" i="2" s="1"/>
  <c r="AG16" i="2" s="1"/>
  <c r="AF14" i="6"/>
  <c r="AF21" i="2" s="1"/>
  <c r="AF14" i="2" s="1"/>
  <c r="AF12" i="6"/>
  <c r="AF20" i="2" s="1"/>
  <c r="AF12" i="2" s="1"/>
  <c r="AG12" i="6"/>
  <c r="AG20" i="2" s="1"/>
  <c r="AG12" i="2" s="1"/>
  <c r="AF10" i="6"/>
  <c r="AF19" i="2" s="1"/>
  <c r="AF10" i="2" s="1"/>
  <c r="AJ6" i="2"/>
  <c r="AI16" i="6"/>
  <c r="AI22" i="2" s="1"/>
  <c r="AI16" i="2" s="1"/>
  <c r="AI14" i="6"/>
  <c r="AI21" i="2" s="1"/>
  <c r="AI14" i="2" s="1"/>
  <c r="AI12" i="6"/>
  <c r="AI20" i="2" s="1"/>
  <c r="AI12" i="2" s="1"/>
  <c r="AI10" i="6"/>
  <c r="AI19" i="2" s="1"/>
  <c r="AI10" i="2" s="1"/>
  <c r="AG14" i="6"/>
  <c r="AG21" i="2" s="1"/>
  <c r="AG14" i="2" s="1"/>
  <c r="J14" i="6"/>
  <c r="R60" i="6" s="1"/>
  <c r="E20" i="6"/>
  <c r="F20" i="6"/>
  <c r="J20" i="6"/>
  <c r="AA10" i="6"/>
  <c r="AA19" i="2" s="1"/>
  <c r="E23" i="6"/>
  <c r="F23" i="6"/>
  <c r="J23" i="6"/>
  <c r="K23" i="6"/>
  <c r="AA12" i="6"/>
  <c r="AA20" i="2" s="1"/>
  <c r="E26" i="6"/>
  <c r="F26" i="6"/>
  <c r="J26" i="6"/>
  <c r="K26" i="6"/>
  <c r="AA14" i="6"/>
  <c r="AA21" i="2" s="1"/>
  <c r="AA16" i="6"/>
  <c r="AA22" i="2" s="1"/>
  <c r="E29" i="6"/>
  <c r="F29" i="6"/>
  <c r="J29" i="6"/>
  <c r="K29" i="6"/>
  <c r="G11" i="33"/>
  <c r="G10" i="33"/>
  <c r="G9" i="33"/>
  <c r="D11" i="33"/>
  <c r="D10" i="33"/>
  <c r="D9" i="33"/>
  <c r="J8" i="2"/>
  <c r="F14" i="2"/>
  <c r="Q60" i="2" s="1"/>
  <c r="F11" i="2"/>
  <c r="Q59" i="2" s="1"/>
  <c r="J17" i="2"/>
  <c r="F17" i="2"/>
  <c r="Q61" i="2" s="1"/>
  <c r="J14" i="2"/>
  <c r="J11" i="2"/>
  <c r="AH14" i="2" l="1"/>
  <c r="AH12" i="2"/>
  <c r="G8" i="33"/>
  <c r="D8" i="33"/>
  <c r="I27" i="25"/>
  <c r="I26" i="25"/>
  <c r="D29" i="25"/>
  <c r="D18" i="33"/>
  <c r="D17" i="25"/>
  <c r="D25" i="33"/>
  <c r="G29" i="25"/>
  <c r="G18" i="33"/>
  <c r="D28" i="25"/>
  <c r="D17" i="33"/>
  <c r="G16" i="25"/>
  <c r="G24" i="33"/>
  <c r="G17" i="25"/>
  <c r="G25" i="33"/>
  <c r="G28" i="25"/>
  <c r="G17" i="33"/>
  <c r="D16" i="25"/>
  <c r="D24" i="33"/>
  <c r="J17" i="6"/>
  <c r="R61" i="6" s="1"/>
  <c r="J11" i="6"/>
  <c r="R59" i="6" s="1"/>
  <c r="F8" i="6"/>
  <c r="AG10" i="6"/>
  <c r="AG19" i="2" s="1"/>
  <c r="F17" i="6"/>
  <c r="AF16" i="6"/>
  <c r="AJ6" i="6"/>
  <c r="F14" i="6"/>
  <c r="AH14" i="6"/>
  <c r="AH21" i="2" s="1"/>
  <c r="AH12" i="6"/>
  <c r="AH20" i="2" s="1"/>
  <c r="J8" i="6"/>
  <c r="R58" i="6" s="1"/>
  <c r="B21" i="27"/>
  <c r="B18" i="27"/>
  <c r="AG10" i="2" l="1"/>
  <c r="AH10" i="2" s="1"/>
  <c r="AH16" i="6"/>
  <c r="AH22" i="2" s="1"/>
  <c r="AF22" i="2"/>
  <c r="AH10" i="6"/>
  <c r="AH19" i="2" s="1"/>
  <c r="B55" i="29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11"/>
  <c r="AF16" i="2" l="1"/>
  <c r="AH16" i="2" s="1"/>
  <c r="A4" i="25"/>
  <c r="A1" i="6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G29" i="33" s="1"/>
  <c r="K32" i="6"/>
  <c r="G28" i="33" s="1"/>
  <c r="E35" i="6"/>
  <c r="D29" i="33" s="1"/>
  <c r="E32" i="6"/>
  <c r="D28" i="33" s="1"/>
  <c r="B4" i="6"/>
  <c r="H29" i="33" l="1"/>
  <c r="H28" i="33"/>
  <c r="H25" i="33"/>
  <c r="H24" i="33"/>
  <c r="H18" i="33"/>
  <c r="H17" i="33"/>
  <c r="J12" i="33"/>
  <c r="G27" i="25"/>
  <c r="G26" i="25"/>
  <c r="D26" i="25"/>
  <c r="D27" i="25"/>
  <c r="H26" i="25"/>
  <c r="H29" i="25"/>
  <c r="H28" i="25"/>
  <c r="H27" i="25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H17" i="25"/>
  <c r="H16" i="25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A4" i="11" l="1"/>
  <c r="A3" i="11"/>
  <c r="A4" i="10"/>
  <c r="A3" i="10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G15" i="34" s="1"/>
  <c r="K23" i="2"/>
  <c r="G14" i="34" s="1"/>
  <c r="K26" i="2"/>
  <c r="G10" i="34" s="1"/>
  <c r="K29" i="2"/>
  <c r="G9" i="34" s="1"/>
  <c r="K32" i="2"/>
  <c r="K35" i="2"/>
  <c r="E35" i="2"/>
  <c r="E32" i="2"/>
  <c r="E29" i="2"/>
  <c r="D9" i="34" s="1"/>
  <c r="E26" i="2"/>
  <c r="D10" i="34" s="1"/>
  <c r="E23" i="2"/>
  <c r="D14" i="34" s="1"/>
  <c r="E20" i="2"/>
  <c r="D15" i="34" s="1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27" i="33" l="1"/>
  <c r="G20" i="34"/>
  <c r="G26" i="33"/>
  <c r="G19" i="34"/>
  <c r="D27" i="33"/>
  <c r="D20" i="34"/>
  <c r="D26" i="33"/>
  <c r="D19" i="34"/>
  <c r="G9" i="25"/>
  <c r="G20" i="33"/>
  <c r="D15" i="25"/>
  <c r="D16" i="33"/>
  <c r="G10" i="25"/>
  <c r="G19" i="33"/>
  <c r="G15" i="25"/>
  <c r="G16" i="33"/>
  <c r="D14" i="25"/>
  <c r="D15" i="33"/>
  <c r="D10" i="25"/>
  <c r="D19" i="33"/>
  <c r="D9" i="25"/>
  <c r="D20" i="33"/>
  <c r="G14" i="25"/>
  <c r="G15" i="33"/>
  <c r="D21" i="25"/>
  <c r="D22" i="25"/>
  <c r="G22" i="25"/>
  <c r="G21" i="25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L15" i="11" l="1"/>
  <c r="G15" i="11"/>
  <c r="L9" i="11"/>
  <c r="G9" i="11"/>
  <c r="M12" i="10" l="1"/>
  <c r="G12" i="10"/>
  <c r="M9" i="10"/>
  <c r="G9" i="10"/>
  <c r="P59" i="2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B4" i="2"/>
  <c r="G21" i="17"/>
  <c r="K18" i="14"/>
  <c r="G19" i="17"/>
  <c r="D18" i="14"/>
  <c r="C19" i="17"/>
  <c r="K16" i="14"/>
  <c r="C21" i="17"/>
  <c r="D16" i="14"/>
  <c r="H19" i="34" l="1"/>
  <c r="H10" i="34"/>
  <c r="H14" i="34"/>
  <c r="H9" i="34"/>
  <c r="K7" i="34"/>
  <c r="H15" i="34"/>
  <c r="H20" i="34"/>
  <c r="AD14" i="6"/>
  <c r="AD21" i="2" s="1"/>
  <c r="AD14" i="2" s="1"/>
  <c r="AC14" i="6"/>
  <c r="AC21" i="2" s="1"/>
  <c r="AC14" i="2" s="1"/>
  <c r="AE14" i="6"/>
  <c r="AE21" i="2" s="1"/>
  <c r="AE14" i="2" s="1"/>
  <c r="AD10" i="6"/>
  <c r="AD19" i="2" s="1"/>
  <c r="AD10" i="2" s="1"/>
  <c r="AE10" i="6"/>
  <c r="AE19" i="2" s="1"/>
  <c r="AE10" i="2" s="1"/>
  <c r="AC10" i="6"/>
  <c r="AC19" i="2" s="1"/>
  <c r="AC10" i="2" s="1"/>
  <c r="AE16" i="6"/>
  <c r="AE22" i="2" s="1"/>
  <c r="AE16" i="2" s="1"/>
  <c r="AC16" i="6"/>
  <c r="AC22" i="2" s="1"/>
  <c r="AC16" i="2" s="1"/>
  <c r="AD16" i="6"/>
  <c r="AD22" i="2" s="1"/>
  <c r="AD16" i="2" s="1"/>
  <c r="AE12" i="6"/>
  <c r="AE20" i="2" s="1"/>
  <c r="AE12" i="2" s="1"/>
  <c r="AD12" i="6"/>
  <c r="AD20" i="2" s="1"/>
  <c r="AD12" i="2" s="1"/>
  <c r="AC12" i="6"/>
  <c r="AC20" i="2" s="1"/>
  <c r="AC12" i="2" s="1"/>
  <c r="H27" i="33"/>
  <c r="H26" i="33"/>
  <c r="H20" i="33"/>
  <c r="H19" i="33"/>
  <c r="H16" i="33"/>
  <c r="H15" i="33"/>
  <c r="J6" i="33"/>
  <c r="H21" i="25"/>
  <c r="H14" i="25"/>
  <c r="H22" i="25"/>
  <c r="H15" i="25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H9" i="25"/>
  <c r="K7" i="25"/>
  <c r="H10" i="25"/>
  <c r="A12" i="15"/>
  <c r="A20" i="14"/>
  <c r="A12" i="14"/>
  <c r="AB10" i="2" l="1"/>
  <c r="AJ10" i="2" s="1"/>
  <c r="AB14" i="2"/>
  <c r="AJ14" i="2" s="1"/>
  <c r="AB16" i="2"/>
  <c r="AJ16" i="2" s="1"/>
  <c r="AB12" i="2"/>
  <c r="AJ12" i="2" s="1"/>
  <c r="AB10" i="6"/>
  <c r="AB19" i="2" s="1"/>
  <c r="AB16" i="6"/>
  <c r="AB14" i="6"/>
  <c r="AB12" i="6"/>
  <c r="AB20" i="2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AJ14" i="6" l="1"/>
  <c r="AJ21" i="2" s="1"/>
  <c r="AB21" i="2"/>
  <c r="AJ16" i="6"/>
  <c r="AJ22" i="2" s="1"/>
  <c r="AB22" i="2"/>
  <c r="Z12" i="2"/>
  <c r="Z16" i="2"/>
  <c r="Z14" i="2"/>
  <c r="Z10" i="2"/>
  <c r="AJ12" i="6"/>
  <c r="AJ10" i="6"/>
  <c r="AJ19" i="2" s="1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Z12" i="6" l="1"/>
  <c r="Z20" i="2" s="1"/>
  <c r="AJ20" i="2"/>
  <c r="S10" i="2"/>
  <c r="V10" i="2"/>
  <c r="X10" i="2"/>
  <c r="S8" i="34" s="1"/>
  <c r="W10" i="2"/>
  <c r="U10" i="2"/>
  <c r="T10" i="2"/>
  <c r="Q10" i="2"/>
  <c r="V14" i="2"/>
  <c r="T14" i="2"/>
  <c r="Q14" i="2"/>
  <c r="W12" i="2"/>
  <c r="R9" i="34" s="1"/>
  <c r="U12" i="2"/>
  <c r="S12" i="2"/>
  <c r="Q12" i="2"/>
  <c r="W16" i="2"/>
  <c r="V16" i="2"/>
  <c r="U16" i="2"/>
  <c r="T16" i="2"/>
  <c r="S16" i="2"/>
  <c r="Q16" i="2"/>
  <c r="W14" i="2"/>
  <c r="U14" i="2"/>
  <c r="S14" i="2"/>
  <c r="V12" i="2"/>
  <c r="T12" i="2"/>
  <c r="Z16" i="6"/>
  <c r="Z22" i="2" s="1"/>
  <c r="Z10" i="6"/>
  <c r="Z19" i="2" s="1"/>
  <c r="Z14" i="6"/>
  <c r="AJ8" i="6"/>
  <c r="Y12" i="2"/>
  <c r="X14" i="2"/>
  <c r="P12" i="2"/>
  <c r="K9" i="34" s="1"/>
  <c r="Y16" i="2"/>
  <c r="P14" i="2"/>
  <c r="K10" i="34" s="1"/>
  <c r="P10" i="2"/>
  <c r="K8" i="34" s="1"/>
  <c r="P16" i="2"/>
  <c r="K11" i="34" s="1"/>
  <c r="X16" i="2"/>
  <c r="Y14" i="2"/>
  <c r="Y10" i="2"/>
  <c r="X12" i="2"/>
  <c r="Q12" i="6"/>
  <c r="X15" i="34" s="1"/>
  <c r="U14" i="6"/>
  <c r="AK10" i="2" l="1"/>
  <c r="R9" i="25"/>
  <c r="T9" i="25"/>
  <c r="T9" i="34"/>
  <c r="P10" i="25"/>
  <c r="P10" i="34"/>
  <c r="O11" i="25"/>
  <c r="O11" i="34"/>
  <c r="L9" i="25"/>
  <c r="L9" i="34"/>
  <c r="L10" i="25"/>
  <c r="L10" i="34"/>
  <c r="O8" i="25"/>
  <c r="O8" i="34"/>
  <c r="Q8" i="25"/>
  <c r="Q8" i="34"/>
  <c r="T10" i="25"/>
  <c r="T10" i="34"/>
  <c r="AK12" i="2"/>
  <c r="S9" i="34"/>
  <c r="AK16" i="2"/>
  <c r="S11" i="34"/>
  <c r="T11" i="25"/>
  <c r="T11" i="34"/>
  <c r="O9" i="25"/>
  <c r="O9" i="34"/>
  <c r="R10" i="25"/>
  <c r="R10" i="34"/>
  <c r="P11" i="25"/>
  <c r="P11" i="34"/>
  <c r="N9" i="25"/>
  <c r="N9" i="34"/>
  <c r="O10" i="25"/>
  <c r="O10" i="34"/>
  <c r="P8" i="25"/>
  <c r="P8" i="34"/>
  <c r="N8" i="25"/>
  <c r="N8" i="34"/>
  <c r="T8" i="25"/>
  <c r="T8" i="34"/>
  <c r="Q9" i="25"/>
  <c r="Q9" i="34"/>
  <c r="L11" i="25"/>
  <c r="L11" i="34"/>
  <c r="Q11" i="25"/>
  <c r="Q11" i="34"/>
  <c r="P9" i="25"/>
  <c r="P9" i="34"/>
  <c r="Q10" i="25"/>
  <c r="Q10" i="34"/>
  <c r="R8" i="25"/>
  <c r="R8" i="34"/>
  <c r="AK14" i="2"/>
  <c r="S10" i="34"/>
  <c r="N10" i="25"/>
  <c r="N10" i="34"/>
  <c r="N11" i="25"/>
  <c r="N11" i="34"/>
  <c r="R11" i="25"/>
  <c r="R11" i="34"/>
  <c r="L8" i="25"/>
  <c r="L8" i="34"/>
  <c r="W10" i="6"/>
  <c r="AD14" i="34" s="1"/>
  <c r="Y14" i="6"/>
  <c r="L47" i="17" s="1"/>
  <c r="T12" i="6"/>
  <c r="Y12" i="6"/>
  <c r="W12" i="6"/>
  <c r="AD15" i="34" s="1"/>
  <c r="S12" i="6"/>
  <c r="M14" i="29" s="1"/>
  <c r="X12" i="6"/>
  <c r="R14" i="33" s="1"/>
  <c r="X14" i="6"/>
  <c r="R15" i="33" s="1"/>
  <c r="P12" i="6"/>
  <c r="S14" i="6"/>
  <c r="M15" i="28" s="1"/>
  <c r="Z21" i="2"/>
  <c r="AJ8" i="2" s="1"/>
  <c r="W35" i="2" s="1"/>
  <c r="O12" i="10" s="1"/>
  <c r="X10" i="6"/>
  <c r="V16" i="6"/>
  <c r="AC17" i="25" s="1"/>
  <c r="Q10" i="6"/>
  <c r="K13" i="30" s="1"/>
  <c r="T10" i="6"/>
  <c r="S10" i="6"/>
  <c r="V10" i="6"/>
  <c r="Y10" i="6"/>
  <c r="S13" i="29" s="1"/>
  <c r="P10" i="6"/>
  <c r="B25" i="17" s="1"/>
  <c r="U10" i="6"/>
  <c r="V14" i="6"/>
  <c r="P15" i="30" s="1"/>
  <c r="Q16" i="6"/>
  <c r="K16" i="33" s="1"/>
  <c r="S16" i="6"/>
  <c r="F49" i="17" s="1"/>
  <c r="W16" i="6"/>
  <c r="J31" i="22" s="1"/>
  <c r="U16" i="6"/>
  <c r="O16" i="33" s="1"/>
  <c r="T16" i="6"/>
  <c r="G31" i="22" s="1"/>
  <c r="Y16" i="6"/>
  <c r="S16" i="33" s="1"/>
  <c r="T14" i="6"/>
  <c r="N15" i="33" s="1"/>
  <c r="W14" i="6"/>
  <c r="Q15" i="30" s="1"/>
  <c r="Q14" i="6"/>
  <c r="P16" i="6"/>
  <c r="B31" i="22" s="1"/>
  <c r="P14" i="6"/>
  <c r="J15" i="33" s="1"/>
  <c r="X16" i="6"/>
  <c r="AE17" i="25" s="1"/>
  <c r="S9" i="25"/>
  <c r="S8" i="25"/>
  <c r="S11" i="25"/>
  <c r="S10" i="25"/>
  <c r="V12" i="6"/>
  <c r="I27" i="17" s="1"/>
  <c r="U12" i="6"/>
  <c r="M7" i="33"/>
  <c r="R10" i="2"/>
  <c r="Q7" i="33"/>
  <c r="K10" i="33"/>
  <c r="Q8" i="33"/>
  <c r="N9" i="33"/>
  <c r="O10" i="33"/>
  <c r="S9" i="33"/>
  <c r="M10" i="33"/>
  <c r="R16" i="2"/>
  <c r="K9" i="33"/>
  <c r="J10" i="33"/>
  <c r="K11" i="25"/>
  <c r="J7" i="33"/>
  <c r="K8" i="25"/>
  <c r="J9" i="33"/>
  <c r="K10" i="25"/>
  <c r="K8" i="33"/>
  <c r="Q10" i="33"/>
  <c r="S10" i="33"/>
  <c r="M8" i="33"/>
  <c r="R12" i="2"/>
  <c r="M9" i="34" s="1"/>
  <c r="J8" i="33"/>
  <c r="K9" i="25"/>
  <c r="R9" i="33"/>
  <c r="R8" i="33"/>
  <c r="N10" i="33"/>
  <c r="S7" i="33"/>
  <c r="O7" i="33"/>
  <c r="P10" i="33"/>
  <c r="R7" i="33"/>
  <c r="M9" i="33"/>
  <c r="R14" i="2"/>
  <c r="R10" i="33"/>
  <c r="Q9" i="33"/>
  <c r="O9" i="33"/>
  <c r="N7" i="33"/>
  <c r="P8" i="33"/>
  <c r="N8" i="33"/>
  <c r="O8" i="33"/>
  <c r="P7" i="33"/>
  <c r="P9" i="33"/>
  <c r="S8" i="33"/>
  <c r="K7" i="33"/>
  <c r="O15" i="33"/>
  <c r="O15" i="30"/>
  <c r="H47" i="22"/>
  <c r="H47" i="17"/>
  <c r="O15" i="29"/>
  <c r="H29" i="22"/>
  <c r="O15" i="28"/>
  <c r="H29" i="17"/>
  <c r="AB16" i="25"/>
  <c r="AF16" i="25"/>
  <c r="L47" i="22"/>
  <c r="N14" i="29"/>
  <c r="AA15" i="25"/>
  <c r="M14" i="30"/>
  <c r="L43" i="17"/>
  <c r="K14" i="33"/>
  <c r="K14" i="28"/>
  <c r="D27" i="17"/>
  <c r="D45" i="17"/>
  <c r="X15" i="25"/>
  <c r="K14" i="29"/>
  <c r="K14" i="30"/>
  <c r="D45" i="22"/>
  <c r="D27" i="22"/>
  <c r="K13" i="28"/>
  <c r="Q14" i="33"/>
  <c r="Q14" i="29"/>
  <c r="J27" i="22"/>
  <c r="Q14" i="28"/>
  <c r="J27" i="17"/>
  <c r="J45" i="17"/>
  <c r="AD15" i="25"/>
  <c r="J45" i="22"/>
  <c r="Q14" i="30"/>
  <c r="AD16" i="25"/>
  <c r="G31" i="17"/>
  <c r="N13" i="33"/>
  <c r="F31" i="17"/>
  <c r="Q13" i="33"/>
  <c r="Q13" i="28"/>
  <c r="J25" i="17"/>
  <c r="J43" i="17"/>
  <c r="AD14" i="25"/>
  <c r="Q13" i="30"/>
  <c r="J43" i="22"/>
  <c r="J25" i="22"/>
  <c r="Q13" i="29"/>
  <c r="R14" i="30"/>
  <c r="Q12" i="19"/>
  <c r="B19" i="19"/>
  <c r="Q14" i="11"/>
  <c r="B65" i="30" s="1"/>
  <c r="Q8" i="11"/>
  <c r="B70" i="30" s="1"/>
  <c r="W35" i="6" l="1"/>
  <c r="L15" i="27" s="1"/>
  <c r="F29" i="22"/>
  <c r="D31" i="17"/>
  <c r="D29" i="17"/>
  <c r="M15" i="29"/>
  <c r="K15" i="28"/>
  <c r="N17" i="28"/>
  <c r="X14" i="25"/>
  <c r="AF14" i="25"/>
  <c r="S13" i="33"/>
  <c r="K17" i="28"/>
  <c r="Z15" i="25"/>
  <c r="L29" i="22"/>
  <c r="S15" i="30"/>
  <c r="S15" i="33"/>
  <c r="F47" i="17"/>
  <c r="D47" i="22"/>
  <c r="N17" i="29"/>
  <c r="AC15" i="25"/>
  <c r="D43" i="22"/>
  <c r="L25" i="17"/>
  <c r="K17" i="29"/>
  <c r="F27" i="22"/>
  <c r="M14" i="33"/>
  <c r="S15" i="29"/>
  <c r="L29" i="17"/>
  <c r="Z16" i="25"/>
  <c r="K15" i="30"/>
  <c r="AA17" i="25"/>
  <c r="N16" i="33"/>
  <c r="P14" i="33"/>
  <c r="D49" i="22"/>
  <c r="S15" i="28"/>
  <c r="P14" i="28"/>
  <c r="O13" i="30"/>
  <c r="AB14" i="34"/>
  <c r="Z14" i="25"/>
  <c r="Z14" i="34"/>
  <c r="K25" i="22"/>
  <c r="AE14" i="34"/>
  <c r="L45" i="22"/>
  <c r="AF15" i="34"/>
  <c r="H45" i="22"/>
  <c r="AB15" i="34"/>
  <c r="J13" i="33"/>
  <c r="W14" i="34"/>
  <c r="N13" i="29"/>
  <c r="AA14" i="34"/>
  <c r="R14" i="29"/>
  <c r="AE15" i="34"/>
  <c r="N14" i="28"/>
  <c r="AA15" i="34"/>
  <c r="I27" i="22"/>
  <c r="AC15" i="34"/>
  <c r="S13" i="30"/>
  <c r="AF14" i="34"/>
  <c r="K13" i="29"/>
  <c r="X14" i="34"/>
  <c r="M14" i="28"/>
  <c r="Z15" i="34"/>
  <c r="I25" i="22"/>
  <c r="AC14" i="34"/>
  <c r="J14" i="30"/>
  <c r="W15" i="34"/>
  <c r="W34" i="2"/>
  <c r="F9" i="10" s="1"/>
  <c r="S9" i="10" s="1"/>
  <c r="H13" i="19" s="1"/>
  <c r="M11" i="25"/>
  <c r="M11" i="34"/>
  <c r="M8" i="25"/>
  <c r="M8" i="34"/>
  <c r="M10" i="34"/>
  <c r="W17" i="25"/>
  <c r="S17" i="29"/>
  <c r="G45" i="17"/>
  <c r="O14" i="30"/>
  <c r="J17" i="28"/>
  <c r="N13" i="28"/>
  <c r="P14" i="29"/>
  <c r="R12" i="6"/>
  <c r="G27" i="22"/>
  <c r="AK12" i="6"/>
  <c r="AK20" i="2" s="1"/>
  <c r="S17" i="30"/>
  <c r="G45" i="22"/>
  <c r="G27" i="17"/>
  <c r="N14" i="33"/>
  <c r="AB15" i="25"/>
  <c r="M17" i="30"/>
  <c r="AA14" i="25"/>
  <c r="N14" i="30"/>
  <c r="B43" i="22"/>
  <c r="R15" i="29"/>
  <c r="L27" i="22"/>
  <c r="K29" i="17"/>
  <c r="S14" i="30"/>
  <c r="K47" i="17"/>
  <c r="S14" i="29"/>
  <c r="R15" i="30"/>
  <c r="K47" i="22"/>
  <c r="AK14" i="6"/>
  <c r="AK21" i="2" s="1"/>
  <c r="S14" i="28"/>
  <c r="AF15" i="25"/>
  <c r="R13" i="30"/>
  <c r="R15" i="28"/>
  <c r="L27" i="17"/>
  <c r="S14" i="33"/>
  <c r="AE16" i="25"/>
  <c r="K29" i="22"/>
  <c r="L45" i="17"/>
  <c r="AK10" i="6"/>
  <c r="AK19" i="2" s="1"/>
  <c r="H27" i="22"/>
  <c r="AE15" i="25"/>
  <c r="B49" i="22"/>
  <c r="J16" i="33"/>
  <c r="Z17" i="25"/>
  <c r="L31" i="22"/>
  <c r="G43" i="17"/>
  <c r="B43" i="17"/>
  <c r="H27" i="17"/>
  <c r="O14" i="29"/>
  <c r="F47" i="22"/>
  <c r="F29" i="17"/>
  <c r="M15" i="33"/>
  <c r="K27" i="17"/>
  <c r="K27" i="22"/>
  <c r="B31" i="17"/>
  <c r="J17" i="29"/>
  <c r="X16" i="25"/>
  <c r="D29" i="22"/>
  <c r="K15" i="33"/>
  <c r="M17" i="29"/>
  <c r="F31" i="22"/>
  <c r="M16" i="33"/>
  <c r="S17" i="28"/>
  <c r="L49" i="17"/>
  <c r="N13" i="30"/>
  <c r="G25" i="22"/>
  <c r="G49" i="17"/>
  <c r="N17" i="30"/>
  <c r="I45" i="17"/>
  <c r="P14" i="30"/>
  <c r="D43" i="17"/>
  <c r="D25" i="22"/>
  <c r="K13" i="33"/>
  <c r="S13" i="28"/>
  <c r="L43" i="22"/>
  <c r="K17" i="30"/>
  <c r="D49" i="17"/>
  <c r="F45" i="17"/>
  <c r="F27" i="17"/>
  <c r="B25" i="22"/>
  <c r="W14" i="25"/>
  <c r="H45" i="17"/>
  <c r="O14" i="33"/>
  <c r="K45" i="17"/>
  <c r="B49" i="17"/>
  <c r="M17" i="28"/>
  <c r="AF17" i="25"/>
  <c r="G43" i="22"/>
  <c r="J13" i="29"/>
  <c r="O14" i="28"/>
  <c r="M15" i="30"/>
  <c r="K45" i="22"/>
  <c r="R14" i="28"/>
  <c r="J17" i="30"/>
  <c r="D47" i="17"/>
  <c r="K15" i="29"/>
  <c r="F49" i="22"/>
  <c r="L31" i="17"/>
  <c r="L49" i="22"/>
  <c r="G25" i="17"/>
  <c r="G49" i="22"/>
  <c r="I45" i="22"/>
  <c r="D25" i="17"/>
  <c r="L25" i="22"/>
  <c r="D31" i="22"/>
  <c r="X17" i="25"/>
  <c r="F45" i="22"/>
  <c r="J13" i="30"/>
  <c r="J13" i="28"/>
  <c r="P13" i="29"/>
  <c r="I29" i="22"/>
  <c r="B27" i="22"/>
  <c r="AK16" i="6"/>
  <c r="AK22" i="2" s="1"/>
  <c r="P17" i="29"/>
  <c r="W15" i="25"/>
  <c r="I49" i="17"/>
  <c r="J29" i="22"/>
  <c r="B45" i="17"/>
  <c r="J14" i="29"/>
  <c r="J14" i="33"/>
  <c r="P15" i="33"/>
  <c r="K49" i="17"/>
  <c r="O17" i="29"/>
  <c r="Q15" i="33"/>
  <c r="B27" i="17"/>
  <c r="B45" i="22"/>
  <c r="R17" i="29"/>
  <c r="O17" i="30"/>
  <c r="I43" i="17"/>
  <c r="J14" i="28"/>
  <c r="I47" i="17"/>
  <c r="K25" i="17"/>
  <c r="R13" i="28"/>
  <c r="R13" i="29"/>
  <c r="W34" i="6"/>
  <c r="F12" i="10" s="1"/>
  <c r="S12" i="10" s="1"/>
  <c r="M15" i="11" s="1"/>
  <c r="G57" i="30" s="1"/>
  <c r="P17" i="28"/>
  <c r="P16" i="33"/>
  <c r="H31" i="22"/>
  <c r="K31" i="17"/>
  <c r="K49" i="22"/>
  <c r="AB17" i="25"/>
  <c r="I43" i="22"/>
  <c r="P13" i="33"/>
  <c r="P15" i="29"/>
  <c r="I31" i="17"/>
  <c r="R16" i="6"/>
  <c r="E31" i="17" s="1"/>
  <c r="O17" i="28"/>
  <c r="H49" i="17"/>
  <c r="J29" i="17"/>
  <c r="J47" i="22"/>
  <c r="P13" i="30"/>
  <c r="P13" i="28"/>
  <c r="AE14" i="25"/>
  <c r="K43" i="22"/>
  <c r="R13" i="33"/>
  <c r="I29" i="17"/>
  <c r="I47" i="22"/>
  <c r="R16" i="33"/>
  <c r="I49" i="22"/>
  <c r="J47" i="17"/>
  <c r="Q15" i="29"/>
  <c r="I25" i="17"/>
  <c r="AC16" i="25"/>
  <c r="R17" i="28"/>
  <c r="R17" i="30"/>
  <c r="P17" i="30"/>
  <c r="K31" i="22"/>
  <c r="I31" i="22"/>
  <c r="H31" i="17"/>
  <c r="H49" i="22"/>
  <c r="Q15" i="28"/>
  <c r="AC14" i="25"/>
  <c r="K43" i="17"/>
  <c r="P15" i="28"/>
  <c r="R10" i="6"/>
  <c r="H25" i="17"/>
  <c r="O13" i="29"/>
  <c r="F25" i="17"/>
  <c r="Q17" i="29"/>
  <c r="O13" i="33"/>
  <c r="J15" i="29"/>
  <c r="F43" i="22"/>
  <c r="O13" i="28"/>
  <c r="M13" i="33"/>
  <c r="AB14" i="25"/>
  <c r="B47" i="22"/>
  <c r="M13" i="28"/>
  <c r="M13" i="30"/>
  <c r="H43" i="17"/>
  <c r="H43" i="22"/>
  <c r="F25" i="22"/>
  <c r="F43" i="17"/>
  <c r="AA16" i="25"/>
  <c r="H25" i="22"/>
  <c r="M13" i="29"/>
  <c r="J31" i="17"/>
  <c r="N15" i="28"/>
  <c r="B29" i="22"/>
  <c r="J15" i="28"/>
  <c r="Q17" i="30"/>
  <c r="Q17" i="28"/>
  <c r="Q16" i="33"/>
  <c r="G47" i="17"/>
  <c r="G29" i="22"/>
  <c r="J15" i="30"/>
  <c r="W16" i="25"/>
  <c r="AD17" i="25"/>
  <c r="J49" i="22"/>
  <c r="N15" i="30"/>
  <c r="N15" i="29"/>
  <c r="R14" i="6"/>
  <c r="E29" i="22" s="1"/>
  <c r="B29" i="17"/>
  <c r="B47" i="17"/>
  <c r="J49" i="17"/>
  <c r="G47" i="22"/>
  <c r="G29" i="17"/>
  <c r="M9" i="25"/>
  <c r="M10" i="25"/>
  <c r="O9" i="10"/>
  <c r="M7" i="18" s="1"/>
  <c r="M10" i="18"/>
  <c r="L12" i="27"/>
  <c r="L8" i="33"/>
  <c r="L9" i="33"/>
  <c r="L7" i="33"/>
  <c r="L10" i="33"/>
  <c r="E45" i="17"/>
  <c r="C21" i="11"/>
  <c r="B60" i="30" s="1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E43" i="22" l="1"/>
  <c r="Y14" i="34"/>
  <c r="E27" i="22"/>
  <c r="Y15" i="34"/>
  <c r="G6" i="27"/>
  <c r="D41" i="28" s="1"/>
  <c r="L14" i="29"/>
  <c r="Y15" i="25"/>
  <c r="L14" i="28"/>
  <c r="E27" i="17"/>
  <c r="L14" i="30"/>
  <c r="L14" i="33"/>
  <c r="E45" i="22"/>
  <c r="L17" i="29"/>
  <c r="L17" i="30"/>
  <c r="L17" i="28"/>
  <c r="L16" i="33"/>
  <c r="E49" i="22"/>
  <c r="E49" i="17"/>
  <c r="E31" i="22"/>
  <c r="L13" i="30"/>
  <c r="Y17" i="25"/>
  <c r="Y14" i="25"/>
  <c r="L13" i="29"/>
  <c r="G9" i="27"/>
  <c r="D42" i="28" s="1"/>
  <c r="E25" i="17"/>
  <c r="L13" i="28"/>
  <c r="E43" i="17"/>
  <c r="L13" i="33"/>
  <c r="E47" i="17"/>
  <c r="E25" i="22"/>
  <c r="M13" i="19"/>
  <c r="L15" i="29"/>
  <c r="L15" i="28"/>
  <c r="L15" i="30"/>
  <c r="L15" i="33"/>
  <c r="Y16" i="25"/>
  <c r="E29" i="17"/>
  <c r="E47" i="22"/>
  <c r="H15" i="11"/>
  <c r="D57" i="30" s="1"/>
  <c r="G43" i="29"/>
  <c r="G43" i="30"/>
  <c r="L12" i="23"/>
  <c r="G43" i="28"/>
  <c r="P12" i="27"/>
  <c r="G48" i="30" s="1"/>
  <c r="G6" i="23"/>
  <c r="E7" i="18"/>
  <c r="S7" i="18" s="1"/>
  <c r="U9" i="10"/>
  <c r="U12" i="10"/>
  <c r="E10" i="18"/>
  <c r="S10" i="18" s="1"/>
  <c r="D41" i="29" l="1"/>
  <c r="D41" i="30"/>
  <c r="D42" i="29"/>
  <c r="D42" i="30"/>
  <c r="P9" i="27"/>
  <c r="D49" i="30" s="1"/>
  <c r="G9" i="23"/>
  <c r="Q10" i="18"/>
  <c r="Q7" i="18"/>
  <c r="H9" i="11"/>
  <c r="D53" i="30" s="1"/>
  <c r="H7" i="19"/>
  <c r="M9" i="11"/>
  <c r="G53" i="30" s="1"/>
  <c r="M7" i="19"/>
  <c r="Q6" i="19" s="1"/>
</calcChain>
</file>

<file path=xl/sharedStrings.xml><?xml version="1.0" encoding="utf-8"?>
<sst xmlns="http://schemas.openxmlformats.org/spreadsheetml/2006/main" count="609" uniqueCount="156">
  <si>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</si>
  <si>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</si>
  <si>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</si>
  <si>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</si>
  <si>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</si>
  <si>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</si>
  <si>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</si>
  <si>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</si>
  <si>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</si>
  <si>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</si>
  <si>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</si>
  <si>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</si>
  <si>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</si>
  <si>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</si>
  <si>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</si>
  <si>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</si>
  <si>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</si>
  <si>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</si>
  <si>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</si>
  <si>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</si>
  <si>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</si>
  <si>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</si>
  <si>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</si>
  <si>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</si>
  <si>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</si>
  <si>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</si>
  <si>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</si>
  <si>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</si>
  <si>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</si>
  <si>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</si>
  <si>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</si>
  <si>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</si>
  <si>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</si>
  <si>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</si>
  <si>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</si>
  <si>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</si>
  <si>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</si>
  <si>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</si>
  <si>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</si>
  <si>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</si>
  <si>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</si>
  <si>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</si>
  <si>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</si>
  <si>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</si>
  <si>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</si>
  <si>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</si>
  <si>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</si>
  <si>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</si>
  <si>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</si>
  <si>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</si>
  <si>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</si>
  <si>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</si>
  <si>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</si>
  <si>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</si>
  <si>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</si>
  <si>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</si>
  <si>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</si>
  <si>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</si>
  <si>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</si>
  <si>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</si>
  <si>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</si>
  <si>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</si>
  <si>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</si>
  <si>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</si>
  <si>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</si>
  <si>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</si>
  <si>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</si>
  <si>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</si>
  <si>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</si>
  <si>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</si>
  <si>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</si>
  <si>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</si>
  <si>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</si>
  <si>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</si>
  <si>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</si>
  <si>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</si>
  <si>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</si>
  <si>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</si>
  <si>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</si>
  <si>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</si>
  <si>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</si>
  <si>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</si>
  <si>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</si>
  <si>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</si>
  <si>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</si>
  <si>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INTERGRUPO</t>
  </si>
  <si>
    <t>PARTIDOS       FECHA 3</t>
  </si>
  <si>
    <t>PARTIDOS           FECHA 1            INTERGRUPOS</t>
  </si>
  <si>
    <t>,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</si>
  <si>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</si>
  <si>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</si>
  <si>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</si>
  <si>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</si>
  <si>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</si>
  <si>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</si>
  <si>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</si>
  <si>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</si>
  <si>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</si>
  <si>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</si>
  <si>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</si>
  <si>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</si>
  <si>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</si>
  <si>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</si>
  <si>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</si>
  <si>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</si>
  <si>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</si>
  <si>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</si>
  <si>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</si>
  <si>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</si>
  <si>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</si>
  <si>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</si>
  <si>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</si>
  <si>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</si>
  <si>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07:00. a.m.</t>
  </si>
  <si>
    <t>08:00. a.m.</t>
  </si>
  <si>
    <t>12:30. p.m.</t>
  </si>
  <si>
    <t>01:40. p.m.</t>
  </si>
  <si>
    <t>FASE GRUPOSS</t>
  </si>
  <si>
    <t>Pasan a la ronda semifinal, el PRIMERO DE CADA GRUPO, se jugara el lunes festivo en la mañana</t>
  </si>
  <si>
    <t>CANCHA 1 A</t>
  </si>
  <si>
    <t>CANCHA 1 C</t>
  </si>
  <si>
    <t>CANCHA 1 B</t>
  </si>
  <si>
    <t>Recordamos el envio de la planilla de inscripcion diligenciada al correo soccermelgar@outlook.com</t>
  </si>
  <si>
    <t>Diligenciar e imprimir la planilla de inscripcion y carnet.</t>
  </si>
  <si>
    <t>Traer documento original para presentar a mesa de delegados o por si algun delegado de equipo la solicita.</t>
  </si>
  <si>
    <t>Leer, acatar y/o Cumplir las normas del reglamento.</t>
  </si>
  <si>
    <t xml:space="preserve">Deben iniciar los partidos a la hora indicada, por ende se solicita estar minimo 30 minutos antes, </t>
  </si>
  <si>
    <t>diligenciar planilla de inscripcion y realizar trabajo precompetitivo</t>
  </si>
  <si>
    <t>HUITACA FUTBOL CLUB CHIA</t>
  </si>
  <si>
    <t>CLUB PROMOTOR DEPORTIVO SCORPION</t>
  </si>
  <si>
    <t>PARTIDOS       FECHA 4</t>
  </si>
  <si>
    <t>11:30 a.m.</t>
  </si>
  <si>
    <t>10:50 a.m.</t>
  </si>
  <si>
    <t>4:20 p.m.</t>
  </si>
  <si>
    <t>09:25 a.m.</t>
  </si>
  <si>
    <t>10:20 a.m.</t>
  </si>
  <si>
    <t>09:20 a.m.</t>
  </si>
  <si>
    <t>2:00 p.m.</t>
  </si>
  <si>
    <t>DG</t>
  </si>
  <si>
    <t>SE JUGARA IDA Y VUELTA, CAMPEON EQUIPO CON MAYOR CANTIDAD DE PUNTOS</t>
  </si>
  <si>
    <t>CANUTO F.C.</t>
  </si>
  <si>
    <t>CATEGORÍA</t>
  </si>
  <si>
    <t>FINAL 
COPA PLATA</t>
  </si>
  <si>
    <t>FINAL 
COPA ORO</t>
  </si>
  <si>
    <t>PARTIDOS FECHA 1</t>
  </si>
  <si>
    <t>“COPA SOCCER MELGAR”</t>
  </si>
  <si>
    <t>SEMIFINAL LLAVE 2</t>
  </si>
  <si>
    <t>SEMIFINAL 
LLAVE 1</t>
  </si>
  <si>
    <t>XVIII Campeonato Nacional de Fútbol Infantil</t>
  </si>
  <si>
    <t>NACIDOS 2017 2018</t>
  </si>
  <si>
    <t>DICIEMBRE 09 AL 11 DEL 2024</t>
  </si>
  <si>
    <t>ASTON HUILA</t>
  </si>
  <si>
    <t>INTER F. C.</t>
  </si>
  <si>
    <t>ATHLETIC MELGAR</t>
  </si>
  <si>
    <t>CLUB DEPORTIVO NUEVAS GENERACIONES</t>
  </si>
  <si>
    <t>CANCHA SINTETICA CASETABLA NO GUAYOS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</si>
</sst>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2"/>
      <color rgb="FFFF0000"/>
      <name val="Times New Roman"/>
      <family val="1"/>
    </font>
    <font>
      <b/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0"/>
      <color rgb="FF0000FF"/>
      <name val="Times New Roman"/>
      <family val="1"/>
    </font>
    <font>
      <b/>
      <i/>
      <sz val="36"/>
      <color rgb="FFFF0000"/>
      <name val="Times New Roman"/>
      <family val="1"/>
    </font>
    <font>
      <b/>
      <sz val="16"/>
      <color rgb="FF0000FF"/>
      <name val="Calibri"/>
      <family val="2"/>
      <scheme val="minor"/>
    </font>
    <font>
      <b/>
      <sz val="22"/>
      <color rgb="FF0000FF"/>
      <name val="Times New Roman"/>
      <family val="1"/>
    </font>
    <font>
      <b/>
      <sz val="32"/>
      <color rgb="FF008000"/>
      <name val="Times New Roman"/>
      <family val="1"/>
    </font>
    <font>
      <b/>
      <sz val="2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0"/>
      <color theme="0"/>
      <name val="Times New Roman"/>
      <family val="1"/>
    </font>
    <font>
      <b/>
      <sz val="16"/>
      <color theme="0"/>
      <name val="Calibri"/>
      <family val="2"/>
      <scheme val="minor"/>
    </font>
    <font>
      <b/>
      <sz val="22"/>
      <color rgb="FF008000"/>
      <name val="Times New Roman"/>
      <family val="1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name val="Algerian"/>
      <family val="5"/>
    </font>
    <font>
      <sz val="22"/>
      <name val="Algerian"/>
      <family val="5"/>
    </font>
    <font>
      <b/>
      <sz val="26"/>
      <color rgb="FF006600"/>
      <name val="Times New Roman"/>
      <family val="1"/>
    </font>
    <font>
      <b/>
      <sz val="26"/>
      <color rgb="FF006600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39997558519241921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74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7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2" borderId="0" xfId="0" applyFont="1" applyFill="1"/>
    <xf numFmtId="0" fontId="11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0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/>
    </xf>
    <xf numFmtId="0" fontId="12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0" fillId="2" borderId="0" xfId="0" applyFont="1" applyFill="1"/>
    <xf numFmtId="49" fontId="25" fillId="6" borderId="0" xfId="0" applyNumberFormat="1" applyFont="1" applyFill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2" fillId="10" borderId="0" xfId="0" applyFont="1" applyFill="1"/>
    <xf numFmtId="0" fontId="0" fillId="6" borderId="4" xfId="0" applyFill="1" applyBorder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35" fillId="2" borderId="0" xfId="0" applyFont="1" applyFill="1"/>
    <xf numFmtId="0" fontId="15" fillId="6" borderId="13" xfId="0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38" fillId="2" borderId="0" xfId="0" applyFont="1" applyFill="1"/>
    <xf numFmtId="0" fontId="3" fillId="6" borderId="0" xfId="0" applyFont="1" applyFill="1" applyAlignment="1">
      <alignment horizontal="center"/>
    </xf>
    <xf numFmtId="0" fontId="39" fillId="2" borderId="0" xfId="0" applyFont="1" applyFill="1"/>
    <xf numFmtId="0" fontId="0" fillId="2" borderId="39" xfId="0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6" fillId="2" borderId="0" xfId="0" applyFont="1" applyFill="1"/>
    <xf numFmtId="0" fontId="0" fillId="2" borderId="39" xfId="0" applyFill="1" applyBorder="1"/>
    <xf numFmtId="0" fontId="7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6" fillId="2" borderId="0" xfId="0" applyFont="1" applyFill="1"/>
    <xf numFmtId="0" fontId="37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12" fillId="2" borderId="0" xfId="0" applyFont="1" applyFill="1" applyProtection="1">
      <protection locked="0"/>
    </xf>
    <xf numFmtId="0" fontId="52" fillId="2" borderId="0" xfId="0" applyFont="1" applyFill="1"/>
    <xf numFmtId="0" fontId="53" fillId="2" borderId="0" xfId="0" applyFont="1" applyFill="1"/>
    <xf numFmtId="0" fontId="47" fillId="6" borderId="7" xfId="0" applyFont="1" applyFill="1" applyBorder="1" applyAlignment="1">
      <alignment horizontal="center"/>
    </xf>
    <xf numFmtId="0" fontId="55" fillId="6" borderId="0" xfId="0" applyFont="1" applyFill="1"/>
    <xf numFmtId="0" fontId="47" fillId="2" borderId="0" xfId="0" applyFont="1" applyFill="1"/>
    <xf numFmtId="0" fontId="47" fillId="6" borderId="0" xfId="0" applyFont="1" applyFill="1" applyAlignment="1">
      <alignment horizontal="center" vertical="center"/>
    </xf>
    <xf numFmtId="0" fontId="55" fillId="6" borderId="0" xfId="0" applyFont="1" applyFill="1" applyAlignment="1">
      <alignment horizontal="center"/>
    </xf>
    <xf numFmtId="0" fontId="56" fillId="6" borderId="13" xfId="0" applyFont="1" applyFill="1" applyBorder="1" applyAlignment="1">
      <alignment horizontal="center"/>
    </xf>
    <xf numFmtId="0" fontId="55" fillId="0" borderId="0" xfId="0" applyFont="1" applyAlignment="1">
      <alignment horizontal="left"/>
    </xf>
    <xf numFmtId="0" fontId="55" fillId="6" borderId="0" xfId="0" applyFont="1" applyFill="1" applyAlignment="1">
      <alignment vertical="center"/>
    </xf>
    <xf numFmtId="16" fontId="55" fillId="3" borderId="0" xfId="0" applyNumberFormat="1" applyFont="1" applyFill="1" applyAlignment="1">
      <alignment horizontal="center" vertical="center"/>
    </xf>
    <xf numFmtId="164" fontId="55" fillId="3" borderId="0" xfId="0" applyNumberFormat="1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16" fontId="55" fillId="4" borderId="0" xfId="0" applyNumberFormat="1" applyFont="1" applyFill="1" applyAlignment="1">
      <alignment horizontal="center" vertical="center"/>
    </xf>
    <xf numFmtId="164" fontId="55" fillId="4" borderId="0" xfId="0" applyNumberFormat="1" applyFont="1" applyFill="1" applyAlignment="1">
      <alignment horizontal="center" vertical="center"/>
    </xf>
    <xf numFmtId="0" fontId="55" fillId="8" borderId="6" xfId="0" applyFont="1" applyFill="1" applyBorder="1" applyAlignment="1" applyProtection="1">
      <alignment horizontal="center" vertical="center"/>
      <protection locked="0"/>
    </xf>
    <xf numFmtId="0" fontId="55" fillId="4" borderId="0" xfId="0" applyFont="1" applyFill="1" applyAlignment="1">
      <alignment horizontal="center" vertical="center"/>
    </xf>
    <xf numFmtId="0" fontId="50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40" fillId="2" borderId="0" xfId="0" applyFont="1" applyFill="1" applyAlignment="1">
      <alignment vertical="center"/>
    </xf>
    <xf numFmtId="0" fontId="61" fillId="8" borderId="6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 applyAlignment="1">
      <alignment horizontal="left"/>
    </xf>
    <xf numFmtId="0" fontId="55" fillId="4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left" vertical="center"/>
    </xf>
    <xf numFmtId="0" fontId="55" fillId="10" borderId="0" xfId="0" applyFont="1" applyFill="1"/>
    <xf numFmtId="0" fontId="55" fillId="6" borderId="0" xfId="0" applyFont="1" applyFill="1" applyAlignment="1">
      <alignment horizontal="right" vertical="center"/>
    </xf>
    <xf numFmtId="16" fontId="55" fillId="4" borderId="0" xfId="0" applyNumberFormat="1" applyFont="1" applyFill="1" applyAlignment="1">
      <alignment horizontal="left" vertical="center"/>
    </xf>
    <xf numFmtId="0" fontId="62" fillId="6" borderId="0" xfId="0" applyFont="1" applyFill="1" applyAlignment="1">
      <alignment horizontal="center"/>
    </xf>
    <xf numFmtId="0" fontId="63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5" fillId="2" borderId="0" xfId="0" applyFont="1" applyFill="1"/>
    <xf numFmtId="0" fontId="55" fillId="3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0" fillId="6" borderId="46" xfId="0" applyFill="1" applyBorder="1"/>
    <xf numFmtId="0" fontId="0" fillId="6" borderId="28" xfId="0" applyFill="1" applyBorder="1"/>
    <xf numFmtId="0" fontId="54" fillId="6" borderId="13" xfId="0" applyFont="1" applyFill="1" applyBorder="1"/>
    <xf numFmtId="0" fontId="47" fillId="6" borderId="28" xfId="0" applyFont="1" applyFill="1" applyBorder="1" applyAlignment="1">
      <alignment horizontal="center" vertical="center"/>
    </xf>
    <xf numFmtId="0" fontId="0" fillId="11" borderId="5" xfId="0" applyFill="1" applyBorder="1"/>
    <xf numFmtId="0" fontId="2" fillId="11" borderId="0" xfId="0" applyFont="1" applyFill="1"/>
    <xf numFmtId="0" fontId="2" fillId="11" borderId="14" xfId="0" applyFont="1" applyFill="1" applyBorder="1"/>
    <xf numFmtId="0" fontId="2" fillId="11" borderId="8" xfId="0" applyFont="1" applyFill="1" applyBorder="1"/>
    <xf numFmtId="0" fontId="0" fillId="11" borderId="12" xfId="0" applyFill="1" applyBorder="1"/>
    <xf numFmtId="0" fontId="25" fillId="11" borderId="13" xfId="0" applyFont="1" applyFill="1" applyBorder="1"/>
    <xf numFmtId="0" fontId="0" fillId="11" borderId="4" xfId="0" applyFill="1" applyBorder="1"/>
    <xf numFmtId="49" fontId="25" fillId="11" borderId="5" xfId="0" applyNumberFormat="1" applyFont="1" applyFill="1" applyBorder="1" applyAlignment="1">
      <alignment horizontal="center"/>
    </xf>
    <xf numFmtId="0" fontId="69" fillId="2" borderId="0" xfId="0" applyFont="1" applyFill="1"/>
    <xf numFmtId="0" fontId="69" fillId="2" borderId="0" xfId="0" applyFont="1" applyFill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center" vertical="center"/>
    </xf>
    <xf numFmtId="0" fontId="55" fillId="8" borderId="12" xfId="0" applyFont="1" applyFill="1" applyBorder="1" applyAlignment="1" applyProtection="1">
      <alignment horizontal="center" vertical="center"/>
      <protection locked="0"/>
    </xf>
    <xf numFmtId="0" fontId="64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/>
    </xf>
    <xf numFmtId="0" fontId="74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83" fillId="2" borderId="0" xfId="0" applyFont="1" applyFill="1" applyAlignment="1">
      <alignment horizontal="left" vertical="center"/>
    </xf>
    <xf numFmtId="0" fontId="29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12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84" fillId="12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/>
    <xf numFmtId="0" fontId="89" fillId="2" borderId="0" xfId="0" applyFont="1" applyFill="1" applyAlignment="1">
      <alignment horizontal="center" vertical="center"/>
    </xf>
    <xf numFmtId="0" fontId="90" fillId="2" borderId="1" xfId="1" applyFont="1" applyFill="1" applyBorder="1" applyAlignment="1">
      <alignment horizontal="center" vertical="center"/>
    </xf>
    <xf numFmtId="0" fontId="91" fillId="2" borderId="0" xfId="1" applyFont="1" applyFill="1" applyBorder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28" fillId="2" borderId="0" xfId="0" applyFont="1" applyFill="1"/>
    <xf numFmtId="0" fontId="91" fillId="2" borderId="1" xfId="1" applyFont="1" applyFill="1" applyBorder="1" applyAlignment="1">
      <alignment horizontal="center" vertical="center"/>
    </xf>
    <xf numFmtId="0" fontId="43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7" xfId="0" applyFont="1" applyFill="1" applyBorder="1"/>
    <xf numFmtId="0" fontId="85" fillId="2" borderId="70" xfId="0" applyFont="1" applyFill="1" applyBorder="1" applyAlignment="1">
      <alignment horizontal="center" vertical="center"/>
    </xf>
    <xf numFmtId="0" fontId="85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95" fillId="17" borderId="3" xfId="0" applyNumberFormat="1" applyFont="1" applyFill="1" applyBorder="1" applyAlignment="1">
      <alignment horizontal="center" vertical="center"/>
    </xf>
    <xf numFmtId="0" fontId="95" fillId="17" borderId="3" xfId="0" applyFont="1" applyFill="1" applyBorder="1" applyAlignment="1">
      <alignment horizontal="center" vertical="center"/>
    </xf>
    <xf numFmtId="16" fontId="25" fillId="18" borderId="3" xfId="0" applyNumberFormat="1" applyFont="1" applyFill="1" applyBorder="1" applyAlignment="1">
      <alignment horizontal="center" vertical="center"/>
    </xf>
    <xf numFmtId="0" fontId="25" fillId="18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74" xfId="0" applyNumberFormat="1" applyFont="1" applyFill="1" applyBorder="1" applyAlignment="1">
      <alignment vertical="center"/>
    </xf>
    <xf numFmtId="16" fontId="2" fillId="2" borderId="75" xfId="0" applyNumberFormat="1" applyFont="1" applyFill="1" applyBorder="1" applyAlignment="1">
      <alignment vertical="center"/>
    </xf>
    <xf numFmtId="16" fontId="2" fillId="2" borderId="76" xfId="0" applyNumberFormat="1" applyFont="1" applyFill="1" applyBorder="1" applyAlignment="1">
      <alignment vertical="center"/>
    </xf>
    <xf numFmtId="16" fontId="2" fillId="2" borderId="77" xfId="0" applyNumberFormat="1" applyFont="1" applyFill="1" applyBorder="1" applyAlignment="1">
      <alignment vertical="center"/>
    </xf>
    <xf numFmtId="16" fontId="0" fillId="2" borderId="52" xfId="0" applyNumberFormat="1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16" fontId="0" fillId="2" borderId="73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104" fillId="2" borderId="0" xfId="0" applyFont="1" applyFill="1"/>
    <xf numFmtId="0" fontId="0" fillId="2" borderId="0" xfId="0" applyFill="1" applyAlignment="1">
      <alignment wrapText="1"/>
    </xf>
    <xf numFmtId="0" fontId="2" fillId="1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85" fillId="2" borderId="0" xfId="0" applyFont="1" applyFill="1" applyAlignment="1">
      <alignment horizontal="center" vertical="center"/>
    </xf>
    <xf numFmtId="0" fontId="2" fillId="2" borderId="38" xfId="0" applyFont="1" applyFill="1" applyBorder="1"/>
    <xf numFmtId="0" fontId="2" fillId="2" borderId="0" xfId="0" applyFont="1" applyFill="1" applyAlignment="1">
      <alignment vertical="center" wrapText="1"/>
    </xf>
    <xf numFmtId="16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vertical="center" wrapText="1"/>
    </xf>
    <xf numFmtId="16" fontId="2" fillId="10" borderId="3" xfId="0" applyNumberFormat="1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09" fillId="2" borderId="0" xfId="0" applyFont="1" applyFill="1" applyAlignment="1">
      <alignment vertical="center"/>
    </xf>
    <xf numFmtId="0" fontId="114" fillId="2" borderId="0" xfId="0" applyFont="1" applyFill="1" applyAlignment="1">
      <alignment vertical="center"/>
    </xf>
    <xf numFmtId="0" fontId="37" fillId="2" borderId="0" xfId="0" applyFont="1" applyFill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19" fillId="10" borderId="0" xfId="0" applyFont="1" applyFill="1" applyAlignment="1">
      <alignment vertical="center"/>
    </xf>
    <xf numFmtId="0" fontId="0" fillId="10" borderId="0" xfId="0" applyFill="1" applyAlignment="1">
      <alignment wrapText="1"/>
    </xf>
    <xf numFmtId="0" fontId="120" fillId="2" borderId="0" xfId="1" applyFont="1" applyFill="1" applyBorder="1" applyAlignment="1">
      <alignment horizontal="center" vertical="center"/>
    </xf>
    <xf numFmtId="0" fontId="121" fillId="2" borderId="0" xfId="0" applyFont="1" applyFill="1" applyAlignment="1">
      <alignment horizontal="center" vertical="center" wrapText="1"/>
    </xf>
    <xf numFmtId="0" fontId="14" fillId="2" borderId="0" xfId="0" applyFont="1" applyFill="1"/>
    <xf numFmtId="0" fontId="0" fillId="2" borderId="0" xfId="0" applyFill="1" applyAlignment="1">
      <alignment vertical="center"/>
    </xf>
    <xf numFmtId="0" fontId="2" fillId="3" borderId="76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16" fontId="4" fillId="10" borderId="3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124" fillId="0" borderId="0" xfId="0" applyFont="1"/>
    <xf numFmtId="0" fontId="124" fillId="2" borderId="0" xfId="0" applyFont="1" applyFill="1"/>
    <xf numFmtId="0" fontId="124" fillId="2" borderId="0" xfId="0" applyFont="1" applyFill="1" applyAlignment="1">
      <alignment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18" fontId="98" fillId="10" borderId="3" xfId="0" applyNumberFormat="1" applyFont="1" applyFill="1" applyBorder="1" applyAlignment="1">
      <alignment horizontal="center" vertical="center" wrapText="1"/>
    </xf>
    <xf numFmtId="16" fontId="124" fillId="2" borderId="0" xfId="0" applyNumberFormat="1" applyFont="1" applyFill="1" applyAlignment="1">
      <alignment wrapText="1"/>
    </xf>
    <xf numFmtId="0" fontId="125" fillId="2" borderId="0" xfId="0" applyFont="1" applyFill="1" applyAlignment="1">
      <alignment vertical="center"/>
    </xf>
    <xf numFmtId="0" fontId="24" fillId="2" borderId="67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8" fontId="4" fillId="10" borderId="3" xfId="0" applyNumberFormat="1" applyFont="1" applyFill="1" applyBorder="1" applyAlignment="1">
      <alignment horizontal="center" vertical="center" wrapText="1"/>
    </xf>
    <xf numFmtId="0" fontId="53" fillId="2" borderId="81" xfId="0" applyFont="1" applyFill="1" applyBorder="1" applyAlignment="1">
      <alignment horizontal="center" vertical="center" wrapText="1"/>
    </xf>
    <xf numFmtId="0" fontId="53" fillId="2" borderId="2" xfId="0" applyFont="1" applyFill="1" applyBorder="1" applyAlignment="1">
      <alignment horizontal="center" vertical="center" wrapText="1"/>
    </xf>
    <xf numFmtId="0" fontId="130" fillId="10" borderId="3" xfId="0" applyFont="1" applyFill="1" applyBorder="1" applyAlignment="1">
      <alignment horizontal="center" vertical="center" wrapText="1"/>
    </xf>
    <xf numFmtId="16" fontId="98" fillId="10" borderId="3" xfId="0" applyNumberFormat="1" applyFont="1" applyFill="1" applyBorder="1" applyAlignment="1">
      <alignment horizontal="center" vertical="center" wrapText="1"/>
    </xf>
    <xf numFmtId="0" fontId="117" fillId="2" borderId="0" xfId="0" applyFont="1" applyFill="1" applyAlignment="1">
      <alignment horizontal="center" vertical="center"/>
    </xf>
    <xf numFmtId="0" fontId="122" fillId="2" borderId="0" xfId="0" applyFont="1" applyFill="1" applyAlignment="1">
      <alignment horizontal="center" vertical="center"/>
    </xf>
    <xf numFmtId="0" fontId="100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126" fillId="2" borderId="0" xfId="0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" fontId="12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42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4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6" fillId="2" borderId="12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center"/>
      <protection locked="0"/>
    </xf>
    <xf numFmtId="0" fontId="2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right"/>
    </xf>
    <xf numFmtId="0" fontId="17" fillId="7" borderId="28" xfId="0" applyFont="1" applyFill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7" fillId="7" borderId="9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1" fontId="12" fillId="2" borderId="15" xfId="0" applyNumberFormat="1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67" fillId="2" borderId="0" xfId="0" applyFont="1" applyFill="1" applyAlignment="1">
      <alignment horizontal="right"/>
    </xf>
    <xf numFmtId="0" fontId="23" fillId="2" borderId="0" xfId="0" applyFont="1" applyFill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6" fontId="2" fillId="12" borderId="55" xfId="0" applyNumberFormat="1" applyFont="1" applyFill="1" applyBorder="1" applyAlignment="1">
      <alignment horizontal="center" vertical="center"/>
    </xf>
    <xf numFmtId="16" fontId="2" fillId="12" borderId="58" xfId="0" applyNumberFormat="1" applyFont="1" applyFill="1" applyBorder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164" fontId="2" fillId="12" borderId="57" xfId="0" applyNumberFormat="1" applyFont="1" applyFill="1" applyBorder="1" applyAlignment="1">
      <alignment horizontal="center" vertical="center"/>
    </xf>
    <xf numFmtId="164" fontId="2" fillId="12" borderId="60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2" borderId="61" xfId="0" applyNumberFormat="1" applyFont="1" applyFill="1" applyBorder="1" applyAlignment="1">
      <alignment horizontal="center" vertical="center"/>
    </xf>
    <xf numFmtId="16" fontId="2" fillId="12" borderId="64" xfId="0" applyNumberFormat="1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horizontal="center" vertical="center"/>
    </xf>
    <xf numFmtId="0" fontId="2" fillId="12" borderId="65" xfId="0" applyFont="1" applyFill="1" applyBorder="1" applyAlignment="1">
      <alignment horizontal="center" vertical="center"/>
    </xf>
    <xf numFmtId="164" fontId="2" fillId="12" borderId="63" xfId="0" applyNumberFormat="1" applyFont="1" applyFill="1" applyBorder="1" applyAlignment="1">
      <alignment horizontal="center" vertical="center"/>
    </xf>
    <xf numFmtId="164" fontId="2" fillId="12" borderId="6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5" fillId="6" borderId="0" xfId="0" applyFont="1" applyFill="1" applyAlignment="1" applyProtection="1">
      <alignment horizontal="center" vertical="center"/>
      <protection locked="0"/>
    </xf>
    <xf numFmtId="0" fontId="50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16" fontId="25" fillId="11" borderId="13" xfId="0" applyNumberFormat="1" applyFont="1" applyFill="1" applyBorder="1" applyAlignment="1" applyProtection="1">
      <alignment horizontal="center" vertical="center"/>
      <protection locked="0"/>
    </xf>
    <xf numFmtId="164" fontId="25" fillId="11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5" fillId="6" borderId="13" xfId="0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10" fillId="2" borderId="0" xfId="0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center" vertical="center"/>
    </xf>
    <xf numFmtId="0" fontId="41" fillId="8" borderId="22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 vertical="center" wrapText="1"/>
    </xf>
    <xf numFmtId="0" fontId="41" fillId="8" borderId="24" xfId="0" applyFont="1" applyFill="1" applyBorder="1" applyAlignment="1">
      <alignment horizontal="center" vertical="center" wrapText="1"/>
    </xf>
    <xf numFmtId="0" fontId="41" fillId="8" borderId="25" xfId="0" applyFont="1" applyFill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center" vertical="center" wrapText="1"/>
    </xf>
    <xf numFmtId="0" fontId="41" fillId="8" borderId="27" xfId="0" applyFont="1" applyFill="1" applyBorder="1" applyAlignment="1">
      <alignment horizontal="center" vertical="center" wrapText="1"/>
    </xf>
    <xf numFmtId="0" fontId="31" fillId="9" borderId="9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16" fontId="25" fillId="6" borderId="28" xfId="0" applyNumberFormat="1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left"/>
    </xf>
    <xf numFmtId="0" fontId="31" fillId="9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13" fillId="2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16" fillId="2" borderId="0" xfId="1" applyFill="1" applyAlignment="1">
      <alignment horizontal="center" vertical="center"/>
    </xf>
    <xf numFmtId="0" fontId="70" fillId="2" borderId="0" xfId="0" applyFont="1" applyFill="1" applyAlignment="1">
      <alignment horizontal="center" vertical="center" wrapText="1"/>
    </xf>
    <xf numFmtId="16" fontId="77" fillId="2" borderId="0" xfId="0" applyNumberFormat="1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7" fillId="2" borderId="8" xfId="0" applyFont="1" applyFill="1" applyBorder="1" applyAlignment="1">
      <alignment horizontal="center" vertical="center"/>
    </xf>
    <xf numFmtId="0" fontId="55" fillId="3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76" fillId="2" borderId="8" xfId="0" applyFont="1" applyFill="1" applyBorder="1" applyAlignment="1">
      <alignment horizontal="center" vertical="center"/>
    </xf>
    <xf numFmtId="0" fontId="60" fillId="2" borderId="0" xfId="0" applyFont="1" applyFill="1" applyAlignment="1">
      <alignment horizontal="right" vertical="center"/>
    </xf>
    <xf numFmtId="0" fontId="75" fillId="2" borderId="0" xfId="0" applyFont="1" applyFill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47" fillId="2" borderId="32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55" fillId="3" borderId="28" xfId="0" applyFont="1" applyFill="1" applyBorder="1" applyAlignment="1">
      <alignment horizontal="center" vertical="center" wrapText="1"/>
    </xf>
    <xf numFmtId="0" fontId="55" fillId="4" borderId="2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/>
    </xf>
    <xf numFmtId="0" fontId="47" fillId="2" borderId="33" xfId="0" applyFont="1" applyFill="1" applyBorder="1" applyAlignment="1">
      <alignment horizontal="center" vertical="center"/>
    </xf>
    <xf numFmtId="0" fontId="48" fillId="2" borderId="40" xfId="0" applyFont="1" applyFill="1" applyBorder="1" applyAlignment="1">
      <alignment horizontal="left" vertical="center" wrapText="1"/>
    </xf>
    <xf numFmtId="0" fontId="48" fillId="2" borderId="51" xfId="0" applyFont="1" applyFill="1" applyBorder="1" applyAlignment="1">
      <alignment horizontal="left" vertical="center" wrapText="1"/>
    </xf>
    <xf numFmtId="0" fontId="48" fillId="2" borderId="32" xfId="0" applyFont="1" applyFill="1" applyBorder="1" applyAlignment="1">
      <alignment horizontal="left" vertical="center" wrapText="1"/>
    </xf>
    <xf numFmtId="0" fontId="48" fillId="2" borderId="52" xfId="0" applyFont="1" applyFill="1" applyBorder="1" applyAlignment="1">
      <alignment horizontal="left" vertical="center" wrapText="1"/>
    </xf>
    <xf numFmtId="0" fontId="82" fillId="2" borderId="0" xfId="0" applyFont="1" applyFill="1" applyAlignment="1">
      <alignment horizontal="center"/>
    </xf>
    <xf numFmtId="0" fontId="82" fillId="2" borderId="38" xfId="0" applyFont="1" applyFill="1" applyBorder="1" applyAlignment="1">
      <alignment horizontal="center"/>
    </xf>
    <xf numFmtId="0" fontId="82" fillId="2" borderId="39" xfId="0" applyFont="1" applyFill="1" applyBorder="1" applyAlignment="1">
      <alignment horizontal="center"/>
    </xf>
    <xf numFmtId="0" fontId="82" fillId="2" borderId="37" xfId="0" applyFont="1" applyFill="1" applyBorder="1" applyAlignment="1">
      <alignment horizontal="center"/>
    </xf>
    <xf numFmtId="0" fontId="47" fillId="2" borderId="35" xfId="0" applyFont="1" applyFill="1" applyBorder="1" applyAlignment="1">
      <alignment horizontal="center" vertical="center"/>
    </xf>
    <xf numFmtId="0" fontId="48" fillId="2" borderId="29" xfId="0" applyFont="1" applyFill="1" applyBorder="1" applyAlignment="1">
      <alignment horizontal="left" vertical="center" wrapText="1"/>
    </xf>
    <xf numFmtId="0" fontId="48" fillId="2" borderId="53" xfId="0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0" fontId="48" fillId="2" borderId="54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center" vertical="center"/>
    </xf>
    <xf numFmtId="0" fontId="47" fillId="2" borderId="30" xfId="0" applyFont="1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 vertical="center"/>
    </xf>
    <xf numFmtId="0" fontId="80" fillId="2" borderId="0" xfId="0" applyFont="1" applyFill="1" applyAlignment="1">
      <alignment horizontal="center"/>
    </xf>
    <xf numFmtId="0" fontId="80" fillId="2" borderId="38" xfId="0" applyFont="1" applyFill="1" applyBorder="1" applyAlignment="1">
      <alignment horizontal="center"/>
    </xf>
    <xf numFmtId="0" fontId="80" fillId="2" borderId="39" xfId="0" applyFont="1" applyFill="1" applyBorder="1" applyAlignment="1">
      <alignment horizontal="center"/>
    </xf>
    <xf numFmtId="0" fontId="80" fillId="2" borderId="37" xfId="0" applyFont="1" applyFill="1" applyBorder="1" applyAlignment="1">
      <alignment horizontal="center"/>
    </xf>
    <xf numFmtId="0" fontId="48" fillId="2" borderId="3" xfId="0" applyFont="1" applyFill="1" applyBorder="1" applyAlignment="1">
      <alignment horizontal="left" vertical="center" wrapText="1"/>
    </xf>
    <xf numFmtId="0" fontId="47" fillId="2" borderId="31" xfId="0" applyFont="1" applyFill="1" applyBorder="1" applyAlignment="1">
      <alignment horizontal="center" vertical="center"/>
    </xf>
    <xf numFmtId="0" fontId="47" fillId="2" borderId="36" xfId="0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0" fontId="47" fillId="2" borderId="44" xfId="0" applyFont="1" applyFill="1" applyBorder="1" applyAlignment="1">
      <alignment horizontal="center" vertical="center"/>
    </xf>
    <xf numFmtId="0" fontId="47" fillId="2" borderId="45" xfId="0" applyFont="1" applyFill="1" applyBorder="1" applyAlignment="1">
      <alignment horizontal="center" vertical="center"/>
    </xf>
    <xf numFmtId="0" fontId="48" fillId="2" borderId="30" xfId="0" applyFont="1" applyFill="1" applyBorder="1" applyAlignment="1">
      <alignment horizontal="left" vertical="center" wrapText="1"/>
    </xf>
    <xf numFmtId="0" fontId="81" fillId="2" borderId="0" xfId="0" applyFont="1" applyFill="1" applyAlignment="1">
      <alignment horizontal="center"/>
    </xf>
    <xf numFmtId="0" fontId="81" fillId="2" borderId="38" xfId="0" applyFont="1" applyFill="1" applyBorder="1" applyAlignment="1">
      <alignment horizontal="center"/>
    </xf>
    <xf numFmtId="0" fontId="81" fillId="2" borderId="39" xfId="0" applyFont="1" applyFill="1" applyBorder="1" applyAlignment="1">
      <alignment horizontal="center"/>
    </xf>
    <xf numFmtId="0" fontId="81" fillId="2" borderId="37" xfId="0" applyFont="1" applyFill="1" applyBorder="1" applyAlignment="1">
      <alignment horizontal="center"/>
    </xf>
    <xf numFmtId="0" fontId="47" fillId="2" borderId="49" xfId="0" applyFont="1" applyFill="1" applyBorder="1" applyAlignment="1">
      <alignment horizontal="center" vertical="center"/>
    </xf>
    <xf numFmtId="0" fontId="47" fillId="2" borderId="50" xfId="0" applyFont="1" applyFill="1" applyBorder="1" applyAlignment="1">
      <alignment horizontal="center" vertical="center"/>
    </xf>
    <xf numFmtId="0" fontId="47" fillId="2" borderId="47" xfId="0" applyFont="1" applyFill="1" applyBorder="1" applyAlignment="1">
      <alignment horizontal="center" vertical="center"/>
    </xf>
    <xf numFmtId="0" fontId="47" fillId="2" borderId="48" xfId="0" applyFont="1" applyFill="1" applyBorder="1" applyAlignment="1">
      <alignment horizontal="center" vertical="center"/>
    </xf>
    <xf numFmtId="0" fontId="79" fillId="2" borderId="0" xfId="0" applyFont="1" applyFill="1" applyAlignment="1">
      <alignment horizontal="center"/>
    </xf>
    <xf numFmtId="0" fontId="79" fillId="2" borderId="39" xfId="0" applyFont="1" applyFill="1" applyBorder="1" applyAlignment="1">
      <alignment horizontal="center"/>
    </xf>
    <xf numFmtId="0" fontId="48" fillId="2" borderId="35" xfId="0" applyFont="1" applyFill="1" applyBorder="1" applyAlignment="1">
      <alignment horizontal="left" vertical="center" wrapText="1"/>
    </xf>
    <xf numFmtId="0" fontId="55" fillId="8" borderId="12" xfId="0" applyFont="1" applyFill="1" applyBorder="1" applyAlignment="1" applyProtection="1">
      <alignment horizontal="center" vertical="center"/>
      <protection locked="0"/>
    </xf>
    <xf numFmtId="0" fontId="55" fillId="8" borderId="14" xfId="0" applyFont="1" applyFill="1" applyBorder="1" applyAlignment="1" applyProtection="1">
      <alignment horizontal="center" vertical="center"/>
      <protection locked="0"/>
    </xf>
    <xf numFmtId="0" fontId="47" fillId="6" borderId="0" xfId="0" applyFont="1" applyFill="1" applyAlignment="1">
      <alignment horizontal="center"/>
    </xf>
    <xf numFmtId="0" fontId="55" fillId="10" borderId="0" xfId="0" applyFont="1" applyFill="1" applyAlignment="1">
      <alignment horizontal="center" vertical="center" wrapText="1"/>
    </xf>
    <xf numFmtId="0" fontId="56" fillId="6" borderId="13" xfId="0" applyFont="1" applyFill="1" applyBorder="1" applyAlignment="1" applyProtection="1">
      <alignment horizontal="center" vertical="center"/>
      <protection locked="0"/>
    </xf>
    <xf numFmtId="0" fontId="55" fillId="5" borderId="0" xfId="0" applyFont="1" applyFill="1" applyAlignment="1">
      <alignment horizontal="center" vertical="center" wrapText="1"/>
    </xf>
    <xf numFmtId="16" fontId="54" fillId="6" borderId="13" xfId="0" applyNumberFormat="1" applyFont="1" applyFill="1" applyBorder="1" applyAlignment="1" applyProtection="1">
      <alignment horizontal="center" vertical="center"/>
      <protection locked="0"/>
    </xf>
    <xf numFmtId="16" fontId="54" fillId="6" borderId="0" xfId="0" applyNumberFormat="1" applyFont="1" applyFill="1" applyAlignment="1" applyProtection="1">
      <alignment horizontal="center" vertical="center"/>
      <protection locked="0"/>
    </xf>
    <xf numFmtId="0" fontId="47" fillId="10" borderId="0" xfId="0" applyFont="1" applyFill="1" applyAlignment="1">
      <alignment horizontal="center"/>
    </xf>
    <xf numFmtId="0" fontId="47" fillId="6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16" fontId="54" fillId="6" borderId="28" xfId="0" applyNumberFormat="1" applyFont="1" applyFill="1" applyBorder="1" applyAlignment="1" applyProtection="1">
      <alignment horizontal="center" vertical="center"/>
      <protection locked="0"/>
    </xf>
    <xf numFmtId="164" fontId="54" fillId="6" borderId="0" xfId="0" applyNumberFormat="1" applyFont="1" applyFill="1" applyAlignment="1" applyProtection="1">
      <alignment horizontal="center" vertical="center"/>
      <protection locked="0"/>
    </xf>
    <xf numFmtId="0" fontId="55" fillId="6" borderId="0" xfId="0" applyFont="1" applyFill="1" applyAlignment="1">
      <alignment horizontal="center" vertical="center" wrapText="1"/>
    </xf>
    <xf numFmtId="0" fontId="47" fillId="6" borderId="13" xfId="0" applyFont="1" applyFill="1" applyBorder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55" fillId="6" borderId="0" xfId="0" applyFont="1" applyFill="1" applyAlignment="1">
      <alignment horizontal="left"/>
    </xf>
    <xf numFmtId="0" fontId="2" fillId="2" borderId="68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87" fillId="2" borderId="0" xfId="0" applyFont="1" applyFill="1" applyAlignment="1">
      <alignment horizontal="center" vertical="center"/>
    </xf>
    <xf numFmtId="0" fontId="88" fillId="2" borderId="0" xfId="0" applyFont="1" applyFill="1" applyAlignment="1">
      <alignment horizontal="center" vertical="center"/>
    </xf>
    <xf numFmtId="0" fontId="9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23" fillId="21" borderId="68" xfId="0" applyFont="1" applyFill="1" applyBorder="1" applyAlignment="1">
      <alignment horizontal="center" vertical="center" wrapText="1"/>
    </xf>
    <xf numFmtId="0" fontId="123" fillId="21" borderId="69" xfId="0" applyFont="1" applyFill="1" applyBorder="1" applyAlignment="1">
      <alignment horizontal="center" vertical="center" wrapText="1"/>
    </xf>
    <xf numFmtId="0" fontId="123" fillId="21" borderId="71" xfId="0" applyFont="1" applyFill="1" applyBorder="1" applyAlignment="1">
      <alignment horizontal="center" vertical="center" wrapText="1"/>
    </xf>
    <xf numFmtId="0" fontId="30" fillId="3" borderId="76" xfId="0" applyFont="1" applyFill="1" applyBorder="1" applyAlignment="1">
      <alignment horizontal="center" vertical="center"/>
    </xf>
    <xf numFmtId="0" fontId="123" fillId="13" borderId="68" xfId="0" applyFont="1" applyFill="1" applyBorder="1" applyAlignment="1">
      <alignment horizontal="center" vertical="center" wrapText="1"/>
    </xf>
    <xf numFmtId="0" fontId="123" fillId="13" borderId="69" xfId="0" applyFont="1" applyFill="1" applyBorder="1" applyAlignment="1">
      <alignment horizontal="center" vertical="center" wrapText="1"/>
    </xf>
    <xf numFmtId="0" fontId="123" fillId="13" borderId="71" xfId="0" applyFont="1" applyFill="1" applyBorder="1" applyAlignment="1">
      <alignment horizontal="center" vertical="center" wrapText="1"/>
    </xf>
    <xf numFmtId="0" fontId="98" fillId="2" borderId="0" xfId="0" applyFont="1" applyFill="1" applyAlignment="1">
      <alignment horizontal="center"/>
    </xf>
    <xf numFmtId="0" fontId="2" fillId="3" borderId="53" xfId="0" applyFont="1" applyFill="1" applyBorder="1" applyAlignment="1">
      <alignment horizontal="center" vertical="center" wrapText="1"/>
    </xf>
    <xf numFmtId="0" fontId="2" fillId="3" borderId="80" xfId="0" applyFont="1" applyFill="1" applyBorder="1" applyAlignment="1">
      <alignment horizontal="center" vertical="center" wrapText="1"/>
    </xf>
    <xf numFmtId="0" fontId="123" fillId="14" borderId="68" xfId="0" applyFont="1" applyFill="1" applyBorder="1" applyAlignment="1">
      <alignment horizontal="center" vertical="center"/>
    </xf>
    <xf numFmtId="0" fontId="123" fillId="14" borderId="69" xfId="0" applyFont="1" applyFill="1" applyBorder="1" applyAlignment="1">
      <alignment horizontal="center" vertical="center"/>
    </xf>
    <xf numFmtId="0" fontId="123" fillId="14" borderId="71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80" xfId="0" applyFont="1" applyFill="1" applyBorder="1" applyAlignment="1">
      <alignment horizontal="center" vertical="center"/>
    </xf>
    <xf numFmtId="0" fontId="123" fillId="15" borderId="68" xfId="0" applyFont="1" applyFill="1" applyBorder="1" applyAlignment="1">
      <alignment horizontal="center" vertical="center" wrapText="1"/>
    </xf>
    <xf numFmtId="0" fontId="123" fillId="15" borderId="69" xfId="0" applyFont="1" applyFill="1" applyBorder="1" applyAlignment="1">
      <alignment horizontal="center" vertical="center" wrapText="1"/>
    </xf>
    <xf numFmtId="0" fontId="123" fillId="15" borderId="71" xfId="0" applyFont="1" applyFill="1" applyBorder="1" applyAlignment="1">
      <alignment horizontal="center" vertical="center" wrapText="1"/>
    </xf>
    <xf numFmtId="0" fontId="127" fillId="2" borderId="0" xfId="0" applyFont="1" applyFill="1" applyAlignment="1">
      <alignment horizontal="center"/>
    </xf>
    <xf numFmtId="0" fontId="128" fillId="2" borderId="0" xfId="0" applyFont="1" applyFill="1" applyAlignment="1">
      <alignment horizontal="center"/>
    </xf>
    <xf numFmtId="0" fontId="129" fillId="21" borderId="0" xfId="0" applyFont="1" applyFill="1" applyAlignment="1">
      <alignment horizontal="center"/>
    </xf>
    <xf numFmtId="0" fontId="11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55" fillId="16" borderId="68" xfId="0" applyFont="1" applyFill="1" applyBorder="1" applyAlignment="1">
      <alignment horizontal="center" vertical="center" wrapText="1"/>
    </xf>
    <xf numFmtId="0" fontId="55" fillId="16" borderId="69" xfId="0" applyFont="1" applyFill="1" applyBorder="1" applyAlignment="1">
      <alignment horizontal="center" vertical="center" wrapText="1"/>
    </xf>
    <xf numFmtId="0" fontId="55" fillId="16" borderId="71" xfId="0" applyFont="1" applyFill="1" applyBorder="1" applyAlignment="1">
      <alignment horizontal="center" vertical="center" wrapText="1"/>
    </xf>
    <xf numFmtId="0" fontId="55" fillId="13" borderId="68" xfId="0" applyFont="1" applyFill="1" applyBorder="1" applyAlignment="1">
      <alignment horizontal="center" vertical="center" wrapText="1"/>
    </xf>
    <xf numFmtId="0" fontId="55" fillId="13" borderId="69" xfId="0" applyFont="1" applyFill="1" applyBorder="1" applyAlignment="1">
      <alignment horizontal="center" vertical="center" wrapText="1"/>
    </xf>
    <xf numFmtId="0" fontId="55" fillId="13" borderId="71" xfId="0" applyFont="1" applyFill="1" applyBorder="1" applyAlignment="1">
      <alignment horizontal="center" vertical="center" wrapText="1"/>
    </xf>
    <xf numFmtId="0" fontId="55" fillId="14" borderId="68" xfId="0" applyFont="1" applyFill="1" applyBorder="1" applyAlignment="1">
      <alignment horizontal="center" vertical="center"/>
    </xf>
    <xf numFmtId="0" fontId="55" fillId="14" borderId="69" xfId="0" applyFont="1" applyFill="1" applyBorder="1" applyAlignment="1">
      <alignment horizontal="center" vertical="center"/>
    </xf>
    <xf numFmtId="0" fontId="55" fillId="14" borderId="71" xfId="0" applyFont="1" applyFill="1" applyBorder="1" applyAlignment="1">
      <alignment horizontal="center" vertical="center"/>
    </xf>
    <xf numFmtId="0" fontId="55" fillId="15" borderId="68" xfId="0" applyFont="1" applyFill="1" applyBorder="1" applyAlignment="1">
      <alignment horizontal="center" vertical="center" wrapText="1"/>
    </xf>
    <xf numFmtId="0" fontId="55" fillId="15" borderId="69" xfId="0" applyFont="1" applyFill="1" applyBorder="1" applyAlignment="1">
      <alignment horizontal="center" vertical="center" wrapText="1"/>
    </xf>
    <xf numFmtId="0" fontId="55" fillId="15" borderId="71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112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115" fillId="2" borderId="0" xfId="0" applyFont="1" applyFill="1" applyAlignment="1">
      <alignment horizontal="center"/>
    </xf>
    <xf numFmtId="0" fontId="55" fillId="14" borderId="52" xfId="0" applyFont="1" applyFill="1" applyBorder="1" applyAlignment="1">
      <alignment horizontal="center" vertical="center"/>
    </xf>
    <xf numFmtId="0" fontId="55" fillId="14" borderId="72" xfId="0" applyFont="1" applyFill="1" applyBorder="1" applyAlignment="1">
      <alignment horizontal="center" vertical="center"/>
    </xf>
    <xf numFmtId="0" fontId="55" fillId="14" borderId="73" xfId="0" applyFont="1" applyFill="1" applyBorder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5" fillId="13" borderId="52" xfId="0" applyFont="1" applyFill="1" applyBorder="1" applyAlignment="1">
      <alignment horizontal="center" vertical="center"/>
    </xf>
    <xf numFmtId="0" fontId="55" fillId="13" borderId="72" xfId="0" applyFont="1" applyFill="1" applyBorder="1" applyAlignment="1">
      <alignment horizontal="center" vertical="center"/>
    </xf>
    <xf numFmtId="0" fontId="55" fillId="13" borderId="73" xfId="0" applyFont="1" applyFill="1" applyBorder="1" applyAlignment="1">
      <alignment horizontal="center" vertical="center"/>
    </xf>
    <xf numFmtId="0" fontId="53" fillId="16" borderId="52" xfId="0" applyFont="1" applyFill="1" applyBorder="1" applyAlignment="1">
      <alignment horizontal="center" vertical="center"/>
    </xf>
    <xf numFmtId="0" fontId="53" fillId="16" borderId="72" xfId="0" applyFont="1" applyFill="1" applyBorder="1" applyAlignment="1">
      <alignment horizontal="center" vertical="center"/>
    </xf>
    <xf numFmtId="0" fontId="53" fillId="16" borderId="73" xfId="0" applyFont="1" applyFill="1" applyBorder="1" applyAlignment="1">
      <alignment horizontal="center" vertical="center"/>
    </xf>
    <xf numFmtId="0" fontId="53" fillId="3" borderId="52" xfId="0" applyFont="1" applyFill="1" applyBorder="1" applyAlignment="1">
      <alignment horizontal="center" vertical="center"/>
    </xf>
    <xf numFmtId="0" fontId="53" fillId="3" borderId="72" xfId="0" applyFont="1" applyFill="1" applyBorder="1" applyAlignment="1">
      <alignment horizontal="center" vertical="center"/>
    </xf>
    <xf numFmtId="0" fontId="53" fillId="3" borderId="73" xfId="0" applyFont="1" applyFill="1" applyBorder="1" applyAlignment="1">
      <alignment horizontal="center" vertical="center"/>
    </xf>
    <xf numFmtId="0" fontId="103" fillId="17" borderId="52" xfId="0" applyFont="1" applyFill="1" applyBorder="1" applyAlignment="1">
      <alignment horizontal="center" vertical="center"/>
    </xf>
    <xf numFmtId="0" fontId="103" fillId="17" borderId="72" xfId="0" applyFont="1" applyFill="1" applyBorder="1" applyAlignment="1">
      <alignment horizontal="center" vertical="center"/>
    </xf>
    <xf numFmtId="0" fontId="103" fillId="17" borderId="73" xfId="0" applyFont="1" applyFill="1" applyBorder="1" applyAlignment="1">
      <alignment horizontal="center" vertical="center"/>
    </xf>
    <xf numFmtId="0" fontId="53" fillId="13" borderId="52" xfId="0" applyFont="1" applyFill="1" applyBorder="1" applyAlignment="1">
      <alignment horizontal="center" vertical="center"/>
    </xf>
    <xf numFmtId="0" fontId="53" fillId="13" borderId="72" xfId="0" applyFont="1" applyFill="1" applyBorder="1" applyAlignment="1">
      <alignment horizontal="center" vertical="center"/>
    </xf>
    <xf numFmtId="0" fontId="53" fillId="13" borderId="73" xfId="0" applyFont="1" applyFill="1" applyBorder="1" applyAlignment="1">
      <alignment horizontal="center" vertical="center"/>
    </xf>
    <xf numFmtId="0" fontId="99" fillId="2" borderId="78" xfId="0" applyFont="1" applyFill="1" applyBorder="1" applyAlignment="1">
      <alignment horizontal="center" vertical="center"/>
    </xf>
    <xf numFmtId="0" fontId="99" fillId="2" borderId="0" xfId="0" applyFont="1" applyFill="1" applyAlignment="1">
      <alignment horizontal="center" vertical="center"/>
    </xf>
    <xf numFmtId="0" fontId="101" fillId="20" borderId="52" xfId="0" applyFont="1" applyFill="1" applyBorder="1" applyAlignment="1">
      <alignment horizontal="center" vertical="center"/>
    </xf>
    <xf numFmtId="0" fontId="101" fillId="20" borderId="72" xfId="0" applyFont="1" applyFill="1" applyBorder="1" applyAlignment="1">
      <alignment horizontal="center" vertical="center"/>
    </xf>
    <xf numFmtId="0" fontId="101" fillId="20" borderId="73" xfId="0" applyFont="1" applyFill="1" applyBorder="1" applyAlignment="1">
      <alignment horizontal="center" vertical="center"/>
    </xf>
    <xf numFmtId="0" fontId="102" fillId="19" borderId="52" xfId="0" applyFont="1" applyFill="1" applyBorder="1" applyAlignment="1">
      <alignment horizontal="center" vertical="center"/>
    </xf>
    <xf numFmtId="0" fontId="102" fillId="19" borderId="72" xfId="0" applyFont="1" applyFill="1" applyBorder="1" applyAlignment="1">
      <alignment horizontal="center" vertical="center"/>
    </xf>
    <xf numFmtId="0" fontId="102" fillId="19" borderId="73" xfId="0" applyFont="1" applyFill="1" applyBorder="1" applyAlignment="1">
      <alignment horizontal="center" vertical="center"/>
    </xf>
    <xf numFmtId="0" fontId="100" fillId="18" borderId="52" xfId="0" applyFont="1" applyFill="1" applyBorder="1" applyAlignment="1">
      <alignment horizontal="center" vertical="center"/>
    </xf>
    <xf numFmtId="0" fontId="100" fillId="18" borderId="72" xfId="0" applyFont="1" applyFill="1" applyBorder="1" applyAlignment="1">
      <alignment horizontal="center" vertical="center"/>
    </xf>
    <xf numFmtId="0" fontId="100" fillId="18" borderId="73" xfId="0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55" fillId="14" borderId="52" xfId="0" applyFont="1" applyFill="1" applyBorder="1" applyAlignment="1">
      <alignment horizontal="center" vertical="center" wrapText="1"/>
    </xf>
    <xf numFmtId="0" fontId="55" fillId="14" borderId="72" xfId="0" applyFont="1" applyFill="1" applyBorder="1" applyAlignment="1">
      <alignment horizontal="center" vertical="center" wrapText="1"/>
    </xf>
    <xf numFmtId="0" fontId="55" fillId="14" borderId="73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108" fillId="2" borderId="0" xfId="0" applyFont="1" applyFill="1" applyAlignment="1">
      <alignment horizontal="center" vertical="center"/>
    </xf>
    <xf numFmtId="0" fontId="55" fillId="13" borderId="72" xfId="0" applyFont="1" applyFill="1" applyBorder="1" applyAlignment="1">
      <alignment horizontal="center" vertical="center" wrapText="1"/>
    </xf>
    <xf numFmtId="0" fontId="55" fillId="13" borderId="73" xfId="0" applyFont="1" applyFill="1" applyBorder="1" applyAlignment="1">
      <alignment horizontal="center" vertical="center" wrapText="1"/>
    </xf>
    <xf numFmtId="0" fontId="106" fillId="2" borderId="0" xfId="0" applyFont="1" applyFill="1" applyAlignment="1">
      <alignment horizontal="center" vertical="center"/>
    </xf>
    <xf numFmtId="0" fontId="10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5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342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png"/><Relationship Id="rId1" Type="http://schemas.openxmlformats.org/officeDocument/2006/relationships/image" Target="../media/image5.jpg"/><Relationship Id="rId4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32471</xdr:colOff>
      <xdr:row>0</xdr:row>
      <xdr:rowOff>446713</xdr:rowOff>
    </xdr:from>
    <xdr:to>
      <xdr:col>3</xdr:col>
      <xdr:colOff>995847</xdr:colOff>
      <xdr:row>4</xdr:row>
      <xdr:rowOff>38756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50171" y="446713"/>
          <a:ext cx="963376" cy="1071035"/>
        </a:xfrm>
        <a:prstGeom prst="rect">
          <a:avLst/>
        </a:prstGeom>
      </xdr:spPr>
    </xdr:pic>
    <xdr:clientData/>
  </xdr:twoCellAnchor>
  <xdr:twoCellAnchor editAs="oneCell">
    <xdr:from>
      <xdr:col>7</xdr:col>
      <xdr:colOff>972267</xdr:colOff>
      <xdr:row>0</xdr:row>
      <xdr:rowOff>465763</xdr:rowOff>
    </xdr:from>
    <xdr:to>
      <xdr:col>7</xdr:col>
      <xdr:colOff>1935643</xdr:colOff>
      <xdr:row>4</xdr:row>
      <xdr:rowOff>57806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265117" y="465763"/>
          <a:ext cx="963376" cy="1071035"/>
        </a:xfrm>
        <a:prstGeom prst="rect">
          <a:avLst/>
        </a:prstGeom>
      </xdr:spPr>
    </xdr:pic>
    <xdr:clientData/>
  </xdr:twoCellAnchor>
  <xdr:twoCellAnchor editAs="oneCell">
    <xdr:from>
      <xdr:col>5</xdr:col>
      <xdr:colOff>1825450</xdr:colOff>
      <xdr:row>5</xdr:row>
      <xdr:rowOff>25121</xdr:rowOff>
    </xdr:from>
    <xdr:to>
      <xdr:col>7</xdr:col>
      <xdr:colOff>1892439</xdr:colOff>
      <xdr:row>9</xdr:row>
      <xdr:rowOff>72551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5970395" y="1666352"/>
          <a:ext cx="2227385" cy="266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50</xdr:row>
      <xdr:rowOff>133350</xdr:rowOff>
    </xdr:from>
    <xdr:to>
      <xdr:col>14</xdr:col>
      <xdr:colOff>660304</xdr:colOff>
      <xdr:row>57</xdr:row>
      <xdr:rowOff>171450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67900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315712</xdr:colOff>
      <xdr:row>0</xdr:row>
      <xdr:rowOff>228599</xdr:rowOff>
    </xdr:from>
    <xdr:to>
      <xdr:col>3</xdr:col>
      <xdr:colOff>354399</xdr:colOff>
      <xdr:row>3</xdr:row>
      <xdr:rowOff>342719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66232" y="228599"/>
          <a:ext cx="1311227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350520</xdr:colOff>
      <xdr:row>0</xdr:row>
      <xdr:rowOff>106679</xdr:rowOff>
    </xdr:from>
    <xdr:to>
      <xdr:col>18</xdr:col>
      <xdr:colOff>1456915</xdr:colOff>
      <xdr:row>5</xdr:row>
      <xdr:rowOff>18779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06679"/>
          <a:ext cx="2096995" cy="21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346711</xdr:colOff>
      <xdr:row>0</xdr:row>
      <xdr:rowOff>60960</xdr:rowOff>
    </xdr:from>
    <xdr:to>
      <xdr:col>3</xdr:col>
      <xdr:colOff>243752</xdr:colOff>
      <xdr:row>4</xdr:row>
      <xdr:rowOff>53160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7231" y="60960"/>
          <a:ext cx="1367701" cy="14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746760</xdr:colOff>
      <xdr:row>0</xdr:row>
      <xdr:rowOff>91440</xdr:rowOff>
    </xdr:from>
    <xdr:to>
      <xdr:col>16</xdr:col>
      <xdr:colOff>1686026</xdr:colOff>
      <xdr:row>5</xdr:row>
      <xdr:rowOff>151200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91440"/>
          <a:ext cx="1922246" cy="198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69055</xdr:colOff>
      <xdr:row>0</xdr:row>
      <xdr:rowOff>59530</xdr:rowOff>
    </xdr:from>
    <xdr:to>
      <xdr:col>1</xdr:col>
      <xdr:colOff>410520</xdr:colOff>
      <xdr:row>3</xdr:row>
      <xdr:rowOff>263661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307300" cy="146143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0</xdr:row>
      <xdr:rowOff>47624</xdr:rowOff>
    </xdr:from>
    <xdr:to>
      <xdr:col>8</xdr:col>
      <xdr:colOff>647700</xdr:colOff>
      <xdr:row>4</xdr:row>
      <xdr:rowOff>355494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7219950" y="47624"/>
          <a:ext cx="1704975" cy="1993795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17</xdr:row>
      <xdr:rowOff>19050</xdr:rowOff>
    </xdr:from>
    <xdr:to>
      <xdr:col>31</xdr:col>
      <xdr:colOff>195672</xdr:colOff>
      <xdr:row>23</xdr:row>
      <xdr:rowOff>460650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6267450"/>
          <a:ext cx="3129372" cy="288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0</xdr:row>
      <xdr:rowOff>0</xdr:rowOff>
    </xdr:from>
    <xdr:to>
      <xdr:col>20</xdr:col>
      <xdr:colOff>28575</xdr:colOff>
      <xdr:row>6</xdr:row>
      <xdr:rowOff>19050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1CE3CEB-7D70-4744-8A35-EF659F1B79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1319"/>
        <a:stretch/>
      </xdr:blipFill>
      <xdr:spPr>
        <a:xfrm>
          <a:off x="11191875" y="0"/>
          <a:ext cx="5534025" cy="23431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1885950</xdr:colOff>
      <xdr:row>0</xdr:row>
      <xdr:rowOff>47625</xdr:rowOff>
    </xdr:from>
    <xdr:to>
      <xdr:col>8</xdr:col>
      <xdr:colOff>685800</xdr:colOff>
      <xdr:row>5</xdr:row>
      <xdr:rowOff>158385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7124700" y="47625"/>
          <a:ext cx="1609725" cy="1882410"/>
        </a:xfrm>
        <a:prstGeom prst="rect">
          <a:avLst/>
        </a:prstGeom>
      </xdr:spPr>
    </xdr:pic>
    <xdr:clientData/>
  </xdr:twoCellAnchor>
  <xdr:twoCellAnchor editAs="oneCell">
    <xdr:from>
      <xdr:col>10</xdr:col>
      <xdr:colOff>1771650</xdr:colOff>
      <xdr:row>0</xdr:row>
      <xdr:rowOff>38100</xdr:rowOff>
    </xdr:from>
    <xdr:to>
      <xdr:col>14</xdr:col>
      <xdr:colOff>304800</xdr:colOff>
      <xdr:row>5</xdr:row>
      <xdr:rowOff>148860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0782300" y="38100"/>
          <a:ext cx="1609725" cy="18824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47626</xdr:rowOff>
    </xdr:from>
    <xdr:to>
      <xdr:col>7</xdr:col>
      <xdr:colOff>498627</xdr:colOff>
      <xdr:row>4</xdr:row>
      <xdr:rowOff>99357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354127" y="47626"/>
          <a:ext cx="1337780" cy="1461431"/>
        </a:xfrm>
        <a:prstGeom prst="rect">
          <a:avLst/>
        </a:prstGeom>
      </xdr:spPr>
    </xdr:pic>
    <xdr:clientData/>
  </xdr:twoCellAnchor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307300" cy="1461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willi/Dropbox/campeonato%202015/CAMPEONATO%20NACIONAL/TORNEOS%20NACIONALES/Nueva%20carpeta/Nacional%202016/FIXTURES%20TORNEOS/FIXTURE%20PROPIOS/FIXTURE%20DE%2016%20EQUIPOS%20CON%204%20PARTIDOS/7%20EQUIPOS%201%20GRUPO%204%20PARTIDOS%20%202%20semif%202%20final.xlsx?14DA1656" TargetMode="External"/><Relationship Id="rId1" Type="http://schemas.openxmlformats.org/officeDocument/2006/relationships/externalLinkPath" Target="file:///\\14DA1656\7%20EQUIPOS%201%20GRUPO%204%20PARTIDOS%20%202%20semif%2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/>
      <sheetData sheetId="1">
        <row r="50">
          <cell r="G50"/>
          <cell r="I50"/>
        </row>
        <row r="53">
          <cell r="G53"/>
          <cell r="I53"/>
        </row>
        <row r="54">
          <cell r="G54"/>
          <cell r="I54"/>
        </row>
        <row r="57">
          <cell r="G57"/>
          <cell r="I5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4"/>
  <sheetViews>
    <sheetView tabSelected="1" zoomScale="91" zoomScaleNormal="91" workbookViewId="0">
      <selection activeCell="D7" sqref="D7:D10"/>
    </sheetView>
  </sheetViews>
  <sheetFormatPr baseColWidth="10" defaultColWidth="11.44140625" defaultRowHeight="14.4" x14ac:dyDescent="0.3"/>
  <cols>
    <col min="1" max="1" width="3.88671875" style="3" customWidth="1"/>
    <col min="2" max="2" width="20.77734375" style="3" customWidth="1"/>
    <col min="3" max="3" width="3.33203125" style="3" customWidth="1"/>
    <col min="4" max="4" width="29.5546875" style="3" customWidth="1"/>
    <col min="5" max="5" width="2.88671875" style="3" customWidth="1"/>
    <col min="6" max="6" width="28.5546875" style="3" customWidth="1"/>
    <col min="7" max="7" width="2.88671875" style="3" customWidth="1"/>
    <col min="8" max="8" width="28.5546875" style="3" customWidth="1"/>
    <col min="9" max="9" width="3.44140625" style="3" customWidth="1"/>
    <col min="10" max="10" width="12.44140625" style="3" bestFit="1" customWidth="1"/>
    <col min="11" max="11" width="15.6640625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C1" s="255" t="s">
        <v>148</v>
      </c>
      <c r="D1" s="255"/>
      <c r="E1" s="255"/>
      <c r="F1" s="255"/>
      <c r="G1" s="255"/>
      <c r="H1" s="255"/>
      <c r="I1" s="255"/>
      <c r="J1" s="72"/>
      <c r="K1" s="72"/>
    </row>
    <row r="2" spans="2:13" ht="26.4" customHeight="1" x14ac:dyDescent="0.3">
      <c r="C2" s="256" t="s">
        <v>145</v>
      </c>
      <c r="D2" s="256"/>
      <c r="E2" s="256"/>
      <c r="F2" s="256"/>
      <c r="G2" s="256"/>
      <c r="H2" s="256"/>
      <c r="I2" s="256"/>
      <c r="J2" s="72"/>
      <c r="K2" s="72"/>
    </row>
    <row r="3" spans="2:13" ht="30" customHeight="1" x14ac:dyDescent="0.7">
      <c r="C3" s="257"/>
      <c r="D3" s="257"/>
      <c r="E3" s="257"/>
      <c r="F3" s="257"/>
      <c r="G3" s="257"/>
      <c r="H3" s="257"/>
      <c r="I3" s="257"/>
      <c r="J3" s="72"/>
      <c r="K3" s="72"/>
    </row>
    <row r="4" spans="2:13" ht="23.4" customHeight="1" x14ac:dyDescent="0.4">
      <c r="C4" s="258" t="s">
        <v>149</v>
      </c>
      <c r="D4" s="258"/>
      <c r="E4" s="258"/>
      <c r="F4" s="258"/>
      <c r="G4" s="258"/>
      <c r="H4" s="258"/>
      <c r="I4" s="258"/>
      <c r="J4" s="72"/>
      <c r="K4" s="72"/>
    </row>
    <row r="5" spans="2:13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</row>
    <row r="6" spans="2:13" ht="25.8" thickBot="1" x14ac:dyDescent="0.5">
      <c r="D6" s="248" t="s">
        <v>0</v>
      </c>
      <c r="E6" s="4"/>
      <c r="H6" s="230" t="s">
        <v>1</v>
      </c>
    </row>
    <row r="7" spans="2:13" ht="60" customHeight="1" thickBot="1" x14ac:dyDescent="0.45">
      <c r="C7" s="195"/>
      <c r="D7" s="251" t="s">
        <v>151</v>
      </c>
      <c r="E7" s="194"/>
      <c r="H7" s="231" t="s">
        <v>140</v>
      </c>
    </row>
    <row r="8" spans="2:13" ht="60" customHeight="1" thickBot="1" x14ac:dyDescent="1.1000000000000001">
      <c r="C8" s="195"/>
      <c r="D8" s="251" t="s">
        <v>152</v>
      </c>
      <c r="E8" s="194"/>
      <c r="F8" s="221">
        <v>2024</v>
      </c>
      <c r="H8" s="231" t="s">
        <v>128</v>
      </c>
      <c r="J8" s="35"/>
    </row>
    <row r="9" spans="2:13" ht="60" customHeight="1" x14ac:dyDescent="0.4">
      <c r="C9" s="195"/>
      <c r="D9" s="252" t="s">
        <v>153</v>
      </c>
      <c r="E9" s="194"/>
      <c r="H9" s="231" t="s">
        <v>129</v>
      </c>
      <c r="J9" s="35"/>
    </row>
    <row r="10" spans="2:13" ht="60" customHeight="1" thickBot="1" x14ac:dyDescent="0.45">
      <c r="C10" s="195"/>
      <c r="D10" s="251" t="s">
        <v>154</v>
      </c>
      <c r="E10" s="194"/>
      <c r="F10" s="259" t="s">
        <v>150</v>
      </c>
      <c r="G10" s="259"/>
      <c r="H10" s="259"/>
      <c r="I10" s="247"/>
      <c r="J10" s="247"/>
    </row>
    <row r="11" spans="2:13" ht="9.75" customHeight="1" x14ac:dyDescent="0.35">
      <c r="B11" s="2"/>
      <c r="C11" s="1"/>
      <c r="D11" s="1"/>
      <c r="F11" s="1"/>
      <c r="G11" s="2"/>
      <c r="H11" s="232"/>
      <c r="I11" s="2"/>
      <c r="J11" s="2"/>
      <c r="K11" s="1"/>
      <c r="L11" s="1"/>
    </row>
    <row r="12" spans="2:13" ht="47.25" customHeight="1" x14ac:dyDescent="0.35">
      <c r="C12" s="1"/>
      <c r="I12" s="2"/>
      <c r="J12" s="2"/>
      <c r="K12" s="1"/>
      <c r="L12" s="1"/>
    </row>
    <row r="13" spans="2:13" ht="33.75" customHeight="1" x14ac:dyDescent="0.85">
      <c r="C13" s="49"/>
      <c r="J13" s="2"/>
    </row>
    <row r="14" spans="2:13" x14ac:dyDescent="0.3">
      <c r="K14" s="1"/>
      <c r="L14" s="1"/>
      <c r="M14" s="1"/>
    </row>
  </sheetData>
  <mergeCells count="5">
    <mergeCell ref="C1:I1"/>
    <mergeCell ref="C2:I2"/>
    <mergeCell ref="C3:I3"/>
    <mergeCell ref="C4:I4"/>
    <mergeCell ref="F10:H10"/>
  </mergeCells>
  <hyperlinks>
    <hyperlink ref="D6" location="'GRUPO A'!A1" display="GRUPO A" xr:uid="{00000000-0004-0000-0000-000000000000}"/>
    <hyperlink ref="H6" location="'GRUPO B'!A1" display="GRUPO B" xr:uid="{00000000-0004-0000-0000-000001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4" zoomScale="90" zoomScaleNormal="90" workbookViewId="0">
      <selection activeCell="I22" sqref="I22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09" t="str">
        <f>+'GRUPOS INFANTIL'!C1</f>
        <v>XVIII Campeonato Nacional de Fútbol Infantil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38" s="3" customFormat="1" ht="24.6" x14ac:dyDescent="0.3">
      <c r="A2" s="310" t="s">
        <v>6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</row>
    <row r="3" spans="1:38" s="3" customFormat="1" ht="34.799999999999997" x14ac:dyDescent="0.65">
      <c r="B3" s="311">
        <f>+'GRUPOS INFANTIL'!C3</f>
        <v>0</v>
      </c>
      <c r="C3" s="311"/>
      <c r="D3" s="311"/>
      <c r="E3" s="311"/>
      <c r="F3" s="258" t="str">
        <f>+'GRUPOS INFANTIL'!C4</f>
        <v>NACIDOS 2017 2018</v>
      </c>
      <c r="G3" s="258"/>
      <c r="H3" s="258"/>
      <c r="I3" s="258"/>
      <c r="J3" s="258"/>
      <c r="K3" s="258"/>
      <c r="Y3" s="45"/>
    </row>
    <row r="4" spans="1:38" s="3" customFormat="1" ht="30.75" customHeight="1" x14ac:dyDescent="0.3">
      <c r="B4" s="297" t="str">
        <f>+'GRUPOS INFANTIL'!D6</f>
        <v>GRUPO A</v>
      </c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Y4" s="46"/>
    </row>
    <row r="5" spans="1:38" s="3" customFormat="1" ht="15" customHeight="1" x14ac:dyDescent="0.3"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15"/>
      <c r="O5" s="15"/>
      <c r="S5" s="1"/>
    </row>
    <row r="6" spans="1:38" ht="21.75" customHeight="1" x14ac:dyDescent="0.45">
      <c r="A6" s="1"/>
      <c r="B6" s="314" t="s">
        <v>4</v>
      </c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18"/>
      <c r="O6" s="18"/>
      <c r="P6" s="312" t="s">
        <v>14</v>
      </c>
      <c r="Q6" s="313"/>
      <c r="R6" s="313"/>
      <c r="S6" s="313"/>
      <c r="T6" s="313"/>
      <c r="U6" s="313"/>
      <c r="V6" s="313"/>
      <c r="W6" s="313"/>
      <c r="X6" s="313"/>
      <c r="Y6" s="313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12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2"/>
      <c r="B8" s="55"/>
      <c r="C8" s="51"/>
      <c r="D8" s="282"/>
      <c r="E8" s="283"/>
      <c r="F8" s="267" t="str">
        <f>IF(AND(G8&lt;&gt;"",I8&lt;&gt;""),IF(G8=I8,"E",IF(G8&gt;I8,"G","P")),"")</f>
        <v/>
      </c>
      <c r="G8" s="268"/>
      <c r="H8" s="270" t="s">
        <v>15</v>
      </c>
      <c r="I8" s="268"/>
      <c r="J8" s="267" t="str">
        <f>IF(AND(I8&lt;&gt;"",G8&lt;&gt;""),IF(I8=G8,"E",IF(I8&gt;G8,"G","P")),"")</f>
        <v/>
      </c>
      <c r="K8" s="283"/>
      <c r="L8" s="284"/>
      <c r="M8" s="110"/>
      <c r="N8" s="114"/>
      <c r="O8" s="67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7"/>
      <c r="AB8" s="289"/>
      <c r="AC8" s="289"/>
      <c r="AD8" s="289"/>
      <c r="AE8" s="289"/>
      <c r="AF8" s="289" t="s">
        <v>11</v>
      </c>
      <c r="AG8" s="289" t="s">
        <v>12</v>
      </c>
      <c r="AH8" s="289" t="s">
        <v>138</v>
      </c>
      <c r="AI8" s="27"/>
      <c r="AJ8" s="289">
        <f>IF(AJ6=12,IF(INDEX(Z22:AK29,MATCH(2,Z21:Z29,0),11)=INDEX(Z22:AK29,MATCH(1,Z21:Z29,0),11),1,0),0)</f>
        <v>0</v>
      </c>
      <c r="AK8" s="3"/>
      <c r="AL8" s="3"/>
    </row>
    <row r="9" spans="1:38" ht="15" customHeight="1" x14ac:dyDescent="0.3">
      <c r="A9" s="65"/>
      <c r="B9" s="55"/>
      <c r="C9" s="51"/>
      <c r="D9" s="282"/>
      <c r="E9" s="283"/>
      <c r="F9" s="267"/>
      <c r="G9" s="269"/>
      <c r="H9" s="270"/>
      <c r="I9" s="269"/>
      <c r="J9" s="267"/>
      <c r="K9" s="283"/>
      <c r="L9" s="284"/>
      <c r="M9" s="53"/>
      <c r="N9" s="66"/>
      <c r="O9" s="66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7"/>
      <c r="AB9" s="290"/>
      <c r="AC9" s="290"/>
      <c r="AD9" s="290"/>
      <c r="AE9" s="290"/>
      <c r="AF9" s="290"/>
      <c r="AG9" s="290"/>
      <c r="AH9" s="290"/>
      <c r="AI9" s="27"/>
      <c r="AJ9" s="289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272" t="str">
        <f>"  1)  " &amp; VLOOKUP(1,$Z$10:$AI$17,2,0)</f>
        <v xml:space="preserve">  1)  ASTON HUILA</v>
      </c>
      <c r="Q10" s="274">
        <f>VLOOKUP(1,$Z$10:$AI$17,3,0)</f>
        <v>7</v>
      </c>
      <c r="R10" s="276">
        <f>+SUM(S10:U11)</f>
        <v>3</v>
      </c>
      <c r="S10" s="278">
        <f>VLOOKUP(1,$Z$10:$AI$17,4,0)</f>
        <v>2</v>
      </c>
      <c r="T10" s="278">
        <f>VLOOKUP(1,$Z$10:$AI$17,5,0)</f>
        <v>1</v>
      </c>
      <c r="U10" s="278">
        <f>VLOOKUP(1,$Z$10:$AI$17,6,0)</f>
        <v>0</v>
      </c>
      <c r="V10" s="278">
        <f>VLOOKUP(1,$Z$10:$AI$17,7,0)</f>
        <v>12</v>
      </c>
      <c r="W10" s="278">
        <f>VLOOKUP(1,$Z$10:$AI$17,8,0)</f>
        <v>2</v>
      </c>
      <c r="X10" s="278">
        <f>VLOOKUP(1,$Z$10:$AH$17,9,0)</f>
        <v>10</v>
      </c>
      <c r="Y10" s="278">
        <f>VLOOKUP(1,$Z$10:$AI$17,10,0)</f>
        <v>0</v>
      </c>
      <c r="Z10" s="280">
        <f>RANK(AJ10,$AJ$10:$AJ$17,0)</f>
        <v>1</v>
      </c>
      <c r="AA10" s="260" t="str">
        <f>+'GRUPOS INFANTIL'!D7</f>
        <v>ASTON HUILA</v>
      </c>
      <c r="AB10" s="260">
        <f>(AC10*3)+AD10</f>
        <v>7</v>
      </c>
      <c r="AC10" s="260">
        <f>COUNTIF(Q58:T58,"G")+AC19</f>
        <v>2</v>
      </c>
      <c r="AD10" s="260">
        <f>COUNTIF(Q58:T58,"E")+AD19</f>
        <v>1</v>
      </c>
      <c r="AE10" s="260">
        <f>COUNTIF(Q58:T58,"P")+AE19</f>
        <v>0</v>
      </c>
      <c r="AF10" s="260">
        <f>+G8+G20+G26+G35+AF19</f>
        <v>12</v>
      </c>
      <c r="AG10" s="260">
        <f>+I8+I20+I26+I35+AG19</f>
        <v>2</v>
      </c>
      <c r="AH10" s="260">
        <f>AF10-AG10</f>
        <v>10</v>
      </c>
      <c r="AI10" s="262">
        <f>+A8+A20+A26+A35+AI19</f>
        <v>0</v>
      </c>
      <c r="AJ10" s="260">
        <f>(AB10*1000)+(AH10*100)+(AF10*10)-AI10+0.1</f>
        <v>8120.1</v>
      </c>
      <c r="AK10" s="263">
        <f>AJ10+X10</f>
        <v>8130.1</v>
      </c>
      <c r="AL10" s="3"/>
    </row>
    <row r="11" spans="1:38" ht="15.75" customHeight="1" x14ac:dyDescent="0.3">
      <c r="A11" s="113"/>
      <c r="B11" s="56"/>
      <c r="C11" s="52"/>
      <c r="D11" s="265"/>
      <c r="E11" s="266"/>
      <c r="F11" s="267" t="str">
        <f>IF(AND(G11&lt;&gt;"",I11&lt;&gt;""),IF(G11=I11,"E",IF(G11&gt;I11,"G","P")),"")</f>
        <v/>
      </c>
      <c r="G11" s="268"/>
      <c r="H11" s="270" t="s">
        <v>15</v>
      </c>
      <c r="I11" s="268"/>
      <c r="J11" s="267" t="str">
        <f>IF(AND(I11&lt;&gt;"",G11&lt;&gt;""),IF(I11=G11,"E",IF(I11&gt;G11,"G","P")),"")</f>
        <v/>
      </c>
      <c r="K11" s="266"/>
      <c r="L11" s="271"/>
      <c r="M11" s="111"/>
      <c r="N11" s="115"/>
      <c r="O11" s="67"/>
      <c r="P11" s="273"/>
      <c r="Q11" s="275"/>
      <c r="R11" s="277"/>
      <c r="S11" s="279"/>
      <c r="T11" s="279"/>
      <c r="U11" s="279"/>
      <c r="V11" s="279"/>
      <c r="W11" s="279"/>
      <c r="X11" s="279"/>
      <c r="Y11" s="279"/>
      <c r="Z11" s="28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4"/>
      <c r="AL11" s="3"/>
    </row>
    <row r="12" spans="1:38" ht="15.75" customHeight="1" x14ac:dyDescent="0.3">
      <c r="A12" s="65"/>
      <c r="B12" s="56"/>
      <c r="C12" s="52"/>
      <c r="D12" s="265"/>
      <c r="E12" s="266"/>
      <c r="F12" s="267"/>
      <c r="G12" s="269"/>
      <c r="H12" s="270"/>
      <c r="I12" s="269"/>
      <c r="J12" s="267"/>
      <c r="K12" s="266"/>
      <c r="L12" s="271"/>
      <c r="M12" s="54"/>
      <c r="N12" s="66"/>
      <c r="O12" s="66"/>
      <c r="P12" s="272" t="str">
        <f>"  2)  " &amp; VLOOKUP(2,$Z$10:$AI$17,2,0)</f>
        <v xml:space="preserve">  2)  CLUB DEPORTIVO NUEVAS GENERACIONES</v>
      </c>
      <c r="Q12" s="274">
        <f>VLOOKUP(2,$Z$10:$AI$17,3,0)</f>
        <v>5</v>
      </c>
      <c r="R12" s="276">
        <f>+SUM(S12:U13)</f>
        <v>3</v>
      </c>
      <c r="S12" s="278">
        <f>VLOOKUP(2,$Z$10:$AI$17,4,0)</f>
        <v>1</v>
      </c>
      <c r="T12" s="278">
        <f>VLOOKUP(2,$Z$10:$AI$17,5,0)</f>
        <v>2</v>
      </c>
      <c r="U12" s="278">
        <f>VLOOKUP(2,$Z$10:$AI$17,6,0)</f>
        <v>0</v>
      </c>
      <c r="V12" s="278">
        <f>VLOOKUP(2,$Z$10:$AI$17,7,0)</f>
        <v>7</v>
      </c>
      <c r="W12" s="278">
        <f>VLOOKUP(2,$Z$10:$AI$17,8,0)</f>
        <v>6</v>
      </c>
      <c r="X12" s="278">
        <f>VLOOKUP(2,$Z$10:$AH$17,9,0)</f>
        <v>1</v>
      </c>
      <c r="Y12" s="278">
        <f>VLOOKUP(2,$Z$10:$AI$17,10,0)</f>
        <v>0</v>
      </c>
      <c r="Z12" s="280">
        <f>RANK(AJ12,$AJ$10:$AJ$17,0)</f>
        <v>3</v>
      </c>
      <c r="AA12" s="260" t="str">
        <f>+'GRUPOS INFANTIL'!D8</f>
        <v>INTER F. C.</v>
      </c>
      <c r="AB12" s="260">
        <f>(AC12*3)+AD12</f>
        <v>2</v>
      </c>
      <c r="AC12" s="260">
        <f>COUNTIF(Q59:T59,"G")+AC20</f>
        <v>0</v>
      </c>
      <c r="AD12" s="260">
        <f>COUNTIF(Q59:T59,"E")+AD20</f>
        <v>2</v>
      </c>
      <c r="AE12" s="260">
        <f>COUNTIF(Q59:T59,"P")+AE20</f>
        <v>1</v>
      </c>
      <c r="AF12" s="260">
        <f>+G11+I20+G29+G32+AF20</f>
        <v>3</v>
      </c>
      <c r="AG12" s="260">
        <f>+I11+I29+G23+I32+AG20</f>
        <v>4</v>
      </c>
      <c r="AH12" s="260">
        <f t="shared" ref="AH12" si="0">AF12-AG12</f>
        <v>-1</v>
      </c>
      <c r="AI12" s="262">
        <f>+A29+A11+N20+A32+AI20</f>
        <v>0</v>
      </c>
      <c r="AJ12" s="260">
        <f>(AB12*1000)+(AH12*100)+(AF12*10)-AI12+0.2</f>
        <v>1930.2</v>
      </c>
      <c r="AK12" s="263">
        <f>AJ12+X12</f>
        <v>1931.2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273"/>
      <c r="Q13" s="275"/>
      <c r="R13" s="277"/>
      <c r="S13" s="279"/>
      <c r="T13" s="279"/>
      <c r="U13" s="279"/>
      <c r="V13" s="279"/>
      <c r="W13" s="279"/>
      <c r="X13" s="279"/>
      <c r="Y13" s="279"/>
      <c r="Z13" s="28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4"/>
      <c r="AL13" s="3"/>
    </row>
    <row r="14" spans="1:38" ht="15" customHeight="1" x14ac:dyDescent="0.3">
      <c r="A14" s="112"/>
      <c r="B14" s="55"/>
      <c r="C14" s="51"/>
      <c r="D14" s="282"/>
      <c r="E14" s="283"/>
      <c r="F14" s="267" t="str">
        <f>IF(AND(G14&lt;&gt;"",I14&lt;&gt;""),IF(G14=I14,"E",IF(G14&gt;I14,"G","P")),"")</f>
        <v/>
      </c>
      <c r="G14" s="268"/>
      <c r="H14" s="270" t="s">
        <v>15</v>
      </c>
      <c r="I14" s="268"/>
      <c r="J14" s="267" t="str">
        <f>IF(AND(I14&lt;&gt;"",G14&lt;&gt;""),IF(I14=G14,"E",IF(I14&gt;G14,"G","P")),"")</f>
        <v/>
      </c>
      <c r="K14" s="283"/>
      <c r="L14" s="284"/>
      <c r="M14" s="110"/>
      <c r="N14" s="114"/>
      <c r="O14" s="67"/>
      <c r="P14" s="272" t="str">
        <f>"  3)  " &amp; VLOOKUP(3,$Z$10:$AI$17,2,0)</f>
        <v xml:space="preserve">  3)  INTER F. C.</v>
      </c>
      <c r="Q14" s="274">
        <f>VLOOKUP(3,$Z$10:$AI$17,3,0)</f>
        <v>2</v>
      </c>
      <c r="R14" s="276">
        <f>+SUM(S14:U15)</f>
        <v>3</v>
      </c>
      <c r="S14" s="278">
        <f>VLOOKUP(3,$Z$10:$AI$17,4,0)</f>
        <v>0</v>
      </c>
      <c r="T14" s="278">
        <f>VLOOKUP(3,$Z$10:$AI$17,5,0)</f>
        <v>2</v>
      </c>
      <c r="U14" s="278">
        <f>VLOOKUP(3,$Z$10:$AI$17,6,0)</f>
        <v>1</v>
      </c>
      <c r="V14" s="278">
        <f>VLOOKUP(3,$Z$10:$AI$17,7,0)</f>
        <v>3</v>
      </c>
      <c r="W14" s="278">
        <f>VLOOKUP(3,$Z$10:$AI$17,8,0)</f>
        <v>4</v>
      </c>
      <c r="X14" s="278">
        <f>VLOOKUP(3,$Z$10:$AI$17,9,0)</f>
        <v>-1</v>
      </c>
      <c r="Y14" s="278">
        <f>VLOOKUP(3,$Z$10:$AI$17,10,0)</f>
        <v>0</v>
      </c>
      <c r="Z14" s="280">
        <f>RANK(AJ14,$AJ$10:$AJ$17,0)</f>
        <v>4</v>
      </c>
      <c r="AA14" s="260" t="str">
        <f>+'GRUPOS INFANTIL'!D9</f>
        <v>ATHLETIC MELGAR</v>
      </c>
      <c r="AB14" s="260">
        <f>(AC14*3)+AD14</f>
        <v>1</v>
      </c>
      <c r="AC14" s="260">
        <f>COUNTIF(Q60:T60,"G")+AC21</f>
        <v>0</v>
      </c>
      <c r="AD14" s="260">
        <f>COUNTIF(Q60:T60,"E")+AD21</f>
        <v>1</v>
      </c>
      <c r="AE14" s="260">
        <f>COUNTIF(Q60:T60,"P")+AE21</f>
        <v>2</v>
      </c>
      <c r="AF14" s="260">
        <f>+G14+I26+G23+I32+AF21</f>
        <v>1</v>
      </c>
      <c r="AG14" s="260">
        <f>+G26+I14+I23+G32+AG21</f>
        <v>5</v>
      </c>
      <c r="AH14" s="260">
        <f>AF14-AG14</f>
        <v>-4</v>
      </c>
      <c r="AI14" s="262">
        <f>+A14+A23+N26+N32+AI21</f>
        <v>0</v>
      </c>
      <c r="AJ14" s="260">
        <f>(AB14*1000)+(AH14*100)+(AF14*10)-AI14+0.3</f>
        <v>610.29999999999995</v>
      </c>
      <c r="AK14" s="263">
        <f>+X14</f>
        <v>-1</v>
      </c>
      <c r="AL14" s="3"/>
    </row>
    <row r="15" spans="1:38" ht="15" customHeight="1" x14ac:dyDescent="0.3">
      <c r="A15" s="65"/>
      <c r="B15" s="55"/>
      <c r="C15" s="51"/>
      <c r="D15" s="282"/>
      <c r="E15" s="283"/>
      <c r="F15" s="267"/>
      <c r="G15" s="269"/>
      <c r="H15" s="270"/>
      <c r="I15" s="269"/>
      <c r="J15" s="267"/>
      <c r="K15" s="283"/>
      <c r="L15" s="284"/>
      <c r="M15" s="53"/>
      <c r="N15" s="66"/>
      <c r="O15" s="66"/>
      <c r="P15" s="273"/>
      <c r="Q15" s="275"/>
      <c r="R15" s="277"/>
      <c r="S15" s="279"/>
      <c r="T15" s="279"/>
      <c r="U15" s="279"/>
      <c r="V15" s="279"/>
      <c r="W15" s="279"/>
      <c r="X15" s="279"/>
      <c r="Y15" s="279"/>
      <c r="Z15" s="28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4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272" t="str">
        <f>"  4)  " &amp; VLOOKUP(4,$Z$10:$AI$17,2,0)</f>
        <v xml:space="preserve">  4)  ATHLETIC MELGAR</v>
      </c>
      <c r="Q16" s="274">
        <f>VLOOKUP(4,$Z$10:$AI$17,3,0)</f>
        <v>1</v>
      </c>
      <c r="R16" s="276">
        <f>+SUM(S16:U17)</f>
        <v>3</v>
      </c>
      <c r="S16" s="278">
        <f>VLOOKUP(4,$Z$10:$AI$17,4,0)</f>
        <v>0</v>
      </c>
      <c r="T16" s="278">
        <f>VLOOKUP(4,$Z$10:$AI$17,5,0)</f>
        <v>1</v>
      </c>
      <c r="U16" s="278">
        <f>VLOOKUP(4,$Z$10:$AI$17,6,0)</f>
        <v>2</v>
      </c>
      <c r="V16" s="278">
        <f>VLOOKUP(4,$Z$10:$AI$17,7,0)</f>
        <v>1</v>
      </c>
      <c r="W16" s="278">
        <f>VLOOKUP(4,$Z$10:$AI$17,8,0)</f>
        <v>5</v>
      </c>
      <c r="X16" s="278">
        <f>VLOOKUP(4,$Z$10:$AI$17,9,0)</f>
        <v>-4</v>
      </c>
      <c r="Y16" s="278">
        <f>VLOOKUP(4,$Z$10:$AI$17,10,0)</f>
        <v>0</v>
      </c>
      <c r="Z16" s="280">
        <f>RANK(AJ16,$AJ$10:$AJ$17,0)</f>
        <v>2</v>
      </c>
      <c r="AA16" s="260" t="str">
        <f>+'GRUPOS INFANTIL'!D10</f>
        <v>CLUB DEPORTIVO NUEVAS GENERACIONES</v>
      </c>
      <c r="AB16" s="260">
        <f>(AC16*3)+AD16</f>
        <v>5</v>
      </c>
      <c r="AC16" s="260">
        <f>COUNTIF(Q61:T61,"G")+AC22</f>
        <v>1</v>
      </c>
      <c r="AD16" s="260">
        <f>COUNTIF(Q61:T61,"E")+AD22</f>
        <v>2</v>
      </c>
      <c r="AE16" s="260">
        <f>COUNTIF(Q61:T61,"P")+AE22</f>
        <v>0</v>
      </c>
      <c r="AF16" s="260">
        <f>+G17+I29+I23+I35+AF22</f>
        <v>7</v>
      </c>
      <c r="AG16" s="260">
        <f>+G29+G23+G35+AG22</f>
        <v>6</v>
      </c>
      <c r="AH16" s="260">
        <f t="shared" ref="AH16" si="1">AF16-AG16</f>
        <v>1</v>
      </c>
      <c r="AI16" s="262">
        <f>+A17+N23+N29+N35+AI22</f>
        <v>0</v>
      </c>
      <c r="AJ16" s="260">
        <f>(AB16*1000)+(AH16*100)+(AF16*10)-AI16+0.4</f>
        <v>5170.3999999999996</v>
      </c>
      <c r="AK16" s="263">
        <f>+X16</f>
        <v>-4</v>
      </c>
      <c r="AL16" s="3"/>
    </row>
    <row r="17" spans="1:38" ht="15" customHeight="1" x14ac:dyDescent="0.3">
      <c r="A17" s="113"/>
      <c r="B17" s="56"/>
      <c r="C17" s="52"/>
      <c r="D17" s="265"/>
      <c r="E17" s="266"/>
      <c r="F17" s="267" t="str">
        <f>IF(AND(G17&lt;&gt;"",I17&lt;&gt;""),IF(G17=I17,"E",IF(G17&gt;I17,"G","P")),"")</f>
        <v/>
      </c>
      <c r="G17" s="268"/>
      <c r="H17" s="270" t="s">
        <v>15</v>
      </c>
      <c r="I17" s="268"/>
      <c r="J17" s="267" t="str">
        <f>IF(AND(I17&lt;&gt;"",G17&lt;&gt;""),IF(I17=G17,"E",IF(I17&gt;G17,"G","P")),"")</f>
        <v/>
      </c>
      <c r="K17" s="266"/>
      <c r="L17" s="271"/>
      <c r="M17" s="111"/>
      <c r="N17" s="115"/>
      <c r="O17" s="67"/>
      <c r="P17" s="273"/>
      <c r="Q17" s="275"/>
      <c r="R17" s="277"/>
      <c r="S17" s="279"/>
      <c r="T17" s="279"/>
      <c r="U17" s="279"/>
      <c r="V17" s="279"/>
      <c r="W17" s="279"/>
      <c r="X17" s="279"/>
      <c r="Y17" s="279"/>
      <c r="Z17" s="28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4"/>
      <c r="AL17" s="3"/>
    </row>
    <row r="18" spans="1:38" ht="15" customHeight="1" x14ac:dyDescent="0.3">
      <c r="A18" s="65"/>
      <c r="B18" s="56"/>
      <c r="C18" s="52"/>
      <c r="D18" s="265"/>
      <c r="E18" s="266"/>
      <c r="F18" s="267"/>
      <c r="G18" s="269"/>
      <c r="H18" s="270"/>
      <c r="I18" s="269"/>
      <c r="J18" s="267"/>
      <c r="K18" s="266"/>
      <c r="L18" s="271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9"/>
      <c r="C19" s="200"/>
      <c r="D19" s="201"/>
      <c r="E19" s="202"/>
      <c r="F19" s="203"/>
      <c r="J19" s="203"/>
      <c r="K19" s="202"/>
      <c r="L19" s="204"/>
      <c r="M19" s="181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>
        <f>+'GRUPO B'!Z10</f>
        <v>4</v>
      </c>
      <c r="AA19" s="76" t="str">
        <f>+'GRUPO B'!AA10</f>
        <v>CANUTO F.C.</v>
      </c>
      <c r="AB19" s="76">
        <f>+'GRUPO B'!AB10</f>
        <v>0</v>
      </c>
      <c r="AC19" s="76">
        <f>+'GRUPO B'!AC10</f>
        <v>0</v>
      </c>
      <c r="AD19" s="76">
        <f>+'GRUPO B'!AD10</f>
        <v>0</v>
      </c>
      <c r="AE19" s="76">
        <f>+'GRUPO B'!AE10</f>
        <v>0</v>
      </c>
      <c r="AF19" s="76">
        <f>+'GRUPO B'!AF10</f>
        <v>0</v>
      </c>
      <c r="AG19" s="76">
        <f>+'GRUPO B'!AG10</f>
        <v>0</v>
      </c>
      <c r="AH19" s="76">
        <f>+'GRUPO B'!AH10</f>
        <v>0</v>
      </c>
      <c r="AI19" s="76">
        <f>+'GRUPO B'!AI10</f>
        <v>0</v>
      </c>
      <c r="AJ19" s="76">
        <f>+'GRUPO B'!AJ10</f>
        <v>0.1</v>
      </c>
      <c r="AK19" s="76">
        <f>+'GRUPO B'!AK10</f>
        <v>0.1</v>
      </c>
      <c r="AL19" s="27"/>
    </row>
    <row r="20" spans="1:38" ht="15" customHeight="1" x14ac:dyDescent="0.3">
      <c r="A20" s="112"/>
      <c r="B20" s="55">
        <v>42812</v>
      </c>
      <c r="C20" s="51" t="s">
        <v>103</v>
      </c>
      <c r="D20" s="282"/>
      <c r="E20" s="283" t="str">
        <f>+'GRUPOS INFANTIL'!D7</f>
        <v>ASTON HUILA</v>
      </c>
      <c r="F20" s="267" t="str">
        <f>IF(AND(G20&lt;&gt;"",I20&lt;&gt;""),IF(G20=I20,"E",IF(G20&gt;I20,"G","P")),"")</f>
        <v>G</v>
      </c>
      <c r="G20" s="268">
        <v>7</v>
      </c>
      <c r="H20" s="270" t="s">
        <v>15</v>
      </c>
      <c r="I20" s="268">
        <v>0</v>
      </c>
      <c r="J20" s="267" t="str">
        <f>IF(AND(I20&lt;&gt;"",G20&lt;&gt;""),IF(I20=G20,"E",IF(I20&gt;G20,"G","P")),"")</f>
        <v>P</v>
      </c>
      <c r="K20" s="283" t="str">
        <f>+'GRUPOS INFANTIL'!D8</f>
        <v>INTER F. C.</v>
      </c>
      <c r="L20" s="284"/>
      <c r="M20" s="110" t="s">
        <v>38</v>
      </c>
      <c r="N20" s="114"/>
      <c r="O20" s="67"/>
      <c r="P20" s="308"/>
      <c r="Q20" s="307"/>
      <c r="R20" s="300"/>
      <c r="S20" s="306"/>
      <c r="T20" s="306"/>
      <c r="U20" s="306"/>
      <c r="V20" s="306"/>
      <c r="W20" s="306"/>
      <c r="X20" s="306"/>
      <c r="Y20" s="306"/>
      <c r="Z20" s="76">
        <f>+'GRUPO B'!Z12</f>
        <v>3</v>
      </c>
      <c r="AA20" s="76" t="str">
        <f>+'GRUPO B'!AA12</f>
        <v>HUITACA FUTBOL CLUB CHIA</v>
      </c>
      <c r="AB20" s="76">
        <f>+'GRUPO B'!AB12</f>
        <v>0</v>
      </c>
      <c r="AC20" s="76">
        <f>+'GRUPO B'!AC12</f>
        <v>0</v>
      </c>
      <c r="AD20" s="76">
        <f>+'GRUPO B'!AD12</f>
        <v>0</v>
      </c>
      <c r="AE20" s="76">
        <f>+'GRUPO B'!AE12</f>
        <v>0</v>
      </c>
      <c r="AF20" s="76">
        <f>+'GRUPO B'!AF12</f>
        <v>0</v>
      </c>
      <c r="AG20" s="76">
        <f>+'GRUPO B'!AG12</f>
        <v>0</v>
      </c>
      <c r="AH20" s="76">
        <f>+'GRUPO B'!AH12</f>
        <v>0</v>
      </c>
      <c r="AI20" s="76">
        <f>+'GRUPO B'!AI12</f>
        <v>0</v>
      </c>
      <c r="AJ20" s="76">
        <f>+'GRUPO B'!AJ12</f>
        <v>0.2</v>
      </c>
      <c r="AK20" s="76">
        <f>+'GRUPO B'!AK12</f>
        <v>0.2</v>
      </c>
      <c r="AL20" s="3"/>
    </row>
    <row r="21" spans="1:38" ht="15" customHeight="1" x14ac:dyDescent="0.3">
      <c r="A21" s="65"/>
      <c r="B21" s="55"/>
      <c r="C21" s="51"/>
      <c r="D21" s="282"/>
      <c r="E21" s="283"/>
      <c r="F21" s="267"/>
      <c r="G21" s="269"/>
      <c r="H21" s="270"/>
      <c r="I21" s="269"/>
      <c r="J21" s="267"/>
      <c r="K21" s="283"/>
      <c r="L21" s="284"/>
      <c r="M21" s="53"/>
      <c r="N21" s="66"/>
      <c r="O21" s="66"/>
      <c r="P21" s="308"/>
      <c r="Q21" s="307"/>
      <c r="R21" s="300"/>
      <c r="S21" s="306"/>
      <c r="T21" s="306"/>
      <c r="U21" s="306"/>
      <c r="V21" s="306"/>
      <c r="W21" s="306"/>
      <c r="X21" s="306"/>
      <c r="Y21" s="306"/>
      <c r="Z21" s="76">
        <f>+'GRUPO B'!Z14</f>
        <v>2</v>
      </c>
      <c r="AA21" s="76" t="str">
        <f>+'GRUPO B'!AA14</f>
        <v>CLUB PROMOTOR DEPORTIVO SCORPION</v>
      </c>
      <c r="AB21" s="76">
        <f>+'GRUPO B'!AB14</f>
        <v>0</v>
      </c>
      <c r="AC21" s="76">
        <f>+'GRUPO B'!AC14</f>
        <v>0</v>
      </c>
      <c r="AD21" s="76">
        <f>+'GRUPO B'!AD14</f>
        <v>0</v>
      </c>
      <c r="AE21" s="76">
        <f>+'GRUPO B'!AE14</f>
        <v>0</v>
      </c>
      <c r="AF21" s="76">
        <f>+'GRUPO B'!AF14</f>
        <v>0</v>
      </c>
      <c r="AG21" s="76">
        <f>+'GRUPO B'!AG14</f>
        <v>0</v>
      </c>
      <c r="AH21" s="76">
        <f>+'GRUPO B'!AH14</f>
        <v>0</v>
      </c>
      <c r="AI21" s="76">
        <f>+'GRUPO B'!AI14</f>
        <v>0</v>
      </c>
      <c r="AJ21" s="76">
        <f>+'GRUPO B'!AJ14</f>
        <v>0.3</v>
      </c>
      <c r="AK21" s="76">
        <f>+'GRUPO B'!AK14</f>
        <v>0</v>
      </c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02"/>
      <c r="Q22" s="303"/>
      <c r="R22" s="301"/>
      <c r="S22" s="304"/>
      <c r="T22" s="304"/>
      <c r="U22" s="304"/>
      <c r="V22" s="304"/>
      <c r="W22" s="304"/>
      <c r="X22" s="304"/>
      <c r="Y22" s="304"/>
      <c r="Z22" s="76">
        <f>+'GRUPO B'!Z16</f>
        <v>1</v>
      </c>
      <c r="AA22" s="76" t="e">
        <f>+'GRUPO B'!AA16</f>
        <v>#REF!</v>
      </c>
      <c r="AB22" s="76">
        <f>+'GRUPO B'!AB16</f>
        <v>0</v>
      </c>
      <c r="AC22" s="76">
        <f>+'GRUPO B'!AC16</f>
        <v>0</v>
      </c>
      <c r="AD22" s="76">
        <f>+'GRUPO B'!AD16</f>
        <v>0</v>
      </c>
      <c r="AE22" s="76">
        <f>+'GRUPO B'!AE16</f>
        <v>0</v>
      </c>
      <c r="AF22" s="76">
        <f>+'GRUPO B'!AF16</f>
        <v>0</v>
      </c>
      <c r="AG22" s="76">
        <f>+'GRUPO B'!AG16</f>
        <v>0</v>
      </c>
      <c r="AH22" s="76">
        <f>+'GRUPO B'!AH16</f>
        <v>0</v>
      </c>
      <c r="AI22" s="76">
        <f>+'GRUPO B'!AI16</f>
        <v>0</v>
      </c>
      <c r="AJ22" s="76">
        <f>+'GRUPO B'!AJ16</f>
        <v>0.4</v>
      </c>
      <c r="AK22" s="76">
        <f>+'GRUPO B'!AK16</f>
        <v>0</v>
      </c>
      <c r="AL22" s="3"/>
    </row>
    <row r="23" spans="1:38" ht="15.75" customHeight="1" x14ac:dyDescent="0.3">
      <c r="A23" s="113"/>
      <c r="B23" s="56">
        <v>42812</v>
      </c>
      <c r="C23" s="52" t="s">
        <v>104</v>
      </c>
      <c r="D23" s="265"/>
      <c r="E23" s="266" t="str">
        <f>+'GRUPOS INFANTIL'!D9</f>
        <v>ATHLETIC MELGAR</v>
      </c>
      <c r="F23" s="267" t="str">
        <f>IF(AND(G23&lt;&gt;"",I23&lt;&gt;""),IF(G23=I23,"E",IF(G23&gt;I23,"G","P")),"")</f>
        <v>P</v>
      </c>
      <c r="G23" s="268">
        <v>1</v>
      </c>
      <c r="H23" s="270" t="s">
        <v>15</v>
      </c>
      <c r="I23" s="268">
        <v>2</v>
      </c>
      <c r="J23" s="267" t="str">
        <f>IF(AND(I23&lt;&gt;"",G23&lt;&gt;""),IF(I23=G23,"E",IF(I23&gt;G23,"G","P")),"")</f>
        <v>G</v>
      </c>
      <c r="K23" s="266" t="str">
        <f>+'GRUPOS INFANTIL'!D10</f>
        <v>CLUB DEPORTIVO NUEVAS GENERACIONES</v>
      </c>
      <c r="L23" s="271"/>
      <c r="M23" s="111" t="s">
        <v>80</v>
      </c>
      <c r="N23" s="115"/>
      <c r="O23" s="67"/>
      <c r="P23" s="302"/>
      <c r="Q23" s="303"/>
      <c r="R23" s="301"/>
      <c r="S23" s="304"/>
      <c r="T23" s="304"/>
      <c r="U23" s="304"/>
      <c r="V23" s="304"/>
      <c r="W23" s="304"/>
      <c r="X23" s="304"/>
      <c r="Y23" s="304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233"/>
      <c r="AL23" s="3"/>
    </row>
    <row r="24" spans="1:38" ht="15.75" customHeight="1" x14ac:dyDescent="0.3">
      <c r="A24" s="65"/>
      <c r="B24" s="56"/>
      <c r="C24" s="52"/>
      <c r="D24" s="265"/>
      <c r="E24" s="266"/>
      <c r="F24" s="267"/>
      <c r="G24" s="269"/>
      <c r="H24" s="270"/>
      <c r="I24" s="269"/>
      <c r="J24" s="267"/>
      <c r="K24" s="266"/>
      <c r="L24" s="271"/>
      <c r="M24" s="54"/>
      <c r="N24" s="66"/>
      <c r="O24" s="66"/>
      <c r="P24" s="302"/>
      <c r="Q24" s="303"/>
      <c r="R24" s="301"/>
      <c r="S24" s="304"/>
      <c r="T24" s="304"/>
      <c r="U24" s="304"/>
      <c r="V24" s="304"/>
      <c r="W24" s="304"/>
      <c r="X24" s="304"/>
      <c r="Y24" s="304"/>
      <c r="Z24" s="305"/>
      <c r="AA24" s="305"/>
      <c r="AB24" s="305"/>
      <c r="AC24" s="305"/>
      <c r="AD24" s="305"/>
      <c r="AE24" s="305"/>
      <c r="AF24" s="305"/>
      <c r="AG24" s="305"/>
      <c r="AH24" s="305"/>
      <c r="AI24" s="305"/>
      <c r="AJ24" s="305"/>
      <c r="AK24" s="316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02"/>
      <c r="Q25" s="303"/>
      <c r="R25" s="301"/>
      <c r="S25" s="304"/>
      <c r="T25" s="304"/>
      <c r="U25" s="304"/>
      <c r="V25" s="304"/>
      <c r="W25" s="304"/>
      <c r="X25" s="304"/>
      <c r="Y25" s="304"/>
      <c r="Z25" s="305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16"/>
      <c r="AL25" s="3"/>
    </row>
    <row r="26" spans="1:38" ht="15" customHeight="1" x14ac:dyDescent="0.3">
      <c r="A26" s="112"/>
      <c r="B26" s="55">
        <v>42812</v>
      </c>
      <c r="C26" s="51" t="s">
        <v>78</v>
      </c>
      <c r="D26" s="282"/>
      <c r="E26" s="283" t="str">
        <f>+'GRUPOS INFANTIL'!D7</f>
        <v>ASTON HUILA</v>
      </c>
      <c r="F26" s="267" t="str">
        <f>IF(AND(G26&lt;&gt;"",I26&lt;&gt;""),IF(G26=I26,"E",IF(G26&gt;I26,"G","P")),"")</f>
        <v>G</v>
      </c>
      <c r="G26" s="268">
        <v>3</v>
      </c>
      <c r="H26" s="270" t="s">
        <v>15</v>
      </c>
      <c r="I26" s="268">
        <v>0</v>
      </c>
      <c r="J26" s="267" t="str">
        <f>IF(AND(I26&lt;&gt;"",G26&lt;&gt;""),IF(I26=G26,"E",IF(I26&gt;G26,"G","P")),"")</f>
        <v>P</v>
      </c>
      <c r="K26" s="283" t="str">
        <f>+'GRUPOS INFANTIL'!D9</f>
        <v>ATHLETIC MELGAR</v>
      </c>
      <c r="L26" s="284"/>
      <c r="M26" s="110" t="s">
        <v>80</v>
      </c>
      <c r="N26" s="114"/>
      <c r="O26" s="67"/>
      <c r="P26" s="302"/>
      <c r="Q26" s="303"/>
      <c r="R26" s="301"/>
      <c r="S26" s="304"/>
      <c r="T26" s="304"/>
      <c r="U26" s="304"/>
      <c r="V26" s="304"/>
      <c r="W26" s="304"/>
      <c r="X26" s="304"/>
      <c r="Y26" s="304"/>
      <c r="Z26" s="305"/>
      <c r="AA26" s="305"/>
      <c r="AB26" s="305"/>
      <c r="AC26" s="305"/>
      <c r="AD26" s="305"/>
      <c r="AE26" s="305"/>
      <c r="AF26" s="305"/>
      <c r="AG26" s="305"/>
      <c r="AH26" s="305"/>
      <c r="AI26" s="305"/>
      <c r="AJ26" s="305"/>
      <c r="AK26" s="316"/>
      <c r="AL26" s="3"/>
    </row>
    <row r="27" spans="1:38" ht="15" customHeight="1" x14ac:dyDescent="0.3">
      <c r="A27" s="65"/>
      <c r="B27" s="55"/>
      <c r="C27" s="51"/>
      <c r="D27" s="282"/>
      <c r="E27" s="283"/>
      <c r="F27" s="267"/>
      <c r="G27" s="269"/>
      <c r="H27" s="270"/>
      <c r="I27" s="269"/>
      <c r="J27" s="267"/>
      <c r="K27" s="283"/>
      <c r="L27" s="284"/>
      <c r="M27" s="53"/>
      <c r="N27" s="66"/>
      <c r="O27" s="66"/>
      <c r="P27" s="302"/>
      <c r="Q27" s="303"/>
      <c r="R27" s="301"/>
      <c r="S27" s="304"/>
      <c r="T27" s="304"/>
      <c r="U27" s="304"/>
      <c r="V27" s="304"/>
      <c r="W27" s="304"/>
      <c r="X27" s="304"/>
      <c r="Y27" s="304"/>
      <c r="Z27" s="305"/>
      <c r="AA27" s="305"/>
      <c r="AB27" s="305"/>
      <c r="AC27" s="305"/>
      <c r="AD27" s="305"/>
      <c r="AE27" s="305"/>
      <c r="AF27" s="305"/>
      <c r="AG27" s="305"/>
      <c r="AH27" s="305"/>
      <c r="AI27" s="305"/>
      <c r="AJ27" s="305"/>
      <c r="AK27" s="316"/>
      <c r="AL27" s="3"/>
    </row>
    <row r="28" spans="1:38" ht="21.7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02"/>
      <c r="Q28" s="303"/>
      <c r="R28" s="301"/>
      <c r="S28" s="304"/>
      <c r="T28" s="304"/>
      <c r="U28" s="304"/>
      <c r="V28" s="304"/>
      <c r="W28" s="304"/>
      <c r="X28" s="304"/>
      <c r="Y28" s="304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16"/>
      <c r="AL28" s="3"/>
    </row>
    <row r="29" spans="1:38" ht="15" customHeight="1" x14ac:dyDescent="0.3">
      <c r="A29" s="113"/>
      <c r="B29" s="56">
        <v>42812</v>
      </c>
      <c r="C29" s="52" t="s">
        <v>99</v>
      </c>
      <c r="D29" s="265"/>
      <c r="E29" s="266" t="str">
        <f>+'GRUPOS INFANTIL'!D8</f>
        <v>INTER F. C.</v>
      </c>
      <c r="F29" s="267" t="str">
        <f>IF(AND(G29&lt;&gt;"",I29&lt;&gt;""),IF(G29=I29,"E",IF(G29&gt;I29,"G","P")),"")</f>
        <v>E</v>
      </c>
      <c r="G29" s="268">
        <v>3</v>
      </c>
      <c r="H29" s="270" t="s">
        <v>15</v>
      </c>
      <c r="I29" s="268">
        <v>3</v>
      </c>
      <c r="J29" s="267" t="str">
        <f>IF(AND(I29&lt;&gt;"",G29&lt;&gt;""),IF(I29=G29,"E",IF(I29&gt;G29,"G","P")),"")</f>
        <v>E</v>
      </c>
      <c r="K29" s="266" t="str">
        <f>+'GRUPOS INFANTIL'!D10</f>
        <v>CLUB DEPORTIVO NUEVAS GENERACIONES</v>
      </c>
      <c r="L29" s="271"/>
      <c r="M29" s="111" t="s">
        <v>80</v>
      </c>
      <c r="N29" s="115"/>
      <c r="O29" s="67"/>
      <c r="P29" s="302"/>
      <c r="Q29" s="303"/>
      <c r="R29" s="301"/>
      <c r="S29" s="304"/>
      <c r="T29" s="304"/>
      <c r="U29" s="304"/>
      <c r="V29" s="304"/>
      <c r="W29" s="304"/>
      <c r="X29" s="304"/>
      <c r="Y29" s="304"/>
      <c r="Z29" s="305"/>
      <c r="AA29" s="305"/>
      <c r="AB29" s="305"/>
      <c r="AC29" s="305"/>
      <c r="AD29" s="305"/>
      <c r="AE29" s="305"/>
      <c r="AF29" s="305"/>
      <c r="AG29" s="305"/>
      <c r="AH29" s="305"/>
      <c r="AI29" s="305"/>
      <c r="AJ29" s="305"/>
      <c r="AK29" s="316"/>
      <c r="AL29" s="3"/>
    </row>
    <row r="30" spans="1:38" ht="15" customHeight="1" x14ac:dyDescent="0.3">
      <c r="A30" s="65"/>
      <c r="B30" s="56"/>
      <c r="C30" s="52"/>
      <c r="D30" s="265"/>
      <c r="E30" s="266"/>
      <c r="F30" s="267"/>
      <c r="G30" s="269"/>
      <c r="H30" s="270"/>
      <c r="I30" s="269"/>
      <c r="J30" s="267"/>
      <c r="K30" s="266"/>
      <c r="L30" s="271"/>
      <c r="M30" s="54"/>
      <c r="N30" s="66"/>
      <c r="O30" s="66"/>
      <c r="P30" s="77"/>
      <c r="Q30" s="74"/>
      <c r="R30" s="74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27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73"/>
      <c r="Q31" s="74"/>
      <c r="R31" s="74"/>
      <c r="S31" s="75"/>
      <c r="T31" s="75"/>
      <c r="U31" s="75"/>
      <c r="V31" s="75"/>
      <c r="W31" s="75"/>
      <c r="X31" s="75"/>
      <c r="Y31" s="75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27"/>
    </row>
    <row r="32" spans="1:38" ht="15" customHeight="1" x14ac:dyDescent="0.3">
      <c r="A32" s="112"/>
      <c r="B32" s="55">
        <v>42813</v>
      </c>
      <c r="C32" s="51" t="s">
        <v>109</v>
      </c>
      <c r="D32" s="282"/>
      <c r="E32" s="283" t="str">
        <f>+'GRUPOS INFANTIL'!D8</f>
        <v>INTER F. C.</v>
      </c>
      <c r="F32" s="267" t="str">
        <f>IF(AND(G32&lt;&gt;"",I32&lt;&gt;""),IF(G32=I32,"E",IF(G32&gt;I32,"G","P")),"")</f>
        <v>E</v>
      </c>
      <c r="G32" s="268">
        <v>0</v>
      </c>
      <c r="H32" s="270" t="s">
        <v>15</v>
      </c>
      <c r="I32" s="268">
        <v>0</v>
      </c>
      <c r="J32" s="267" t="str">
        <f>IF(AND(I32&lt;&gt;"",G32&lt;&gt;""),IF(I32=G32,"E",IF(I32&gt;G32,"G","P")),"")</f>
        <v>E</v>
      </c>
      <c r="K32" s="283" t="str">
        <f>+'GRUPOS INFANTIL'!D9</f>
        <v>ATHLETIC MELGAR</v>
      </c>
      <c r="L32" s="284"/>
      <c r="M32" s="110" t="s">
        <v>38</v>
      </c>
      <c r="N32" s="114"/>
      <c r="O32" s="67"/>
      <c r="P32" s="77"/>
      <c r="Q32" s="74"/>
      <c r="R32" s="74"/>
      <c r="S32" s="75"/>
      <c r="T32" s="75"/>
      <c r="U32" s="75"/>
      <c r="V32" s="75"/>
      <c r="W32" s="75"/>
      <c r="X32" s="75"/>
      <c r="Y32" s="75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27"/>
    </row>
    <row r="33" spans="1:38" ht="15" customHeight="1" x14ac:dyDescent="0.3">
      <c r="A33" s="65"/>
      <c r="B33" s="55"/>
      <c r="C33" s="51"/>
      <c r="D33" s="282"/>
      <c r="E33" s="283"/>
      <c r="F33" s="267"/>
      <c r="G33" s="269"/>
      <c r="H33" s="270"/>
      <c r="I33" s="269"/>
      <c r="J33" s="267"/>
      <c r="K33" s="283"/>
      <c r="L33" s="284"/>
      <c r="M33" s="53"/>
      <c r="N33" s="66"/>
      <c r="O33" s="66"/>
      <c r="P33" s="299"/>
      <c r="Q33" s="299"/>
      <c r="R33" s="299"/>
      <c r="S33" s="299"/>
      <c r="T33" s="299"/>
      <c r="U33" s="27"/>
      <c r="V33" s="27"/>
      <c r="W33" s="27"/>
      <c r="X33" s="27"/>
      <c r="Y33" s="27"/>
      <c r="Z33" s="7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5"/>
      <c r="P34" s="27"/>
      <c r="Q34" s="27"/>
      <c r="R34" s="27"/>
      <c r="S34" s="27"/>
      <c r="T34" s="27"/>
      <c r="U34" s="27"/>
      <c r="V34" s="27"/>
      <c r="W34" s="27" t="str">
        <f>IF(AJ8=1,IF(P33="","",P33),IF(SUM(Q10:Q17)&gt;0,VLOOKUP(1,Z10:AA17,2,0),""))</f>
        <v>ASTON HUILA</v>
      </c>
      <c r="X34" s="27"/>
      <c r="Y34" s="27"/>
      <c r="Z34" s="76"/>
      <c r="AA34" s="27"/>
      <c r="AB34" s="27"/>
      <c r="AC34" s="76"/>
      <c r="AD34" s="76"/>
      <c r="AE34" s="76"/>
      <c r="AF34" s="76"/>
      <c r="AG34" s="76"/>
      <c r="AH34" s="76"/>
      <c r="AI34" s="27"/>
      <c r="AJ34" s="76"/>
      <c r="AK34" s="76"/>
      <c r="AL34" s="27"/>
    </row>
    <row r="35" spans="1:38" ht="15" customHeight="1" x14ac:dyDescent="0.3">
      <c r="A35" s="113"/>
      <c r="B35" s="56">
        <v>42813</v>
      </c>
      <c r="C35" s="52" t="s">
        <v>108</v>
      </c>
      <c r="D35" s="265"/>
      <c r="E35" s="266" t="str">
        <f>+'GRUPOS INFANTIL'!D7</f>
        <v>ASTON HUILA</v>
      </c>
      <c r="F35" s="267" t="str">
        <f>IF(AND(G35&lt;&gt;"",I35&lt;&gt;""),IF(G35=I35,"E",IF(G35&gt;I35,"G","P")),"")</f>
        <v>E</v>
      </c>
      <c r="G35" s="268">
        <v>2</v>
      </c>
      <c r="H35" s="270" t="s">
        <v>15</v>
      </c>
      <c r="I35" s="268">
        <v>2</v>
      </c>
      <c r="J35" s="267" t="str">
        <f>IF(AND(I35&lt;&gt;"",G35&lt;&gt;""),IF(I35=G35,"E",IF(I35&gt;G35,"G","P")),"")</f>
        <v>E</v>
      </c>
      <c r="K35" s="266" t="str">
        <f>+'GRUPOS INFANTIL'!D10</f>
        <v>CLUB DEPORTIVO NUEVAS GENERACIONES</v>
      </c>
      <c r="L35" s="271"/>
      <c r="M35" s="111" t="s">
        <v>37</v>
      </c>
      <c r="N35" s="115"/>
      <c r="O35" s="67"/>
      <c r="P35" s="27"/>
      <c r="Q35" s="27"/>
      <c r="R35" s="27"/>
      <c r="S35" s="27"/>
      <c r="T35" s="27"/>
      <c r="U35" s="27"/>
      <c r="V35" s="27"/>
      <c r="W35" s="27" t="str">
        <f>IF(AJ8=1,IF(P36="","",P36),IF(SUM(Q10:Q17)&gt;0,VLOOKUP(2,Z10:AA17,2,0),""))</f>
        <v>CLUB DEPORTIVO NUEVAS GENERACIONES</v>
      </c>
      <c r="X35" s="27"/>
      <c r="Y35" s="27"/>
      <c r="Z35" s="76"/>
      <c r="AA35" s="27"/>
      <c r="AB35" s="27"/>
      <c r="AC35" s="76"/>
      <c r="AD35" s="76"/>
      <c r="AE35" s="76"/>
      <c r="AF35" s="76"/>
      <c r="AG35" s="76"/>
      <c r="AH35" s="76"/>
      <c r="AI35" s="27"/>
      <c r="AJ35" s="76"/>
      <c r="AK35" s="76"/>
      <c r="AL35" s="27"/>
    </row>
    <row r="36" spans="1:38" ht="15" customHeight="1" x14ac:dyDescent="0.3">
      <c r="A36" s="65"/>
      <c r="B36" s="56"/>
      <c r="C36" s="52"/>
      <c r="D36" s="265"/>
      <c r="E36" s="266"/>
      <c r="F36" s="267"/>
      <c r="G36" s="269"/>
      <c r="H36" s="270"/>
      <c r="I36" s="269"/>
      <c r="J36" s="267"/>
      <c r="K36" s="266"/>
      <c r="L36" s="271"/>
      <c r="M36" s="54"/>
      <c r="N36" s="66"/>
      <c r="O36" s="66"/>
      <c r="P36" s="299"/>
      <c r="Q36" s="299"/>
      <c r="R36" s="299"/>
      <c r="S36" s="299"/>
      <c r="T36" s="299"/>
      <c r="U36" s="27"/>
      <c r="V36" s="27"/>
      <c r="W36" s="27"/>
      <c r="X36" s="27"/>
      <c r="Y36" s="27"/>
      <c r="Z36" s="76"/>
      <c r="AA36" s="27"/>
      <c r="AB36" s="27"/>
      <c r="AC36" s="76"/>
      <c r="AD36" s="76"/>
      <c r="AE36" s="76"/>
      <c r="AF36" s="76"/>
      <c r="AG36" s="76"/>
      <c r="AH36" s="76"/>
      <c r="AI36" s="27"/>
      <c r="AJ36" s="76"/>
      <c r="AK36" s="76"/>
      <c r="AL36" s="27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7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249"/>
      <c r="R39" s="249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IF(AG20=1,"Indique el primero y segundo equipos clasificados de la serie:","")</f>
        <v/>
      </c>
      <c r="K43" s="15"/>
      <c r="L43" s="25" t="str">
        <f>IF(AG20=1,"Primero:","")</f>
        <v/>
      </c>
      <c r="M43" s="15"/>
      <c r="N43" s="24"/>
      <c r="O43" s="24"/>
      <c r="P43" s="7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IF(AG20=1,"(Debido a la paridad de los resultados, no pueden deducirse de forma automática.)","")</f>
        <v/>
      </c>
      <c r="K46" s="15"/>
      <c r="L46" s="25" t="str">
        <f>IF(AG20=1,"Segundo:","")</f>
        <v/>
      </c>
      <c r="M46" s="15"/>
      <c r="N46" s="24"/>
      <c r="O46" s="24"/>
      <c r="P46" s="7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58" spans="16:20" x14ac:dyDescent="0.3">
      <c r="P58" s="133" t="str">
        <f>+'GRUPOS INFANTIL'!D7</f>
        <v>ASTON HUILA</v>
      </c>
      <c r="Q58" s="132" t="str">
        <f>+F8</f>
        <v/>
      </c>
      <c r="R58" s="132" t="str">
        <f>+F20</f>
        <v>G</v>
      </c>
      <c r="S58" s="132" t="str">
        <f>+F26</f>
        <v>G</v>
      </c>
      <c r="T58" s="132" t="str">
        <f>+F35</f>
        <v>E</v>
      </c>
    </row>
    <row r="59" spans="16:20" x14ac:dyDescent="0.3">
      <c r="P59" s="133" t="str">
        <f>+'GRUPOS INFANTIL'!D8</f>
        <v>INTER F. C.</v>
      </c>
      <c r="Q59" s="132" t="str">
        <f>+F11</f>
        <v/>
      </c>
      <c r="R59" s="132" t="str">
        <f>+J20</f>
        <v>P</v>
      </c>
      <c r="S59" s="132" t="str">
        <f>+F29</f>
        <v>E</v>
      </c>
      <c r="T59" s="132" t="str">
        <f>+F32</f>
        <v>E</v>
      </c>
    </row>
    <row r="60" spans="16:20" x14ac:dyDescent="0.3">
      <c r="P60" s="133" t="str">
        <f>+'GRUPOS INFANTIL'!D9</f>
        <v>ATHLETIC MELGAR</v>
      </c>
      <c r="Q60" s="132" t="str">
        <f>+F14</f>
        <v/>
      </c>
      <c r="R60" s="132" t="str">
        <f>+F23</f>
        <v>P</v>
      </c>
      <c r="S60" s="132" t="str">
        <f>+J26</f>
        <v>P</v>
      </c>
      <c r="T60" s="132" t="str">
        <f>+J32</f>
        <v>E</v>
      </c>
    </row>
    <row r="61" spans="16:20" x14ac:dyDescent="0.3">
      <c r="P61" s="133" t="str">
        <f>+'GRUPOS INFANTIL'!D10</f>
        <v>CLUB DEPORTIVO NUEVAS GENERACIONES</v>
      </c>
      <c r="Q61" s="132" t="str">
        <f>+F17</f>
        <v/>
      </c>
      <c r="R61" s="132" t="str">
        <f>+J23</f>
        <v>G</v>
      </c>
      <c r="S61" s="132" t="str">
        <f>+J29</f>
        <v>E</v>
      </c>
      <c r="T61" s="132" t="str">
        <f>+J35</f>
        <v>E</v>
      </c>
    </row>
  </sheetData>
  <mergeCells count="292">
    <mergeCell ref="AJ28:AJ29"/>
    <mergeCell ref="AK28:AK29"/>
    <mergeCell ref="E20:E21"/>
    <mergeCell ref="E23:E24"/>
    <mergeCell ref="E26:E27"/>
    <mergeCell ref="E29:E30"/>
    <mergeCell ref="AJ8:AJ9"/>
    <mergeCell ref="AJ24:AJ25"/>
    <mergeCell ref="AK24:AK25"/>
    <mergeCell ref="AJ26:AJ27"/>
    <mergeCell ref="AK26:AK27"/>
    <mergeCell ref="W26:W27"/>
    <mergeCell ref="U22:U23"/>
    <mergeCell ref="AG28:AG29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6:AC27"/>
    <mergeCell ref="K35:K36"/>
    <mergeCell ref="P20:P21"/>
    <mergeCell ref="J32:J33"/>
    <mergeCell ref="L32:L33"/>
    <mergeCell ref="L26:L27"/>
    <mergeCell ref="A1:N1"/>
    <mergeCell ref="A2:N2"/>
    <mergeCell ref="B3:E3"/>
    <mergeCell ref="P6:Y6"/>
    <mergeCell ref="B6:M6"/>
    <mergeCell ref="D20:D21"/>
    <mergeCell ref="S20:S21"/>
    <mergeCell ref="T20:T21"/>
    <mergeCell ref="U20:U21"/>
    <mergeCell ref="V20:V21"/>
    <mergeCell ref="K20:K21"/>
    <mergeCell ref="K23:K24"/>
    <mergeCell ref="K26:K27"/>
    <mergeCell ref="K29:K30"/>
    <mergeCell ref="K32:K33"/>
    <mergeCell ref="F20:F21"/>
    <mergeCell ref="G20:G21"/>
    <mergeCell ref="H20:H21"/>
    <mergeCell ref="I20:I21"/>
    <mergeCell ref="AD26:AD27"/>
    <mergeCell ref="AE26:AE27"/>
    <mergeCell ref="AD24:AD25"/>
    <mergeCell ref="AE24:AE25"/>
    <mergeCell ref="AF24:AF25"/>
    <mergeCell ref="W20:W21"/>
    <mergeCell ref="X20:X21"/>
    <mergeCell ref="Y20:Y21"/>
    <mergeCell ref="Q20:Q21"/>
    <mergeCell ref="Y22:Y23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P22:P23"/>
    <mergeCell ref="Q22:Q23"/>
    <mergeCell ref="S22:S23"/>
    <mergeCell ref="T22:T23"/>
    <mergeCell ref="AH24:AH25"/>
    <mergeCell ref="W24:W25"/>
    <mergeCell ref="X24:X25"/>
    <mergeCell ref="AG24:AG25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8:G9">
    <cfRule type="expression" dxfId="341" priority="22" stopIfTrue="1">
      <formula>F8="P"</formula>
    </cfRule>
    <cfRule type="expression" dxfId="340" priority="23" stopIfTrue="1">
      <formula>F8="E"</formula>
    </cfRule>
    <cfRule type="expression" dxfId="339" priority="24" stopIfTrue="1">
      <formula>F8="G"</formula>
    </cfRule>
  </conditionalFormatting>
  <conditionalFormatting sqref="G11:G12">
    <cfRule type="expression" dxfId="338" priority="8" stopIfTrue="1">
      <formula>F11="E"</formula>
    </cfRule>
    <cfRule type="expression" dxfId="337" priority="7" stopIfTrue="1">
      <formula>F11="P"</formula>
    </cfRule>
    <cfRule type="expression" dxfId="336" priority="9" stopIfTrue="1">
      <formula>F11="G"</formula>
    </cfRule>
  </conditionalFormatting>
  <conditionalFormatting sqref="G14:G15">
    <cfRule type="expression" dxfId="335" priority="4" stopIfTrue="1">
      <formula>F14="P"</formula>
    </cfRule>
    <cfRule type="expression" dxfId="334" priority="5" stopIfTrue="1">
      <formula>F14="E"</formula>
    </cfRule>
    <cfRule type="expression" dxfId="333" priority="6" stopIfTrue="1">
      <formula>F14="G"</formula>
    </cfRule>
  </conditionalFormatting>
  <conditionalFormatting sqref="G17:G18">
    <cfRule type="expression" dxfId="332" priority="2" stopIfTrue="1">
      <formula>F17="E"</formula>
    </cfRule>
    <cfRule type="expression" dxfId="331" priority="3" stopIfTrue="1">
      <formula>F17="G"</formula>
    </cfRule>
    <cfRule type="expression" dxfId="330" priority="1" stopIfTrue="1">
      <formula>F17="P"</formula>
    </cfRule>
  </conditionalFormatting>
  <conditionalFormatting sqref="G20:G21">
    <cfRule type="expression" dxfId="329" priority="59" stopIfTrue="1">
      <formula>F20="E"</formula>
    </cfRule>
    <cfRule type="expression" dxfId="328" priority="58" stopIfTrue="1">
      <formula>F20="P"</formula>
    </cfRule>
    <cfRule type="expression" dxfId="327" priority="60" stopIfTrue="1">
      <formula>F20="G"</formula>
    </cfRule>
  </conditionalFormatting>
  <conditionalFormatting sqref="G23:G24">
    <cfRule type="expression" dxfId="326" priority="38" stopIfTrue="1">
      <formula>F23="E"</formula>
    </cfRule>
    <cfRule type="expression" dxfId="325" priority="37" stopIfTrue="1">
      <formula>F23="P"</formula>
    </cfRule>
    <cfRule type="expression" dxfId="324" priority="39" stopIfTrue="1">
      <formula>F23="G"</formula>
    </cfRule>
  </conditionalFormatting>
  <conditionalFormatting sqref="G26:G27">
    <cfRule type="expression" dxfId="323" priority="34" stopIfTrue="1">
      <formula>F26="P"</formula>
    </cfRule>
    <cfRule type="expression" dxfId="322" priority="35" stopIfTrue="1">
      <formula>F26="E"</formula>
    </cfRule>
    <cfRule type="expression" dxfId="321" priority="36" stopIfTrue="1">
      <formula>F26="G"</formula>
    </cfRule>
  </conditionalFormatting>
  <conditionalFormatting sqref="G29:G30">
    <cfRule type="expression" dxfId="320" priority="32" stopIfTrue="1">
      <formula>F29="E"</formula>
    </cfRule>
    <cfRule type="expression" dxfId="319" priority="31" stopIfTrue="1">
      <formula>F29="P"</formula>
    </cfRule>
    <cfRule type="expression" dxfId="318" priority="33" stopIfTrue="1">
      <formula>F29="G"</formula>
    </cfRule>
  </conditionalFormatting>
  <conditionalFormatting sqref="G32:G33">
    <cfRule type="expression" dxfId="317" priority="30" stopIfTrue="1">
      <formula>F32="G"</formula>
    </cfRule>
    <cfRule type="expression" dxfId="316" priority="29" stopIfTrue="1">
      <formula>F32="E"</formula>
    </cfRule>
    <cfRule type="expression" dxfId="315" priority="28" stopIfTrue="1">
      <formula>F32="P"</formula>
    </cfRule>
  </conditionalFormatting>
  <conditionalFormatting sqref="G35:G36">
    <cfRule type="expression" dxfId="314" priority="25" stopIfTrue="1">
      <formula>F35="P"</formula>
    </cfRule>
    <cfRule type="expression" dxfId="313" priority="26" stopIfTrue="1">
      <formula>F35="E"</formula>
    </cfRule>
    <cfRule type="expression" dxfId="312" priority="27" stopIfTrue="1">
      <formula>F35="G"</formula>
    </cfRule>
  </conditionalFormatting>
  <conditionalFormatting sqref="I8:I9">
    <cfRule type="expression" dxfId="311" priority="10" stopIfTrue="1">
      <formula>J8="P"</formula>
    </cfRule>
    <cfRule type="expression" dxfId="310" priority="11" stopIfTrue="1">
      <formula>J8="E"</formula>
    </cfRule>
    <cfRule type="expression" dxfId="309" priority="12" stopIfTrue="1">
      <formula>J8="G"</formula>
    </cfRule>
  </conditionalFormatting>
  <conditionalFormatting sqref="I11:I12">
    <cfRule type="expression" dxfId="308" priority="13" stopIfTrue="1">
      <formula>J11="P"</formula>
    </cfRule>
    <cfRule type="expression" dxfId="307" priority="14" stopIfTrue="1">
      <formula>J11="E"</formula>
    </cfRule>
    <cfRule type="expression" dxfId="306" priority="15" stopIfTrue="1">
      <formula>J11="G"</formula>
    </cfRule>
  </conditionalFormatting>
  <conditionalFormatting sqref="I14:I15">
    <cfRule type="expression" dxfId="305" priority="16" stopIfTrue="1">
      <formula>J14="P"</formula>
    </cfRule>
    <cfRule type="expression" dxfId="304" priority="17" stopIfTrue="1">
      <formula>J14="E"</formula>
    </cfRule>
    <cfRule type="expression" dxfId="303" priority="18" stopIfTrue="1">
      <formula>J14="G"</formula>
    </cfRule>
  </conditionalFormatting>
  <conditionalFormatting sqref="I17:I18">
    <cfRule type="expression" dxfId="302" priority="19" stopIfTrue="1">
      <formula>J17="P"</formula>
    </cfRule>
    <cfRule type="expression" dxfId="301" priority="20" stopIfTrue="1">
      <formula>J17="E"</formula>
    </cfRule>
    <cfRule type="expression" dxfId="300" priority="21" stopIfTrue="1">
      <formula>J17="G"</formula>
    </cfRule>
  </conditionalFormatting>
  <conditionalFormatting sqref="I20:I21">
    <cfRule type="expression" dxfId="299" priority="45" stopIfTrue="1">
      <formula>J20="G"</formula>
    </cfRule>
    <cfRule type="expression" dxfId="298" priority="43" stopIfTrue="1">
      <formula>J20="P"</formula>
    </cfRule>
    <cfRule type="expression" dxfId="297" priority="44" stopIfTrue="1">
      <formula>J20="E"</formula>
    </cfRule>
  </conditionalFormatting>
  <conditionalFormatting sqref="I23:I24">
    <cfRule type="expression" dxfId="296" priority="47" stopIfTrue="1">
      <formula>J23="E"</formula>
    </cfRule>
    <cfRule type="expression" dxfId="295" priority="48" stopIfTrue="1">
      <formula>J23="G"</formula>
    </cfRule>
    <cfRule type="expression" dxfId="294" priority="46" stopIfTrue="1">
      <formula>J23="P"</formula>
    </cfRule>
  </conditionalFormatting>
  <conditionalFormatting sqref="I26:I27">
    <cfRule type="expression" dxfId="293" priority="49" stopIfTrue="1">
      <formula>J26="P"</formula>
    </cfRule>
    <cfRule type="expression" dxfId="292" priority="50" stopIfTrue="1">
      <formula>J26="E"</formula>
    </cfRule>
    <cfRule type="expression" dxfId="291" priority="51" stopIfTrue="1">
      <formula>J26="G"</formula>
    </cfRule>
  </conditionalFormatting>
  <conditionalFormatting sqref="I29:I30">
    <cfRule type="expression" dxfId="290" priority="52" stopIfTrue="1">
      <formula>J29="P"</formula>
    </cfRule>
    <cfRule type="expression" dxfId="289" priority="54" stopIfTrue="1">
      <formula>J29="G"</formula>
    </cfRule>
    <cfRule type="expression" dxfId="288" priority="53" stopIfTrue="1">
      <formula>J29="E"</formula>
    </cfRule>
  </conditionalFormatting>
  <conditionalFormatting sqref="I32:I33">
    <cfRule type="expression" dxfId="287" priority="56" stopIfTrue="1">
      <formula>J32="E"</formula>
    </cfRule>
    <cfRule type="expression" dxfId="286" priority="57" stopIfTrue="1">
      <formula>J32="G"</formula>
    </cfRule>
    <cfRule type="expression" dxfId="285" priority="55" stopIfTrue="1">
      <formula>J32="P"</formula>
    </cfRule>
  </conditionalFormatting>
  <conditionalFormatting sqref="I35:I36">
    <cfRule type="expression" dxfId="284" priority="41" stopIfTrue="1">
      <formula>J35="E"</formula>
    </cfRule>
    <cfRule type="expression" dxfId="283" priority="42" stopIfTrue="1">
      <formula>J35="G"</formula>
    </cfRule>
    <cfRule type="expression" dxfId="282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1" zoomScale="90" zoomScaleNormal="90" workbookViewId="0">
      <selection activeCell="I25" sqref="I25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09" t="str">
        <f>+'GRUPOS INFANTIL'!C1</f>
        <v>XVIII Campeonato Nacional de Fútbol Infantil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38" s="3" customFormat="1" ht="24.6" x14ac:dyDescent="0.3">
      <c r="A2" s="310" t="s">
        <v>6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</row>
    <row r="3" spans="1:38" s="3" customFormat="1" ht="34.5" customHeight="1" x14ac:dyDescent="0.65">
      <c r="B3" s="326">
        <f>+'GRUPOS INFANTIL'!C3</f>
        <v>0</v>
      </c>
      <c r="C3" s="326"/>
      <c r="D3" s="326"/>
      <c r="E3" s="326"/>
      <c r="F3" s="258" t="str">
        <f>+'GRUPOS INFANTIL'!C4</f>
        <v>NACIDOS 2017 2018</v>
      </c>
      <c r="G3" s="258"/>
      <c r="H3" s="258"/>
      <c r="I3" s="258"/>
      <c r="J3" s="258"/>
      <c r="K3" s="258"/>
      <c r="Y3" s="64"/>
      <c r="Z3" s="45"/>
    </row>
    <row r="4" spans="1:38" s="3" customFormat="1" ht="30.6" customHeight="1" x14ac:dyDescent="0.3">
      <c r="B4" s="327" t="str">
        <f>+'GRUPOS INFANTIL'!H6</f>
        <v>GRUPO B</v>
      </c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Y4" s="47"/>
      <c r="Z4" s="46"/>
    </row>
    <row r="5" spans="1:38" s="3" customFormat="1" ht="15" customHeight="1" x14ac:dyDescent="0.3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S5" s="1"/>
    </row>
    <row r="6" spans="1:38" ht="21.75" customHeight="1" x14ac:dyDescent="0.45">
      <c r="A6" s="1"/>
      <c r="B6" s="314" t="s">
        <v>4</v>
      </c>
      <c r="C6" s="315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18"/>
      <c r="O6" s="18"/>
      <c r="P6" s="312" t="s">
        <v>14</v>
      </c>
      <c r="Q6" s="313"/>
      <c r="R6" s="313"/>
      <c r="S6" s="313"/>
      <c r="T6" s="313"/>
      <c r="U6" s="313"/>
      <c r="V6" s="313"/>
      <c r="W6" s="313"/>
      <c r="X6" s="313"/>
      <c r="Y6" s="313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0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2"/>
      <c r="B8" s="55"/>
      <c r="C8" s="55"/>
      <c r="D8" s="282"/>
      <c r="E8" s="283"/>
      <c r="F8" s="267" t="str">
        <f>IF(AND(G8&lt;&gt;"",I8&lt;&gt;""),IF(G8=I8,"E",IF(G8&gt;I8,"G","P")),"")</f>
        <v/>
      </c>
      <c r="G8" s="317"/>
      <c r="H8" s="270" t="s">
        <v>15</v>
      </c>
      <c r="I8" s="317"/>
      <c r="J8" s="267" t="str">
        <f>IF(AND(I8&lt;&gt;"",G8&lt;&gt;""),IF(I8=G8,"E",IF(I8&gt;G8,"G","P")),"")</f>
        <v/>
      </c>
      <c r="K8" s="283"/>
      <c r="L8" s="284"/>
      <c r="M8" s="110"/>
      <c r="N8" s="114"/>
      <c r="O8" s="67"/>
      <c r="P8" s="291"/>
      <c r="Q8" s="293" t="s">
        <v>7</v>
      </c>
      <c r="R8" s="295" t="s">
        <v>16</v>
      </c>
      <c r="S8" s="285" t="s">
        <v>8</v>
      </c>
      <c r="T8" s="285" t="s">
        <v>9</v>
      </c>
      <c r="U8" s="285" t="s">
        <v>10</v>
      </c>
      <c r="V8" s="285" t="s">
        <v>11</v>
      </c>
      <c r="W8" s="285" t="s">
        <v>12</v>
      </c>
      <c r="X8" s="285" t="s">
        <v>13</v>
      </c>
      <c r="Y8" s="285" t="s">
        <v>35</v>
      </c>
      <c r="Z8" s="287"/>
      <c r="AA8" s="27"/>
      <c r="AB8" s="289"/>
      <c r="AC8" s="289"/>
      <c r="AD8" s="289"/>
      <c r="AE8" s="289"/>
      <c r="AF8" s="289"/>
      <c r="AG8" s="289"/>
      <c r="AH8" s="289"/>
      <c r="AI8" s="27"/>
      <c r="AJ8" s="289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5"/>
      <c r="B9" s="55"/>
      <c r="C9" s="51"/>
      <c r="D9" s="282"/>
      <c r="E9" s="283"/>
      <c r="F9" s="267"/>
      <c r="G9" s="318"/>
      <c r="H9" s="270"/>
      <c r="I9" s="318"/>
      <c r="J9" s="267"/>
      <c r="K9" s="283"/>
      <c r="L9" s="284"/>
      <c r="M9" s="53"/>
      <c r="N9" s="66"/>
      <c r="O9" s="66"/>
      <c r="P9" s="292"/>
      <c r="Q9" s="294"/>
      <c r="R9" s="296"/>
      <c r="S9" s="286"/>
      <c r="T9" s="286"/>
      <c r="U9" s="286"/>
      <c r="V9" s="286"/>
      <c r="W9" s="286"/>
      <c r="X9" s="286"/>
      <c r="Y9" s="286"/>
      <c r="Z9" s="288"/>
      <c r="AA9" s="27"/>
      <c r="AB9" s="290"/>
      <c r="AC9" s="290"/>
      <c r="AD9" s="290"/>
      <c r="AE9" s="290"/>
      <c r="AF9" s="290"/>
      <c r="AG9" s="290"/>
      <c r="AH9" s="290"/>
      <c r="AI9" s="27"/>
      <c r="AJ9" s="290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322" t="e">
        <f>"  1)  " &amp; VLOOKUP(1,$Z$10:$AI$17,2,0)</f>
        <v>#REF!</v>
      </c>
      <c r="Q10" s="274">
        <f>VLOOKUP(1,$Z$10:$AI$17,3,0)</f>
        <v>0</v>
      </c>
      <c r="R10" s="276">
        <f>+SUM(S10:U11)</f>
        <v>0</v>
      </c>
      <c r="S10" s="278">
        <f>VLOOKUP(1,$Z$10:$AI$17,4,0)</f>
        <v>0</v>
      </c>
      <c r="T10" s="278">
        <f>VLOOKUP(1,$Z$10:$AI$17,5,0)</f>
        <v>0</v>
      </c>
      <c r="U10" s="278">
        <f>VLOOKUP(1,$Z$10:$AI$17,6,0)</f>
        <v>0</v>
      </c>
      <c r="V10" s="278">
        <f>VLOOKUP(1,$Z$10:$AI$17,7,0)</f>
        <v>0</v>
      </c>
      <c r="W10" s="278">
        <f>VLOOKUP(1,$Z$10:$AI$17,8,0)</f>
        <v>0</v>
      </c>
      <c r="X10" s="278">
        <f>VLOOKUP(1,$Z$10:$AH$17,9,0)</f>
        <v>0</v>
      </c>
      <c r="Y10" s="278">
        <f>VLOOKUP(1,$Z$10:$AI$17,10,0)</f>
        <v>0</v>
      </c>
      <c r="Z10" s="280">
        <f>RANK(AJ10,$AJ$10:$AJ$17,0)</f>
        <v>4</v>
      </c>
      <c r="AA10" s="260" t="str">
        <f>+'GRUPOS INFANTIL'!H7</f>
        <v>CANUTO F.C.</v>
      </c>
      <c r="AB10" s="260">
        <f>(AC10*3)+AD10</f>
        <v>0</v>
      </c>
      <c r="AC10" s="260">
        <f>COUNTIF(Q58:T58,"G")</f>
        <v>0</v>
      </c>
      <c r="AD10" s="260">
        <f>COUNTIF(Q58:T58,"E")</f>
        <v>0</v>
      </c>
      <c r="AE10" s="260">
        <f>COUNTIF(Q58:T58,"P")</f>
        <v>0</v>
      </c>
      <c r="AF10" s="260">
        <f>+I8+G20+G26+G32</f>
        <v>0</v>
      </c>
      <c r="AG10" s="260">
        <f>+I20+I26+I32+G8</f>
        <v>0</v>
      </c>
      <c r="AH10" s="260">
        <f>AF10-AG10</f>
        <v>0</v>
      </c>
      <c r="AI10" s="262">
        <f>+A20+A26+A32+N8</f>
        <v>0</v>
      </c>
      <c r="AJ10" s="260">
        <f>(AB10*1000)+(AH10*100)+(AF10*10)-AI10+0.1</f>
        <v>0.1</v>
      </c>
      <c r="AK10" s="263">
        <f>AJ10+X10</f>
        <v>0.1</v>
      </c>
      <c r="AL10" s="3"/>
    </row>
    <row r="11" spans="1:38" ht="15.75" customHeight="1" x14ac:dyDescent="0.3">
      <c r="A11" s="113"/>
      <c r="B11" s="56"/>
      <c r="C11" s="56"/>
      <c r="D11" s="265"/>
      <c r="E11" s="266"/>
      <c r="F11" s="267" t="str">
        <f>IF(AND(G11&lt;&gt;"",I11&lt;&gt;""),IF(G11=I11,"E",IF(G11&gt;I11,"G","P")),"")</f>
        <v/>
      </c>
      <c r="G11" s="317"/>
      <c r="H11" s="270" t="s">
        <v>15</v>
      </c>
      <c r="I11" s="317"/>
      <c r="J11" s="267" t="str">
        <f>IF(AND(I11&lt;&gt;"",G11&lt;&gt;""),IF(I11=G11,"E",IF(I11&gt;G11,"G","P")),"")</f>
        <v/>
      </c>
      <c r="K11" s="266"/>
      <c r="L11" s="271"/>
      <c r="M11" s="111"/>
      <c r="N11" s="115"/>
      <c r="O11" s="67"/>
      <c r="P11" s="323"/>
      <c r="Q11" s="275"/>
      <c r="R11" s="277"/>
      <c r="S11" s="279"/>
      <c r="T11" s="279"/>
      <c r="U11" s="279"/>
      <c r="V11" s="279"/>
      <c r="W11" s="279"/>
      <c r="X11" s="279"/>
      <c r="Y11" s="279"/>
      <c r="Z11" s="281"/>
      <c r="AA11" s="261"/>
      <c r="AB11" s="261"/>
      <c r="AC11" s="261"/>
      <c r="AD11" s="261"/>
      <c r="AE11" s="261"/>
      <c r="AF11" s="261"/>
      <c r="AG11" s="261"/>
      <c r="AH11" s="261"/>
      <c r="AI11" s="324"/>
      <c r="AJ11" s="261"/>
      <c r="AK11" s="264"/>
      <c r="AL11" s="3"/>
    </row>
    <row r="12" spans="1:38" ht="15.75" customHeight="1" x14ac:dyDescent="0.3">
      <c r="A12" s="65"/>
      <c r="B12" s="56"/>
      <c r="C12" s="52"/>
      <c r="D12" s="265"/>
      <c r="E12" s="266"/>
      <c r="F12" s="267"/>
      <c r="G12" s="318"/>
      <c r="H12" s="270"/>
      <c r="I12" s="318"/>
      <c r="J12" s="267"/>
      <c r="K12" s="266"/>
      <c r="L12" s="271"/>
      <c r="M12" s="54"/>
      <c r="N12" s="66"/>
      <c r="O12" s="66"/>
      <c r="P12" s="322" t="str">
        <f>"  2)  " &amp; VLOOKUP(2,$Z$10:$AI$17,2,0)</f>
        <v xml:space="preserve">  2)  CLUB PROMOTOR DEPORTIVO SCORPION</v>
      </c>
      <c r="Q12" s="274">
        <f>VLOOKUP(2,$Z$10:$AI$17,3,0)</f>
        <v>0</v>
      </c>
      <c r="R12" s="276">
        <f>+SUM(S12:U13)</f>
        <v>0</v>
      </c>
      <c r="S12" s="278">
        <f>VLOOKUP(2,$Z$10:$AI$17,4,0)</f>
        <v>0</v>
      </c>
      <c r="T12" s="278">
        <f>VLOOKUP(2,$Z$10:$AI$17,5,0)</f>
        <v>0</v>
      </c>
      <c r="U12" s="278">
        <f>VLOOKUP(2,$Z$10:$AI$17,6,0)</f>
        <v>0</v>
      </c>
      <c r="V12" s="278">
        <f>VLOOKUP(2,$Z$10:$AI$17,7,0)</f>
        <v>0</v>
      </c>
      <c r="W12" s="278">
        <f>VLOOKUP(2,$Z$10:$AI$17,8,0)</f>
        <v>0</v>
      </c>
      <c r="X12" s="278">
        <f>VLOOKUP(2,$Z$10:$AH$17,9,0)</f>
        <v>0</v>
      </c>
      <c r="Y12" s="278">
        <f>VLOOKUP(2,$Z$10:$AI$17,10,0)</f>
        <v>0</v>
      </c>
      <c r="Z12" s="280">
        <f>RANK(AJ12,$AJ$10:$AJ$17,0)</f>
        <v>3</v>
      </c>
      <c r="AA12" s="260" t="str">
        <f>+'GRUPOS INFANTIL'!H8</f>
        <v>HUITACA FUTBOL CLUB CHIA</v>
      </c>
      <c r="AB12" s="260">
        <f>(AC12*3)+AD12</f>
        <v>0</v>
      </c>
      <c r="AC12" s="260">
        <f>COUNTIF(Q59:T59,"G")</f>
        <v>0</v>
      </c>
      <c r="AD12" s="260">
        <f>COUNTIF(Q59:T59,"E")</f>
        <v>0</v>
      </c>
      <c r="AE12" s="260">
        <f>COUNTIF(Q59:T59,"P")</f>
        <v>0</v>
      </c>
      <c r="AF12" s="260">
        <f>+I20+G29+G35+I11</f>
        <v>0</v>
      </c>
      <c r="AG12" s="260">
        <f>+G20+I29+I35+G11</f>
        <v>0</v>
      </c>
      <c r="AH12" s="260">
        <f>AF12-AG12</f>
        <v>0</v>
      </c>
      <c r="AI12" s="262">
        <f>+N20+A29+A35+N11</f>
        <v>0</v>
      </c>
      <c r="AJ12" s="260">
        <f>(AB12*1000)+(AH12*100)+(AF12*10)-AI12+0.2</f>
        <v>0.2</v>
      </c>
      <c r="AK12" s="263">
        <f>AJ12+X12</f>
        <v>0.2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323"/>
      <c r="Q13" s="275"/>
      <c r="R13" s="277"/>
      <c r="S13" s="279"/>
      <c r="T13" s="279"/>
      <c r="U13" s="279"/>
      <c r="V13" s="279"/>
      <c r="W13" s="279"/>
      <c r="X13" s="279"/>
      <c r="Y13" s="279"/>
      <c r="Z13" s="281"/>
      <c r="AA13" s="261"/>
      <c r="AB13" s="261"/>
      <c r="AC13" s="261"/>
      <c r="AD13" s="261"/>
      <c r="AE13" s="261"/>
      <c r="AF13" s="261"/>
      <c r="AG13" s="261"/>
      <c r="AH13" s="261"/>
      <c r="AI13" s="324"/>
      <c r="AJ13" s="261"/>
      <c r="AK13" s="264"/>
      <c r="AL13" s="3"/>
    </row>
    <row r="14" spans="1:38" ht="15" customHeight="1" x14ac:dyDescent="0.3">
      <c r="A14" s="112"/>
      <c r="B14" s="55"/>
      <c r="C14" s="51"/>
      <c r="D14" s="282"/>
      <c r="E14" s="283"/>
      <c r="F14" s="267" t="str">
        <f>IF(AND(G14&lt;&gt;"",I14&lt;&gt;""),IF(G14=I14,"E",IF(G14&gt;I14,"G","P")),"")</f>
        <v/>
      </c>
      <c r="G14" s="317"/>
      <c r="H14" s="270" t="s">
        <v>15</v>
      </c>
      <c r="I14" s="317"/>
      <c r="J14" s="267" t="str">
        <f>IF(AND(I14&lt;&gt;"",G14&lt;&gt;""),IF(I14=G14,"E",IF(I14&gt;G14,"G","P")),"")</f>
        <v/>
      </c>
      <c r="K14" s="283"/>
      <c r="L14" s="284"/>
      <c r="M14" s="110"/>
      <c r="N14" s="114"/>
      <c r="O14" s="67"/>
      <c r="P14" s="322" t="str">
        <f>"  3)  " &amp; VLOOKUP(3,$Z$10:$AI$17,2,0)</f>
        <v xml:space="preserve">  3)  HUITACA FUTBOL CLUB CHIA</v>
      </c>
      <c r="Q14" s="274">
        <f>VLOOKUP(3,$Z$10:$AI$17,3,0)</f>
        <v>0</v>
      </c>
      <c r="R14" s="276">
        <f>+SUM(S14:U15)</f>
        <v>0</v>
      </c>
      <c r="S14" s="278">
        <f>VLOOKUP(3,$Z$10:$AI$17,4,0)</f>
        <v>0</v>
      </c>
      <c r="T14" s="278">
        <f>VLOOKUP(3,$Z$10:$AI$17,5,0)</f>
        <v>0</v>
      </c>
      <c r="U14" s="278">
        <f>VLOOKUP(3,$Z$10:$AI$17,6,0)</f>
        <v>0</v>
      </c>
      <c r="V14" s="278">
        <f>VLOOKUP(3,$Z$10:$AI$17,7,0)</f>
        <v>0</v>
      </c>
      <c r="W14" s="278">
        <f>VLOOKUP(3,$Z$10:$AI$17,8,0)</f>
        <v>0</v>
      </c>
      <c r="X14" s="278">
        <f>VLOOKUP(3,$Z$10:$AI$17,9,0)</f>
        <v>0</v>
      </c>
      <c r="Y14" s="278">
        <f>VLOOKUP(3,$Z$10:$AI$17,10,0)</f>
        <v>0</v>
      </c>
      <c r="Z14" s="280">
        <f>RANK(AJ14,$AJ$10:$AJ$17,0)</f>
        <v>2</v>
      </c>
      <c r="AA14" s="260" t="str">
        <f>+'GRUPOS INFANTIL'!H9</f>
        <v>CLUB PROMOTOR DEPORTIVO SCORPION</v>
      </c>
      <c r="AB14" s="260">
        <f>(AC14*3)+AD14</f>
        <v>0</v>
      </c>
      <c r="AC14" s="260">
        <f>COUNTIF(Q60:T60,"G")</f>
        <v>0</v>
      </c>
      <c r="AD14" s="260">
        <f>COUNTIF(Q60:T60,"E")</f>
        <v>0</v>
      </c>
      <c r="AE14" s="260">
        <f>COUNTIF(Q60:T60,"P")</f>
        <v>0</v>
      </c>
      <c r="AF14" s="260">
        <f>+G23+I26+I35+I14</f>
        <v>0</v>
      </c>
      <c r="AG14" s="260">
        <f>+I23+G26+G35+G14</f>
        <v>0</v>
      </c>
      <c r="AH14" s="260">
        <f>AF14-AG14</f>
        <v>0</v>
      </c>
      <c r="AI14" s="262">
        <f>+A23+N26+N35+N14</f>
        <v>0</v>
      </c>
      <c r="AJ14" s="260">
        <f>(AB14*1000)+(AH14*100)+(AF14*10)-AI14+0.3</f>
        <v>0.3</v>
      </c>
      <c r="AK14" s="263">
        <f>+X14</f>
        <v>0</v>
      </c>
      <c r="AL14" s="3"/>
    </row>
    <row r="15" spans="1:38" ht="15" customHeight="1" x14ac:dyDescent="0.3">
      <c r="A15" s="65"/>
      <c r="B15" s="55"/>
      <c r="C15" s="51"/>
      <c r="D15" s="282"/>
      <c r="E15" s="283"/>
      <c r="F15" s="267"/>
      <c r="G15" s="318"/>
      <c r="H15" s="270"/>
      <c r="I15" s="318"/>
      <c r="J15" s="267"/>
      <c r="K15" s="283"/>
      <c r="L15" s="284"/>
      <c r="M15" s="53"/>
      <c r="N15" s="66"/>
      <c r="O15" s="66"/>
      <c r="P15" s="323"/>
      <c r="Q15" s="275"/>
      <c r="R15" s="277"/>
      <c r="S15" s="279"/>
      <c r="T15" s="279"/>
      <c r="U15" s="279"/>
      <c r="V15" s="279"/>
      <c r="W15" s="279"/>
      <c r="X15" s="279"/>
      <c r="Y15" s="279"/>
      <c r="Z15" s="281"/>
      <c r="AA15" s="261"/>
      <c r="AB15" s="261"/>
      <c r="AC15" s="261"/>
      <c r="AD15" s="261"/>
      <c r="AE15" s="261"/>
      <c r="AF15" s="261"/>
      <c r="AG15" s="261"/>
      <c r="AH15" s="261"/>
      <c r="AI15" s="324"/>
      <c r="AJ15" s="261"/>
      <c r="AK15" s="264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322" t="str">
        <f>"  4)  " &amp; VLOOKUP(4,$Z$10:$AI$17,2,0)</f>
        <v xml:space="preserve">  4)  CANUTO F.C.</v>
      </c>
      <c r="Q16" s="274">
        <f>VLOOKUP(4,$Z$10:$AI$17,3,0)</f>
        <v>0</v>
      </c>
      <c r="R16" s="276">
        <f>+SUM(S16:U17)</f>
        <v>0</v>
      </c>
      <c r="S16" s="278">
        <f>VLOOKUP(4,$Z$10:$AI$17,4,0)</f>
        <v>0</v>
      </c>
      <c r="T16" s="278">
        <f>VLOOKUP(4,$Z$10:$AI$17,5,0)</f>
        <v>0</v>
      </c>
      <c r="U16" s="278">
        <f>VLOOKUP(4,$Z$10:$AI$17,6,0)</f>
        <v>0</v>
      </c>
      <c r="V16" s="278">
        <f>VLOOKUP(4,$Z$10:$AI$17,7,0)</f>
        <v>0</v>
      </c>
      <c r="W16" s="278">
        <f>VLOOKUP(4,$Z$10:$AI$17,8,0)</f>
        <v>0</v>
      </c>
      <c r="X16" s="278">
        <f>VLOOKUP(4,$Z$10:$AI$17,9,0)</f>
        <v>0</v>
      </c>
      <c r="Y16" s="278">
        <f>VLOOKUP(4,$Z$10:$AI$17,10,0)</f>
        <v>0</v>
      </c>
      <c r="Z16" s="280">
        <f>RANK(AJ16,$AJ$10:$AJ$17,0)</f>
        <v>1</v>
      </c>
      <c r="AA16" s="260" t="e">
        <f>+'GRUPOS INFANTIL'!#REF!</f>
        <v>#REF!</v>
      </c>
      <c r="AB16" s="260">
        <f>(AC16*3)+AD16</f>
        <v>0</v>
      </c>
      <c r="AC16" s="260">
        <f>COUNTIF(Q61:T61,"G")</f>
        <v>0</v>
      </c>
      <c r="AD16" s="260">
        <f>COUNTIF(Q61:T61,"E")</f>
        <v>0</v>
      </c>
      <c r="AE16" s="260">
        <f>COUNTIF(Q61:T61,"P")</f>
        <v>0</v>
      </c>
      <c r="AF16" s="260">
        <f>+I23+I29+I32+I17</f>
        <v>0</v>
      </c>
      <c r="AG16" s="260">
        <f>+G23+G29+G32+G17</f>
        <v>0</v>
      </c>
      <c r="AH16" s="260">
        <f>AF16-AG16</f>
        <v>0</v>
      </c>
      <c r="AI16" s="262">
        <f>+N23+N29+N32+N17</f>
        <v>0</v>
      </c>
      <c r="AJ16" s="260">
        <f>(AB16*1000)+(AH16*100)+(AF16*10)-AI16+0.4</f>
        <v>0.4</v>
      </c>
      <c r="AK16" s="263">
        <f>+X16</f>
        <v>0</v>
      </c>
      <c r="AL16" s="3"/>
    </row>
    <row r="17" spans="1:38" ht="15" customHeight="1" x14ac:dyDescent="0.3">
      <c r="A17" s="113"/>
      <c r="B17" s="56"/>
      <c r="C17" s="56"/>
      <c r="D17" s="265"/>
      <c r="E17" s="266"/>
      <c r="F17" s="267" t="str">
        <f>IF(AND(G17&lt;&gt;"",I17&lt;&gt;""),IF(G17=I17,"E",IF(G17&gt;I17,"G","P")),"")</f>
        <v/>
      </c>
      <c r="G17" s="317"/>
      <c r="H17" s="270" t="s">
        <v>15</v>
      </c>
      <c r="I17" s="317"/>
      <c r="J17" s="267" t="str">
        <f>IF(AND(I17&lt;&gt;"",G17&lt;&gt;""),IF(I17=G17,"E",IF(I17&gt;G17,"G","P")),"")</f>
        <v/>
      </c>
      <c r="K17" s="266"/>
      <c r="L17" s="271"/>
      <c r="M17" s="111"/>
      <c r="N17" s="115"/>
      <c r="O17" s="67"/>
      <c r="P17" s="323"/>
      <c r="Q17" s="275"/>
      <c r="R17" s="277"/>
      <c r="S17" s="279"/>
      <c r="T17" s="279"/>
      <c r="U17" s="279"/>
      <c r="V17" s="279"/>
      <c r="W17" s="279"/>
      <c r="X17" s="279"/>
      <c r="Y17" s="279"/>
      <c r="Z17" s="281"/>
      <c r="AA17" s="261"/>
      <c r="AB17" s="261"/>
      <c r="AC17" s="261"/>
      <c r="AD17" s="261"/>
      <c r="AE17" s="261"/>
      <c r="AF17" s="261"/>
      <c r="AG17" s="261"/>
      <c r="AH17" s="261"/>
      <c r="AI17" s="324"/>
      <c r="AJ17" s="261"/>
      <c r="AK17" s="264"/>
      <c r="AL17" s="3"/>
    </row>
    <row r="18" spans="1:38" ht="15" customHeight="1" x14ac:dyDescent="0.3">
      <c r="A18" s="65"/>
      <c r="B18" s="56"/>
      <c r="C18" s="52"/>
      <c r="D18" s="265"/>
      <c r="E18" s="266"/>
      <c r="F18" s="267"/>
      <c r="G18" s="318"/>
      <c r="H18" s="270"/>
      <c r="I18" s="318"/>
      <c r="J18" s="267"/>
      <c r="K18" s="266"/>
      <c r="L18" s="271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9"/>
      <c r="C19" s="200"/>
      <c r="D19" s="201"/>
      <c r="E19" s="202"/>
      <c r="F19" s="203"/>
      <c r="G19" s="202"/>
      <c r="H19" s="202"/>
      <c r="I19" s="202"/>
      <c r="J19" s="202"/>
      <c r="K19" s="202"/>
      <c r="L19" s="204"/>
      <c r="M19" s="181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2"/>
      <c r="B20" s="55">
        <v>42812</v>
      </c>
      <c r="C20" s="51" t="s">
        <v>105</v>
      </c>
      <c r="D20" s="282"/>
      <c r="E20" s="283" t="str">
        <f>+'GRUPOS INFANTIL'!H7</f>
        <v>CANUTO F.C.</v>
      </c>
      <c r="F20" s="319" t="str">
        <f>IF(AND(G20&lt;&gt;"",I20&lt;&gt;""),IF(G20=I20,"E",IF(G20&gt;I20,"G","P")),"")</f>
        <v/>
      </c>
      <c r="G20" s="268"/>
      <c r="H20" s="320" t="s">
        <v>15</v>
      </c>
      <c r="I20" s="268"/>
      <c r="J20" s="321" t="str">
        <f>IF(AND(I20&lt;&gt;"",G20&lt;&gt;""),IF(I20=G20,"E",IF(I20&gt;G20,"G","P")),"")</f>
        <v/>
      </c>
      <c r="K20" s="283" t="str">
        <f>+'GRUPOS INFANTIL'!D8</f>
        <v>INTER F. C.</v>
      </c>
      <c r="L20" s="284"/>
      <c r="M20" s="110" t="s">
        <v>38</v>
      </c>
      <c r="N20" s="112"/>
      <c r="O20" s="6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5"/>
      <c r="B21" s="55"/>
      <c r="C21" s="51"/>
      <c r="D21" s="282"/>
      <c r="E21" s="283"/>
      <c r="F21" s="319"/>
      <c r="G21" s="269"/>
      <c r="H21" s="320"/>
      <c r="I21" s="269"/>
      <c r="J21" s="321"/>
      <c r="K21" s="283"/>
      <c r="L21" s="284"/>
      <c r="M21" s="53"/>
      <c r="N21" s="70"/>
      <c r="O21" s="6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3"/>
      <c r="B23" s="56">
        <v>42812</v>
      </c>
      <c r="C23" s="52" t="s">
        <v>77</v>
      </c>
      <c r="D23" s="265"/>
      <c r="E23" s="266" t="str">
        <f>+'GRUPOS INFANTIL'!H9</f>
        <v>CLUB PROMOTOR DEPORTIVO SCORPION</v>
      </c>
      <c r="F23" s="319" t="str">
        <f>IF(AND(G23&lt;&gt;"",I23&lt;&gt;""),IF(G23=I23,"E",IF(G23&gt;I23,"G","P")),"")</f>
        <v/>
      </c>
      <c r="G23" s="268"/>
      <c r="H23" s="320" t="s">
        <v>15</v>
      </c>
      <c r="I23" s="268"/>
      <c r="J23" s="321" t="str">
        <f>IF(AND(I23&lt;&gt;"",G23&lt;&gt;""),IF(I23=G23,"E",IF(I23&gt;G23,"G","P")),"")</f>
        <v/>
      </c>
      <c r="K23" s="266" t="e">
        <f>+'GRUPOS INFANTIL'!#REF!</f>
        <v>#REF!</v>
      </c>
      <c r="L23" s="271"/>
      <c r="M23" s="111" t="s">
        <v>38</v>
      </c>
      <c r="N23" s="113"/>
      <c r="O23" s="6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5"/>
      <c r="B24" s="56"/>
      <c r="C24" s="52"/>
      <c r="D24" s="265"/>
      <c r="E24" s="266"/>
      <c r="F24" s="319"/>
      <c r="G24" s="269"/>
      <c r="H24" s="320"/>
      <c r="I24" s="269"/>
      <c r="J24" s="321"/>
      <c r="K24" s="266"/>
      <c r="L24" s="271"/>
      <c r="M24" s="54"/>
      <c r="N24" s="70"/>
      <c r="O24" s="6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2"/>
      <c r="B26" s="55">
        <v>42813</v>
      </c>
      <c r="C26" s="51" t="s">
        <v>106</v>
      </c>
      <c r="D26" s="282"/>
      <c r="E26" s="283" t="str">
        <f>+'GRUPOS INFANTIL'!H7</f>
        <v>CANUTO F.C.</v>
      </c>
      <c r="F26" s="319" t="str">
        <f>IF(AND(G26&lt;&gt;"",I26&lt;&gt;""),IF(G26=I26,"E",IF(G26&gt;I26,"G","P")),"")</f>
        <v/>
      </c>
      <c r="G26" s="268"/>
      <c r="H26" s="320" t="s">
        <v>15</v>
      </c>
      <c r="I26" s="268"/>
      <c r="J26" s="321" t="str">
        <f>IF(AND(I26&lt;&gt;"",G26&lt;&gt;""),IF(I26=G26,"E",IF(I26&gt;G26,"G","P")),"")</f>
        <v/>
      </c>
      <c r="K26" s="283" t="str">
        <f>+'GRUPOS INFANTIL'!H9</f>
        <v>CLUB PROMOTOR DEPORTIVO SCORPION</v>
      </c>
      <c r="L26" s="284"/>
      <c r="M26" s="110" t="s">
        <v>37</v>
      </c>
      <c r="N26" s="112"/>
      <c r="O26" s="6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5"/>
      <c r="B27" s="55"/>
      <c r="C27" s="51"/>
      <c r="D27" s="282"/>
      <c r="E27" s="283"/>
      <c r="F27" s="319"/>
      <c r="G27" s="269"/>
      <c r="H27" s="320"/>
      <c r="I27" s="269"/>
      <c r="J27" s="321"/>
      <c r="K27" s="283"/>
      <c r="L27" s="284"/>
      <c r="M27" s="53"/>
      <c r="N27" s="70"/>
      <c r="O27" s="6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3"/>
      <c r="B29" s="56">
        <v>42813</v>
      </c>
      <c r="C29" s="52" t="s">
        <v>107</v>
      </c>
      <c r="D29" s="265"/>
      <c r="E29" s="266" t="str">
        <f>+'GRUPOS INFANTIL'!H8</f>
        <v>HUITACA FUTBOL CLUB CHIA</v>
      </c>
      <c r="F29" s="319" t="str">
        <f>IF(AND(G29&lt;&gt;"",I29&lt;&gt;""),IF(G29=I29,"E",IF(G29&gt;I29,"G","P")),"")</f>
        <v/>
      </c>
      <c r="G29" s="268"/>
      <c r="H29" s="320" t="s">
        <v>15</v>
      </c>
      <c r="I29" s="268"/>
      <c r="J29" s="321" t="str">
        <f>IF(AND(I29&lt;&gt;"",G29&lt;&gt;""),IF(I29=G29,"E",IF(I29&gt;G29,"G","P")),"")</f>
        <v/>
      </c>
      <c r="K29" s="266" t="e">
        <f>+'GRUPOS INFANTIL'!#REF!</f>
        <v>#REF!</v>
      </c>
      <c r="L29" s="271"/>
      <c r="M29" s="111" t="s">
        <v>37</v>
      </c>
      <c r="N29" s="113"/>
      <c r="O29" s="6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5"/>
      <c r="B30" s="56"/>
      <c r="C30" s="52"/>
      <c r="D30" s="265"/>
      <c r="E30" s="266"/>
      <c r="F30" s="319"/>
      <c r="G30" s="269"/>
      <c r="H30" s="320"/>
      <c r="I30" s="269"/>
      <c r="J30" s="321"/>
      <c r="K30" s="266"/>
      <c r="L30" s="271"/>
      <c r="M30" s="54"/>
      <c r="N30" s="70"/>
      <c r="O30" s="66"/>
      <c r="P30" s="19"/>
      <c r="Q30" s="20"/>
      <c r="R30" s="20"/>
      <c r="S30" s="21"/>
      <c r="T30" s="21"/>
      <c r="U30" s="21"/>
      <c r="V30" s="21"/>
      <c r="W30" s="21"/>
      <c r="X30" s="21"/>
      <c r="Y30" s="2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23"/>
      <c r="Q31" s="20"/>
      <c r="R31" s="20"/>
      <c r="S31" s="21"/>
      <c r="T31" s="21"/>
      <c r="U31" s="21"/>
      <c r="V31" s="21"/>
      <c r="W31" s="21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5"/>
    </row>
    <row r="32" spans="1:38" ht="15" customHeight="1" x14ac:dyDescent="0.3">
      <c r="A32" s="112"/>
      <c r="B32" s="55">
        <v>42813</v>
      </c>
      <c r="C32" s="51" t="s">
        <v>111</v>
      </c>
      <c r="D32" s="282"/>
      <c r="E32" s="283" t="str">
        <f>+'GRUPOS INFANTIL'!H7</f>
        <v>CANUTO F.C.</v>
      </c>
      <c r="F32" s="267" t="str">
        <f>IF(AND(G32&lt;&gt;"",I32&lt;&gt;""),IF(G32=I32,"E",IF(G32&gt;I32,"G","P")),"")</f>
        <v/>
      </c>
      <c r="G32" s="268"/>
      <c r="H32" s="270" t="s">
        <v>15</v>
      </c>
      <c r="I32" s="268"/>
      <c r="J32" s="267" t="str">
        <f>IF(AND(I32&lt;&gt;"",G32&lt;&gt;""),IF(I32=G32,"E",IF(I32&gt;G32,"G","P")),"")</f>
        <v/>
      </c>
      <c r="K32" s="283" t="e">
        <f>+'GRUPOS INFANTIL'!#REF!</f>
        <v>#REF!</v>
      </c>
      <c r="L32" s="284"/>
      <c r="M32" s="110" t="s">
        <v>37</v>
      </c>
      <c r="N32" s="112"/>
      <c r="O32" s="67"/>
      <c r="P32" s="19"/>
      <c r="Q32" s="20"/>
      <c r="R32" s="20"/>
      <c r="S32" s="21"/>
      <c r="T32" s="21"/>
      <c r="U32" s="21"/>
      <c r="V32" s="21"/>
      <c r="W32" s="21"/>
      <c r="X32" s="21"/>
      <c r="Y32" s="2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spans="1:38" ht="15" customHeight="1" x14ac:dyDescent="0.3">
      <c r="A33" s="65"/>
      <c r="B33" s="55"/>
      <c r="C33" s="51"/>
      <c r="D33" s="282"/>
      <c r="E33" s="283"/>
      <c r="F33" s="267"/>
      <c r="G33" s="269"/>
      <c r="H33" s="270"/>
      <c r="I33" s="269"/>
      <c r="J33" s="267"/>
      <c r="K33" s="283"/>
      <c r="L33" s="284"/>
      <c r="M33" s="53"/>
      <c r="N33" s="70"/>
      <c r="O33" s="66"/>
      <c r="P33" s="325"/>
      <c r="Q33" s="325"/>
      <c r="R33" s="325"/>
      <c r="S33" s="325"/>
      <c r="T33" s="32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6"/>
      <c r="P34" s="15"/>
      <c r="Q34" s="15"/>
      <c r="R34" s="15"/>
      <c r="S34" s="15"/>
      <c r="T34" s="15"/>
      <c r="U34" s="15"/>
      <c r="V34" s="15"/>
      <c r="W34" s="27" t="str">
        <f>IF(AJ8=1,IF(P33="","",P33),IF(SUM(Q10:Q17)&gt;0,VLOOKUP(1,Z10:AA17,2,0),""))</f>
        <v/>
      </c>
      <c r="X34" s="15"/>
      <c r="Y34" s="15"/>
      <c r="Z34" s="15"/>
      <c r="AA34" s="15"/>
      <c r="AB34" s="15"/>
      <c r="AC34" s="22"/>
      <c r="AD34" s="22"/>
      <c r="AE34" s="22"/>
      <c r="AF34" s="22"/>
      <c r="AG34" s="22"/>
      <c r="AH34" s="22"/>
      <c r="AI34" s="15"/>
      <c r="AJ34" s="22"/>
      <c r="AK34" s="22"/>
      <c r="AL34" s="15"/>
    </row>
    <row r="35" spans="1:38" ht="15" customHeight="1" x14ac:dyDescent="0.3">
      <c r="A35" s="113"/>
      <c r="B35" s="56">
        <v>42813</v>
      </c>
      <c r="C35" s="52" t="s">
        <v>110</v>
      </c>
      <c r="D35" s="265"/>
      <c r="E35" s="266" t="str">
        <f>+'GRUPOS INFANTIL'!H8</f>
        <v>HUITACA FUTBOL CLUB CHIA</v>
      </c>
      <c r="F35" s="267" t="str">
        <f>IF(AND(G35&lt;&gt;"",I35&lt;&gt;""),IF(G35=I35,"E",IF(G35&gt;I35,"G","P")),"")</f>
        <v/>
      </c>
      <c r="G35" s="268"/>
      <c r="H35" s="270" t="s">
        <v>15</v>
      </c>
      <c r="I35" s="268"/>
      <c r="J35" s="267" t="str">
        <f>IF(AND(I35&lt;&gt;"",G35&lt;&gt;""),IF(I35=G35,"E",IF(I35&gt;G35,"G","P")),"")</f>
        <v/>
      </c>
      <c r="K35" s="266" t="str">
        <f>+'GRUPOS INFANTIL'!H9</f>
        <v>CLUB PROMOTOR DEPORTIVO SCORPION</v>
      </c>
      <c r="L35" s="271"/>
      <c r="M35" s="111" t="s">
        <v>38</v>
      </c>
      <c r="N35" s="113"/>
      <c r="O35" s="67"/>
      <c r="P35" s="15"/>
      <c r="Q35" s="15"/>
      <c r="R35" s="15"/>
      <c r="S35" s="15"/>
      <c r="T35" s="15"/>
      <c r="U35" s="15"/>
      <c r="V35" s="15"/>
      <c r="W35" s="27" t="str">
        <f>IF(AJ8=1,IF(P36="","",P36),IF(SUM(Q10:Q17)&gt;0,VLOOKUP(2,Z10:AA17,2,0),""))</f>
        <v/>
      </c>
      <c r="X35" s="15"/>
      <c r="Y35" s="15"/>
      <c r="Z35" s="15"/>
      <c r="AA35" s="15"/>
      <c r="AB35" s="15"/>
      <c r="AC35" s="22"/>
      <c r="AD35" s="22"/>
      <c r="AE35" s="22"/>
      <c r="AF35" s="22"/>
      <c r="AG35" s="22"/>
      <c r="AH35" s="22"/>
      <c r="AI35" s="15"/>
      <c r="AJ35" s="22"/>
      <c r="AK35" s="22"/>
      <c r="AL35" s="15"/>
    </row>
    <row r="36" spans="1:38" ht="15" customHeight="1" x14ac:dyDescent="0.3">
      <c r="A36" s="65"/>
      <c r="B36" s="56"/>
      <c r="C36" s="52"/>
      <c r="D36" s="265"/>
      <c r="E36" s="266"/>
      <c r="F36" s="267"/>
      <c r="G36" s="269"/>
      <c r="H36" s="270"/>
      <c r="I36" s="269"/>
      <c r="J36" s="267"/>
      <c r="K36" s="266"/>
      <c r="L36" s="271"/>
      <c r="M36" s="54"/>
      <c r="N36" s="66"/>
      <c r="O36" s="66"/>
      <c r="P36" s="325"/>
      <c r="Q36" s="325"/>
      <c r="R36" s="325"/>
      <c r="S36" s="325"/>
      <c r="T36" s="325"/>
      <c r="U36" s="15"/>
      <c r="V36" s="15"/>
      <c r="W36" s="15"/>
      <c r="X36" s="15"/>
      <c r="Y36" s="15"/>
      <c r="Z36" s="15"/>
      <c r="AA36" s="15"/>
      <c r="AB36" s="15"/>
      <c r="AC36" s="22"/>
      <c r="AD36" s="22"/>
      <c r="AE36" s="22"/>
      <c r="AF36" s="22"/>
      <c r="AG36" s="22"/>
      <c r="AH36" s="22"/>
      <c r="AI36" s="15"/>
      <c r="AJ36" s="22"/>
      <c r="AK36" s="22"/>
      <c r="AL36" s="15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IF(AG8=1,"Indique el primero y segundo equipos clasificados de la serie:","")</f>
        <v/>
      </c>
      <c r="K43" s="15"/>
      <c r="L43" s="25" t="str">
        <f>IF(AG8=1,"Primero:","")</f>
        <v/>
      </c>
      <c r="M43" s="15"/>
      <c r="N43" s="24"/>
      <c r="O43" s="24"/>
      <c r="P43" s="24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IF(AG8=1,"(Debido a la paridad de los resultados, no pueden deducirse de forma automática.)","")</f>
        <v/>
      </c>
      <c r="K46" s="15"/>
      <c r="L46" s="25" t="str">
        <f>IF(AG8=1,"Segundo:","")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58" spans="16:20" x14ac:dyDescent="0.3">
      <c r="P58" s="132" t="str">
        <f>+'GRUPOS INFANTIL'!H7</f>
        <v>CANUTO F.C.</v>
      </c>
      <c r="Q58" s="132" t="str">
        <f>+F20</f>
        <v/>
      </c>
      <c r="R58" s="132" t="str">
        <f>+J8</f>
        <v/>
      </c>
      <c r="S58" s="132" t="str">
        <f>+F26</f>
        <v/>
      </c>
      <c r="T58" s="132" t="str">
        <f>+F32</f>
        <v/>
      </c>
    </row>
    <row r="59" spans="16:20" x14ac:dyDescent="0.3">
      <c r="P59" s="132" t="str">
        <f>+'GRUPOS INFANTIL'!H8</f>
        <v>HUITACA FUTBOL CLUB CHIA</v>
      </c>
      <c r="Q59" s="132" t="str">
        <f>+J20</f>
        <v/>
      </c>
      <c r="R59" s="132" t="str">
        <f>+J11</f>
        <v/>
      </c>
      <c r="S59" s="132" t="str">
        <f>+F29</f>
        <v/>
      </c>
      <c r="T59" s="132" t="str">
        <f>+F35</f>
        <v/>
      </c>
    </row>
    <row r="60" spans="16:20" x14ac:dyDescent="0.3">
      <c r="P60" s="132" t="str">
        <f>+'GRUPOS INFANTIL'!H9</f>
        <v>CLUB PROMOTOR DEPORTIVO SCORPION</v>
      </c>
      <c r="Q60" s="132" t="str">
        <f>+F23</f>
        <v/>
      </c>
      <c r="R60" s="132" t="str">
        <f>+J14</f>
        <v/>
      </c>
      <c r="S60" s="132" t="str">
        <f>+J26</f>
        <v/>
      </c>
      <c r="T60" s="132" t="str">
        <f>+J35</f>
        <v/>
      </c>
    </row>
    <row r="61" spans="16:20" x14ac:dyDescent="0.3">
      <c r="P61" s="132" t="e">
        <f>+'GRUPOS INFANTIL'!#REF!</f>
        <v>#REF!</v>
      </c>
      <c r="Q61" s="132" t="str">
        <f>+J23</f>
        <v/>
      </c>
      <c r="R61" s="132" t="str">
        <f>+J17</f>
        <v/>
      </c>
      <c r="S61" s="132" t="str">
        <f>+J29</f>
        <v/>
      </c>
      <c r="T61" s="132" t="str">
        <f>+J32</f>
        <v/>
      </c>
    </row>
  </sheetData>
  <mergeCells count="206"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278" priority="60" stopIfTrue="1">
      <formula>F20="G"</formula>
    </cfRule>
    <cfRule type="expression" dxfId="277" priority="58" stopIfTrue="1">
      <formula>F20="P"</formula>
    </cfRule>
    <cfRule type="expression" dxfId="276" priority="59" stopIfTrue="1">
      <formula>F20="E"</formula>
    </cfRule>
  </conditionalFormatting>
  <conditionalFormatting sqref="G23:G24">
    <cfRule type="expression" dxfId="275" priority="37" stopIfTrue="1">
      <formula>F23="P"</formula>
    </cfRule>
    <cfRule type="expression" dxfId="274" priority="38" stopIfTrue="1">
      <formula>F23="E"</formula>
    </cfRule>
    <cfRule type="expression" dxfId="273" priority="39" stopIfTrue="1">
      <formula>F23="G"</formula>
    </cfRule>
  </conditionalFormatting>
  <conditionalFormatting sqref="G26:G27">
    <cfRule type="expression" dxfId="272" priority="34" stopIfTrue="1">
      <formula>F26="P"</formula>
    </cfRule>
    <cfRule type="expression" dxfId="271" priority="35" stopIfTrue="1">
      <formula>F26="E"</formula>
    </cfRule>
    <cfRule type="expression" dxfId="270" priority="36" stopIfTrue="1">
      <formula>F26="G"</formula>
    </cfRule>
  </conditionalFormatting>
  <conditionalFormatting sqref="G29:G30">
    <cfRule type="expression" dxfId="269" priority="31" stopIfTrue="1">
      <formula>F29="P"</formula>
    </cfRule>
    <cfRule type="expression" dxfId="268" priority="32" stopIfTrue="1">
      <formula>F29="E"</formula>
    </cfRule>
    <cfRule type="expression" dxfId="267" priority="33" stopIfTrue="1">
      <formula>F29="G"</formula>
    </cfRule>
  </conditionalFormatting>
  <conditionalFormatting sqref="G32:G33">
    <cfRule type="expression" dxfId="266" priority="29" stopIfTrue="1">
      <formula>F32="E"</formula>
    </cfRule>
    <cfRule type="expression" dxfId="265" priority="28" stopIfTrue="1">
      <formula>F32="P"</formula>
    </cfRule>
    <cfRule type="expression" dxfId="264" priority="30" stopIfTrue="1">
      <formula>F32="G"</formula>
    </cfRule>
  </conditionalFormatting>
  <conditionalFormatting sqref="G35:G36">
    <cfRule type="expression" dxfId="263" priority="25" stopIfTrue="1">
      <formula>F35="P"</formula>
    </cfRule>
    <cfRule type="expression" dxfId="262" priority="26" stopIfTrue="1">
      <formula>F35="E"</formula>
    </cfRule>
    <cfRule type="expression" dxfId="261" priority="27" stopIfTrue="1">
      <formula>F35="G"</formula>
    </cfRule>
  </conditionalFormatting>
  <conditionalFormatting sqref="I20:I21">
    <cfRule type="expression" dxfId="257" priority="45" stopIfTrue="1">
      <formula>J20="G"</formula>
    </cfRule>
    <cfRule type="expression" dxfId="256" priority="43" stopIfTrue="1">
      <formula>J20="P"</formula>
    </cfRule>
    <cfRule type="expression" dxfId="255" priority="44" stopIfTrue="1">
      <formula>J20="E"</formula>
    </cfRule>
  </conditionalFormatting>
  <conditionalFormatting sqref="I23:I24">
    <cfRule type="expression" dxfId="254" priority="46" stopIfTrue="1">
      <formula>J23="P"</formula>
    </cfRule>
    <cfRule type="expression" dxfId="253" priority="47" stopIfTrue="1">
      <formula>J23="E"</formula>
    </cfRule>
    <cfRule type="expression" dxfId="252" priority="48" stopIfTrue="1">
      <formula>J23="G"</formula>
    </cfRule>
  </conditionalFormatting>
  <conditionalFormatting sqref="I26:I27">
    <cfRule type="expression" dxfId="251" priority="49" stopIfTrue="1">
      <formula>J26="P"</formula>
    </cfRule>
    <cfRule type="expression" dxfId="250" priority="51" stopIfTrue="1">
      <formula>J26="G"</formula>
    </cfRule>
    <cfRule type="expression" dxfId="249" priority="50" stopIfTrue="1">
      <formula>J26="E"</formula>
    </cfRule>
  </conditionalFormatting>
  <conditionalFormatting sqref="I29:I30">
    <cfRule type="expression" dxfId="248" priority="52" stopIfTrue="1">
      <formula>J29="P"</formula>
    </cfRule>
    <cfRule type="expression" dxfId="247" priority="53" stopIfTrue="1">
      <formula>J29="E"</formula>
    </cfRule>
    <cfRule type="expression" dxfId="246" priority="54" stopIfTrue="1">
      <formula>J29="G"</formula>
    </cfRule>
  </conditionalFormatting>
  <conditionalFormatting sqref="I32:I33">
    <cfRule type="expression" dxfId="245" priority="56" stopIfTrue="1">
      <formula>J32="E"</formula>
    </cfRule>
    <cfRule type="expression" dxfId="244" priority="57" stopIfTrue="1">
      <formula>J32="G"</formula>
    </cfRule>
    <cfRule type="expression" dxfId="243" priority="55" stopIfTrue="1">
      <formula>J32="P"</formula>
    </cfRule>
  </conditionalFormatting>
  <conditionalFormatting sqref="I35:I36">
    <cfRule type="expression" dxfId="242" priority="41" stopIfTrue="1">
      <formula>J35="E"</formula>
    </cfRule>
    <cfRule type="expression" dxfId="241" priority="42" stopIfTrue="1">
      <formula>J35="G"</formula>
    </cfRule>
    <cfRule type="expression" dxfId="240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9" t="s">
        <v>5</v>
      </c>
      <c r="I1" s="309"/>
      <c r="J1" s="309"/>
      <c r="K1" s="309"/>
      <c r="L1" s="309"/>
      <c r="M1" s="309"/>
      <c r="N1" s="309"/>
      <c r="O1" s="309"/>
      <c r="P1" s="309"/>
      <c r="Q1" s="45"/>
    </row>
    <row r="2" spans="1:17" s="3" customFormat="1" ht="38.25" customHeight="1" x14ac:dyDescent="0.3">
      <c r="B2" s="143" t="s">
        <v>43</v>
      </c>
      <c r="C2" s="144"/>
      <c r="D2" s="144"/>
      <c r="E2" s="144"/>
      <c r="F2" s="144"/>
      <c r="G2" s="144"/>
      <c r="H2" s="329" t="s">
        <v>6</v>
      </c>
      <c r="I2" s="329"/>
      <c r="J2" s="329"/>
      <c r="K2" s="329"/>
      <c r="L2" s="329"/>
      <c r="M2" s="329"/>
      <c r="N2" s="329"/>
      <c r="O2" s="329"/>
      <c r="P2" s="329"/>
      <c r="Q2" s="46"/>
    </row>
    <row r="3" spans="1:17" s="3" customFormat="1" ht="15" customHeight="1" x14ac:dyDescent="0.3">
      <c r="B3" s="145" t="s">
        <v>17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7" ht="21.75" customHeight="1" x14ac:dyDescent="0.45">
      <c r="A4" s="3"/>
      <c r="B4" s="330" t="s">
        <v>4</v>
      </c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1"/>
      <c r="O4" s="18"/>
      <c r="P4" s="16" t="s">
        <v>18</v>
      </c>
    </row>
    <row r="5" spans="1:17" ht="15" thickBot="1" x14ac:dyDescent="0.35">
      <c r="A5" s="3"/>
      <c r="B5" s="147"/>
      <c r="C5" s="147"/>
      <c r="D5" s="14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2">
        <v>42596</v>
      </c>
      <c r="C6" s="334" t="s">
        <v>2</v>
      </c>
      <c r="D6" s="336" t="s">
        <v>78</v>
      </c>
      <c r="E6" s="148"/>
      <c r="F6" s="149" t="str">
        <f>IF(AND(H6&lt;&gt;"",J6&lt;&gt;""),IF(H6=J6,"E",IF(H6&gt;J6,"G","P")),"")</f>
        <v>P</v>
      </c>
      <c r="G6" s="338" t="str">
        <f>+'GRUPO A'!$W$34</f>
        <v>ASTON HUILA</v>
      </c>
      <c r="H6" s="268">
        <v>1</v>
      </c>
      <c r="I6" s="270" t="s">
        <v>15</v>
      </c>
      <c r="J6" s="268">
        <v>2</v>
      </c>
      <c r="K6" s="270" t="str">
        <f>IF(AND(J6&lt;&gt;"",H6&lt;&gt;""),IF(J6=H6,"E",IF(J6&gt;H6,"G","P")),"")</f>
        <v>G</v>
      </c>
      <c r="L6" s="345" t="e">
        <f>+#REF!</f>
        <v>#REF!</v>
      </c>
      <c r="M6" s="148"/>
      <c r="N6" s="348" t="s">
        <v>75</v>
      </c>
      <c r="P6" s="346" t="e">
        <f>IF(OR(F6="E",F6=""),"",IF(F6="G",G6,L6))</f>
        <v>#REF!</v>
      </c>
    </row>
    <row r="7" spans="1:17" ht="15" thickBot="1" x14ac:dyDescent="0.35">
      <c r="A7" s="3"/>
      <c r="B7" s="333"/>
      <c r="C7" s="335"/>
      <c r="D7" s="337"/>
      <c r="E7" s="148"/>
      <c r="F7" s="149"/>
      <c r="G7" s="338"/>
      <c r="H7" s="269"/>
      <c r="I7" s="270"/>
      <c r="J7" s="269"/>
      <c r="K7" s="270"/>
      <c r="L7" s="345"/>
      <c r="M7" s="148"/>
      <c r="N7" s="348"/>
      <c r="P7" s="347"/>
    </row>
    <row r="8" spans="1:17" ht="6.75" customHeight="1" thickBot="1" x14ac:dyDescent="0.35">
      <c r="A8" s="3"/>
      <c r="B8" s="150"/>
      <c r="C8" s="150"/>
      <c r="D8" s="151"/>
      <c r="E8" s="148"/>
      <c r="F8" s="13"/>
      <c r="G8" s="13"/>
      <c r="H8" s="13"/>
      <c r="I8" s="13"/>
      <c r="J8" s="13"/>
      <c r="K8" s="13"/>
      <c r="L8" s="148"/>
      <c r="M8" s="148"/>
      <c r="N8" s="152"/>
      <c r="P8" s="153"/>
    </row>
    <row r="9" spans="1:17" x14ac:dyDescent="0.3">
      <c r="A9" s="3"/>
      <c r="B9" s="339">
        <v>42596</v>
      </c>
      <c r="C9" s="341" t="s">
        <v>3</v>
      </c>
      <c r="D9" s="343" t="s">
        <v>79</v>
      </c>
      <c r="E9" s="148"/>
      <c r="F9" s="270" t="str">
        <f>IF(AND(H9&lt;&gt;"",J9&lt;&gt;""),IF(H9=J9,"E",IF(H9&gt;J9,"G","P")),"")</f>
        <v>G</v>
      </c>
      <c r="G9" s="345" t="str">
        <f>+'GRUPO B'!$W$34</f>
        <v/>
      </c>
      <c r="H9" s="268">
        <v>2</v>
      </c>
      <c r="I9" s="270" t="s">
        <v>15</v>
      </c>
      <c r="J9" s="268">
        <v>1</v>
      </c>
      <c r="K9" s="270" t="str">
        <f>IF(AND(J9&lt;&gt;"",H9&lt;&gt;""),IF(J9=H9,"E",IF(J9&gt;H9,"G","P")),"")</f>
        <v>P</v>
      </c>
      <c r="L9" s="345" t="e">
        <f>+#REF!</f>
        <v>#REF!</v>
      </c>
      <c r="M9" s="148"/>
      <c r="N9" s="348" t="s">
        <v>38</v>
      </c>
      <c r="P9" s="346" t="str">
        <f>IF(OR(F9="E",F9=""),"",IF(F9="G",G9,L9))</f>
        <v/>
      </c>
    </row>
    <row r="10" spans="1:17" ht="15" thickBot="1" x14ac:dyDescent="0.35">
      <c r="A10" s="3"/>
      <c r="B10" s="340"/>
      <c r="C10" s="342"/>
      <c r="D10" s="344"/>
      <c r="E10" s="148"/>
      <c r="F10" s="270"/>
      <c r="G10" s="345"/>
      <c r="H10" s="269"/>
      <c r="I10" s="270"/>
      <c r="J10" s="269"/>
      <c r="K10" s="270"/>
      <c r="L10" s="345"/>
      <c r="M10" s="148"/>
      <c r="N10" s="348"/>
      <c r="P10" s="347"/>
    </row>
    <row r="11" spans="1:17" ht="8.25" customHeight="1" thickBot="1" x14ac:dyDescent="0.35">
      <c r="A11" s="3"/>
      <c r="B11" s="154"/>
      <c r="C11" s="150"/>
      <c r="D11" s="151"/>
      <c r="E11" s="148"/>
      <c r="F11" s="13"/>
      <c r="G11" s="148"/>
      <c r="H11" s="13"/>
      <c r="I11" s="13"/>
      <c r="J11" s="13"/>
      <c r="K11" s="13"/>
      <c r="L11" s="148"/>
      <c r="M11" s="148"/>
      <c r="N11" s="152"/>
      <c r="P11" s="153"/>
    </row>
    <row r="12" spans="1:17" x14ac:dyDescent="0.3">
      <c r="A12" s="3"/>
      <c r="B12" s="332">
        <v>42596</v>
      </c>
      <c r="C12" s="334" t="s">
        <v>59</v>
      </c>
      <c r="D12" s="336" t="s">
        <v>78</v>
      </c>
      <c r="E12" s="148"/>
      <c r="F12" s="270" t="str">
        <f>IF(AND(H12&lt;&gt;"",J12&lt;&gt;""),IF(H12=J12,"E",IF(H12&gt;J12,"G","P")),"")</f>
        <v>P</v>
      </c>
      <c r="G12" s="345" t="e">
        <f>+#REF!</f>
        <v>#REF!</v>
      </c>
      <c r="H12" s="268">
        <v>1</v>
      </c>
      <c r="I12" s="270" t="s">
        <v>15</v>
      </c>
      <c r="J12" s="268">
        <v>2</v>
      </c>
      <c r="K12" s="270" t="str">
        <f>IF(AND(J12&lt;&gt;"",H12&lt;&gt;""),IF(J12=H12,"E",IF(J12&gt;H12,"G","P")),"")</f>
        <v>G</v>
      </c>
      <c r="L12" s="345" t="str">
        <f>+'GRUPO A'!$W$35</f>
        <v>CLUB DEPORTIVO NUEVAS GENERACIONES</v>
      </c>
      <c r="M12" s="148"/>
      <c r="N12" s="348" t="s">
        <v>38</v>
      </c>
      <c r="P12" s="346" t="str">
        <f>IF(OR(F12="E",F12=""),"",IF(F12="G",G12,L12))</f>
        <v>CLUB DEPORTIVO NUEVAS GENERACIONES</v>
      </c>
    </row>
    <row r="13" spans="1:17" ht="15" thickBot="1" x14ac:dyDescent="0.35">
      <c r="A13" s="3"/>
      <c r="B13" s="333"/>
      <c r="C13" s="335"/>
      <c r="D13" s="337"/>
      <c r="E13" s="148"/>
      <c r="F13" s="270"/>
      <c r="G13" s="345"/>
      <c r="H13" s="269"/>
      <c r="I13" s="270"/>
      <c r="J13" s="269"/>
      <c r="K13" s="270"/>
      <c r="L13" s="345"/>
      <c r="M13" s="148"/>
      <c r="N13" s="348"/>
      <c r="P13" s="347"/>
    </row>
    <row r="14" spans="1:17" ht="8.25" customHeight="1" thickBot="1" x14ac:dyDescent="0.35">
      <c r="A14" s="3"/>
      <c r="B14" s="154"/>
      <c r="C14" s="150"/>
      <c r="D14" s="151"/>
      <c r="E14" s="148"/>
      <c r="F14" s="13"/>
      <c r="G14" s="148"/>
      <c r="H14" s="13"/>
      <c r="I14" s="13"/>
      <c r="J14" s="13"/>
      <c r="K14" s="13"/>
      <c r="L14" s="148"/>
      <c r="M14" s="148"/>
      <c r="N14" s="152"/>
      <c r="P14" s="153"/>
    </row>
    <row r="15" spans="1:17" x14ac:dyDescent="0.3">
      <c r="A15" s="3"/>
      <c r="B15" s="339">
        <v>42596</v>
      </c>
      <c r="C15" s="341" t="s">
        <v>60</v>
      </c>
      <c r="D15" s="343" t="s">
        <v>79</v>
      </c>
      <c r="E15" s="148"/>
      <c r="F15" s="270" t="str">
        <f>IF(AND(H15&lt;&gt;"",J15&lt;&gt;""),IF(H15=J15,"E",IF(H15&gt;J15,"G","P")),"")</f>
        <v>G</v>
      </c>
      <c r="G15" s="345" t="e">
        <f>+#REF!</f>
        <v>#REF!</v>
      </c>
      <c r="H15" s="268">
        <v>2</v>
      </c>
      <c r="I15" s="270" t="s">
        <v>15</v>
      </c>
      <c r="J15" s="268">
        <v>1</v>
      </c>
      <c r="K15" s="270" t="str">
        <f>IF(AND(J15&lt;&gt;"",H15&lt;&gt;""),IF(J15=H15,"E",IF(J15&gt;H15,"G","P")),"")</f>
        <v>P</v>
      </c>
      <c r="L15" s="345" t="str">
        <f>+'GRUPO B'!W35</f>
        <v/>
      </c>
      <c r="M15" s="148"/>
      <c r="N15" s="348" t="s">
        <v>75</v>
      </c>
      <c r="P15" s="346" t="e">
        <f>IF(OR(F15="E",F15=""),"",IF(F15="G",G15,L15))</f>
        <v>#REF!</v>
      </c>
    </row>
    <row r="16" spans="1:17" ht="15" thickBot="1" x14ac:dyDescent="0.35">
      <c r="A16" s="3"/>
      <c r="B16" s="340"/>
      <c r="C16" s="342"/>
      <c r="D16" s="344"/>
      <c r="E16" s="148"/>
      <c r="F16" s="270"/>
      <c r="G16" s="345"/>
      <c r="H16" s="269"/>
      <c r="I16" s="270"/>
      <c r="J16" s="269"/>
      <c r="K16" s="270"/>
      <c r="L16" s="345"/>
      <c r="M16" s="10"/>
      <c r="N16" s="348"/>
      <c r="P16" s="347"/>
    </row>
    <row r="17" spans="2:7" s="3" customFormat="1" ht="7.5" customHeight="1" x14ac:dyDescent="0.3"/>
    <row r="18" spans="2:7" s="3" customFormat="1" x14ac:dyDescent="0.3">
      <c r="B18" s="349">
        <f>+'GRUPOS INFANTIL'!C3</f>
        <v>0</v>
      </c>
      <c r="C18" s="349"/>
      <c r="D18" s="349"/>
      <c r="E18" s="349"/>
      <c r="F18" s="349"/>
      <c r="G18" s="349"/>
    </row>
    <row r="19" spans="2:7" s="3" customFormat="1" x14ac:dyDescent="0.3">
      <c r="B19" s="349"/>
      <c r="C19" s="349"/>
      <c r="D19" s="349"/>
      <c r="E19" s="349"/>
      <c r="F19" s="349"/>
      <c r="G19" s="349"/>
    </row>
    <row r="20" spans="2:7" s="3" customFormat="1" x14ac:dyDescent="0.3">
      <c r="B20" s="349"/>
      <c r="C20" s="349"/>
      <c r="D20" s="349"/>
      <c r="E20" s="349"/>
      <c r="F20" s="349"/>
      <c r="G20" s="349"/>
    </row>
    <row r="21" spans="2:7" s="3" customFormat="1" x14ac:dyDescent="0.3">
      <c r="B21" s="350" t="str">
        <f>+'GRUPOS INFANTIL'!C4</f>
        <v>NACIDOS 2017 2018</v>
      </c>
      <c r="C21" s="350"/>
      <c r="D21" s="350"/>
      <c r="E21" s="350"/>
      <c r="F21" s="350"/>
      <c r="G21" s="350"/>
    </row>
    <row r="22" spans="2:7" s="3" customFormat="1" x14ac:dyDescent="0.3">
      <c r="B22" s="350"/>
      <c r="C22" s="350"/>
      <c r="D22" s="350"/>
      <c r="E22" s="350"/>
      <c r="F22" s="350"/>
      <c r="G22" s="350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239" priority="22" stopIfTrue="1">
      <formula>F6="P"</formula>
    </cfRule>
    <cfRule type="expression" dxfId="238" priority="23" stopIfTrue="1">
      <formula>F6="E"</formula>
    </cfRule>
    <cfRule type="expression" dxfId="237" priority="24" stopIfTrue="1">
      <formula>F6="G"</formula>
    </cfRule>
  </conditionalFormatting>
  <conditionalFormatting sqref="H9:H10">
    <cfRule type="expression" dxfId="236" priority="7" stopIfTrue="1">
      <formula>F9="P"</formula>
    </cfRule>
    <cfRule type="expression" dxfId="235" priority="8" stopIfTrue="1">
      <formula>F9="E"</formula>
    </cfRule>
    <cfRule type="expression" dxfId="234" priority="9" stopIfTrue="1">
      <formula>F9="G"</formula>
    </cfRule>
  </conditionalFormatting>
  <conditionalFormatting sqref="H12:H13">
    <cfRule type="expression" dxfId="233" priority="4" stopIfTrue="1">
      <formula>F12="P"</formula>
    </cfRule>
    <cfRule type="expression" dxfId="232" priority="5" stopIfTrue="1">
      <formula>F12="E"</formula>
    </cfRule>
    <cfRule type="expression" dxfId="231" priority="6" stopIfTrue="1">
      <formula>F12="G"</formula>
    </cfRule>
  </conditionalFormatting>
  <conditionalFormatting sqref="H15:H16">
    <cfRule type="expression" dxfId="230" priority="1" stopIfTrue="1">
      <formula>F15="P"</formula>
    </cfRule>
    <cfRule type="expression" dxfId="229" priority="2" stopIfTrue="1">
      <formula>F15="E"</formula>
    </cfRule>
    <cfRule type="expression" dxfId="228" priority="3" stopIfTrue="1">
      <formula>F15="G"</formula>
    </cfRule>
  </conditionalFormatting>
  <conditionalFormatting sqref="J6:J7">
    <cfRule type="expression" dxfId="227" priority="10" stopIfTrue="1">
      <formula>K6="P"</formula>
    </cfRule>
    <cfRule type="expression" dxfId="226" priority="11" stopIfTrue="1">
      <formula>K6="E"</formula>
    </cfRule>
    <cfRule type="expression" dxfId="225" priority="12" stopIfTrue="1">
      <formula>K6="G"</formula>
    </cfRule>
  </conditionalFormatting>
  <conditionalFormatting sqref="J9:J10">
    <cfRule type="expression" dxfId="224" priority="13" stopIfTrue="1">
      <formula>K9="P"</formula>
    </cfRule>
    <cfRule type="expression" dxfId="223" priority="14" stopIfTrue="1">
      <formula>K9="E"</formula>
    </cfRule>
    <cfRule type="expression" dxfId="222" priority="15" stopIfTrue="1">
      <formula>K9="G"</formula>
    </cfRule>
  </conditionalFormatting>
  <conditionalFormatting sqref="J12:J13">
    <cfRule type="expression" dxfId="221" priority="16" stopIfTrue="1">
      <formula>K12="P"</formula>
    </cfRule>
    <cfRule type="expression" dxfId="220" priority="17" stopIfTrue="1">
      <formula>K12="E"</formula>
    </cfRule>
    <cfRule type="expression" dxfId="219" priority="18" stopIfTrue="1">
      <formula>K12="G"</formula>
    </cfRule>
  </conditionalFormatting>
  <conditionalFormatting sqref="J15:J16">
    <cfRule type="expression" dxfId="218" priority="19" stopIfTrue="1">
      <formula>K15="P"</formula>
    </cfRule>
    <cfRule type="expression" dxfId="217" priority="20" stopIfTrue="1">
      <formula>K15="E"</formula>
    </cfRule>
    <cfRule type="expression" dxfId="216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16"/>
  <sheetViews>
    <sheetView zoomScaleNormal="100" workbookViewId="0">
      <selection activeCell="K19" sqref="K19"/>
    </sheetView>
  </sheetViews>
  <sheetFormatPr baseColWidth="10" defaultRowHeight="14.4" x14ac:dyDescent="0.3"/>
  <cols>
    <col min="1" max="1" width="5.109375" style="3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" customWidth="1"/>
    <col min="10" max="10" width="5.6640625" customWidth="1"/>
    <col min="11" max="11" width="7.109375" customWidth="1"/>
    <col min="12" max="12" width="5.6640625" customWidth="1"/>
    <col min="13" max="13" width="11.44140625" hidden="1" customWidth="1"/>
    <col min="14" max="14" width="3.88671875" customWidth="1"/>
    <col min="15" max="15" width="25.33203125" customWidth="1"/>
    <col min="16" max="16" width="8.5546875" hidden="1" customWidth="1"/>
    <col min="18" max="18" width="2.88671875" style="3" customWidth="1"/>
    <col min="19" max="19" width="25.33203125" customWidth="1"/>
    <col min="20" max="20" width="3.109375" style="3" customWidth="1"/>
    <col min="21" max="21" width="3" hidden="1" customWidth="1"/>
    <col min="22" max="23" width="11.44140625" style="3"/>
    <col min="24" max="24" width="17.6640625" style="3" customWidth="1"/>
    <col min="25" max="89" width="11.44140625" style="3"/>
  </cols>
  <sheetData>
    <row r="1" spans="1:21" s="3" customFormat="1" ht="34.799999999999997" x14ac:dyDescent="0.3">
      <c r="A1" s="309" t="str">
        <f>+'GRUPOS INFANTIL'!C1</f>
        <v>XVIII Campeonato Nacional de Fútbol Infantil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</row>
    <row r="2" spans="1:21" s="3" customFormat="1" ht="34.950000000000003" customHeight="1" x14ac:dyDescent="0.3">
      <c r="A2" s="310" t="s">
        <v>6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</row>
    <row r="3" spans="1:21" s="3" customFormat="1" ht="34.950000000000003" customHeight="1" x14ac:dyDescent="0.7">
      <c r="A3" s="364">
        <f>+'GRUPOS INFANTIL'!C3</f>
        <v>0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</row>
    <row r="4" spans="1:21" s="3" customFormat="1" ht="34.950000000000003" customHeight="1" x14ac:dyDescent="0.45">
      <c r="A4" s="365" t="str">
        <f>+'GRUPOS INFANTIL'!C4</f>
        <v>NACIDOS 2017 2018</v>
      </c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</row>
    <row r="5" spans="1:21" s="3" customFormat="1" ht="38.25" customHeight="1" x14ac:dyDescent="0.3">
      <c r="B5" s="219" t="s">
        <v>20</v>
      </c>
      <c r="F5" s="146"/>
      <c r="G5" s="47"/>
      <c r="H5" s="47"/>
      <c r="I5" s="47"/>
      <c r="K5" s="47"/>
      <c r="L5" s="47"/>
      <c r="M5" s="47"/>
      <c r="N5" s="47"/>
      <c r="O5" s="47"/>
      <c r="P5" s="47"/>
      <c r="Q5" s="47"/>
    </row>
    <row r="6" spans="1:21" s="3" customFormat="1" x14ac:dyDescent="0.3">
      <c r="B6" s="48" t="s">
        <v>17</v>
      </c>
      <c r="P6" s="48"/>
    </row>
    <row r="7" spans="1:21" ht="23.4" x14ac:dyDescent="0.45">
      <c r="A7" s="18"/>
      <c r="B7" s="361" t="s">
        <v>20</v>
      </c>
      <c r="C7" s="362"/>
      <c r="D7" s="362"/>
      <c r="E7" s="362"/>
      <c r="F7" s="362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63"/>
      <c r="R7" s="18"/>
      <c r="S7" s="16" t="s">
        <v>18</v>
      </c>
    </row>
    <row r="8" spans="1:21" x14ac:dyDescent="0.3">
      <c r="B8" s="128"/>
      <c r="C8" s="130"/>
      <c r="D8" s="124"/>
      <c r="E8" s="131"/>
      <c r="F8" s="124"/>
      <c r="G8" s="7"/>
      <c r="H8" s="7"/>
      <c r="I8" s="7"/>
      <c r="J8" s="7"/>
      <c r="K8" s="7"/>
      <c r="L8" s="7"/>
      <c r="M8" s="7"/>
      <c r="N8" s="7"/>
      <c r="O8" s="7"/>
      <c r="P8" s="7"/>
      <c r="Q8" s="6"/>
    </row>
    <row r="9" spans="1:21" ht="15.75" customHeight="1" x14ac:dyDescent="0.3">
      <c r="B9" s="351">
        <v>42814</v>
      </c>
      <c r="C9" s="352" t="s">
        <v>44</v>
      </c>
      <c r="D9" s="352" t="s">
        <v>113</v>
      </c>
      <c r="E9" s="125"/>
      <c r="F9" s="354" t="str">
        <f>+'GRUPO A'!$W$34</f>
        <v>ASTON HUILA</v>
      </c>
      <c r="G9" s="359" t="str">
        <f>IF(AND(J9&lt;&gt;"",L9&lt;&gt;""),IF(J9=L9,"E",IF(J9&gt;L9,"G","P")),"")</f>
        <v>G</v>
      </c>
      <c r="H9" s="9"/>
      <c r="I9" s="9"/>
      <c r="J9" s="268">
        <v>2</v>
      </c>
      <c r="K9" s="270" t="s">
        <v>15</v>
      </c>
      <c r="L9" s="268">
        <v>0</v>
      </c>
      <c r="M9" s="360" t="str">
        <f>IF(AND(L9&lt;&gt;"",J9&lt;&gt;""),IF(L9=J9,"E",IF(L9&gt;J9,"G","P")),"")</f>
        <v>P</v>
      </c>
      <c r="N9" s="227"/>
      <c r="O9" s="354" t="str">
        <f>+'GRUPO B'!$W$35</f>
        <v/>
      </c>
      <c r="P9" s="10" t="s">
        <v>27</v>
      </c>
      <c r="Q9" s="355" t="s">
        <v>38</v>
      </c>
      <c r="S9" s="353" t="str">
        <f>IF(OR(G9="E",G9=""),"",IF(G9="G",F9,O9))</f>
        <v>ASTON HUILA</v>
      </c>
      <c r="U9" s="358" t="str">
        <f>IF(OR(G9="E",G9=""),"",IF(G9="P",F9,O9))</f>
        <v/>
      </c>
    </row>
    <row r="10" spans="1:21" x14ac:dyDescent="0.3">
      <c r="B10" s="351"/>
      <c r="C10" s="352"/>
      <c r="D10" s="352"/>
      <c r="E10" s="125"/>
      <c r="F10" s="354"/>
      <c r="G10" s="359"/>
      <c r="H10" s="9"/>
      <c r="I10" s="9"/>
      <c r="J10" s="269"/>
      <c r="K10" s="270"/>
      <c r="L10" s="269"/>
      <c r="M10" s="360"/>
      <c r="N10" s="227"/>
      <c r="O10" s="354"/>
      <c r="P10" s="10"/>
      <c r="Q10" s="355"/>
      <c r="S10" s="353"/>
      <c r="U10" s="358"/>
    </row>
    <row r="11" spans="1:21" x14ac:dyDescent="0.3">
      <c r="B11" s="129"/>
      <c r="C11" s="125"/>
      <c r="D11" s="125"/>
      <c r="E11" s="125"/>
      <c r="F11" s="125"/>
      <c r="G11" s="40"/>
      <c r="H11" s="8"/>
      <c r="I11" s="8"/>
      <c r="J11" s="37"/>
      <c r="K11" s="13"/>
      <c r="L11" s="37"/>
      <c r="M11" s="8"/>
      <c r="N11" s="8"/>
      <c r="O11" s="125"/>
      <c r="P11" s="11"/>
      <c r="Q11" s="50"/>
      <c r="S11" s="31"/>
    </row>
    <row r="12" spans="1:21" x14ac:dyDescent="0.3">
      <c r="B12" s="351">
        <v>42814</v>
      </c>
      <c r="C12" s="352" t="s">
        <v>45</v>
      </c>
      <c r="D12" s="352" t="s">
        <v>114</v>
      </c>
      <c r="E12" s="125"/>
      <c r="F12" s="354" t="str">
        <f>+'GRUPO B'!$W$34</f>
        <v/>
      </c>
      <c r="G12" s="359" t="str">
        <f>IF(AND(J12&lt;&gt;"",L12&lt;&gt;""),IF(J12=L12,"E",IF(J12&gt;L12,"G","P")),"")</f>
        <v>G</v>
      </c>
      <c r="H12" s="9"/>
      <c r="I12" s="357">
        <v>4</v>
      </c>
      <c r="J12" s="268">
        <v>1</v>
      </c>
      <c r="K12" s="270" t="s">
        <v>15</v>
      </c>
      <c r="L12" s="268">
        <v>0</v>
      </c>
      <c r="M12" s="360" t="str">
        <f>IF(AND(L12&lt;&gt;"",J12&lt;&gt;""),IF(L12=J12,"E",IF(L12&gt;J12,"G","P")),"")</f>
        <v>P</v>
      </c>
      <c r="N12" s="356">
        <v>3</v>
      </c>
      <c r="O12" s="354" t="str">
        <f>+'GRUPO A'!$W$35</f>
        <v>CLUB DEPORTIVO NUEVAS GENERACIONES</v>
      </c>
      <c r="P12" s="12" t="s">
        <v>27</v>
      </c>
      <c r="Q12" s="355" t="s">
        <v>38</v>
      </c>
      <c r="S12" s="353" t="str">
        <f>IF(OR(G12="E",G12=""),"",IF(G12="G",F12,O12))</f>
        <v/>
      </c>
      <c r="U12" s="358" t="str">
        <f>IF(OR(G12="E",G12=""),"",IF(G12="P",F12,O12))</f>
        <v>CLUB DEPORTIVO NUEVAS GENERACIONES</v>
      </c>
    </row>
    <row r="13" spans="1:21" x14ac:dyDescent="0.3">
      <c r="B13" s="351"/>
      <c r="C13" s="352"/>
      <c r="D13" s="352"/>
      <c r="E13" s="125"/>
      <c r="F13" s="354"/>
      <c r="G13" s="359"/>
      <c r="H13" s="9"/>
      <c r="I13" s="357"/>
      <c r="J13" s="269"/>
      <c r="K13" s="270"/>
      <c r="L13" s="269"/>
      <c r="M13" s="360"/>
      <c r="N13" s="356"/>
      <c r="O13" s="354"/>
      <c r="P13" s="12"/>
      <c r="Q13" s="355"/>
      <c r="S13" s="353"/>
      <c r="U13" s="358"/>
    </row>
    <row r="14" spans="1:21" x14ac:dyDescent="0.3">
      <c r="B14" s="126"/>
      <c r="C14" s="127"/>
      <c r="D14" s="127"/>
      <c r="E14" s="127"/>
      <c r="F14" s="127"/>
      <c r="G14" s="42"/>
      <c r="H14" s="30"/>
      <c r="I14" s="30"/>
      <c r="J14" s="30"/>
      <c r="K14" s="30"/>
      <c r="L14" s="30"/>
      <c r="M14" s="30"/>
      <c r="N14" s="30"/>
      <c r="O14" s="30"/>
      <c r="P14" s="30"/>
      <c r="Q14" s="29"/>
    </row>
    <row r="15" spans="1:21" s="3" customFormat="1" x14ac:dyDescent="0.3"/>
    <row r="16" spans="1:21" s="3" customFormat="1" ht="21.75" customHeight="1" x14ac:dyDescent="0.85">
      <c r="G16" s="96"/>
      <c r="H16" s="96"/>
      <c r="I16" s="96"/>
    </row>
  </sheetData>
  <mergeCells count="33">
    <mergeCell ref="A1:S1"/>
    <mergeCell ref="B7:Q7"/>
    <mergeCell ref="G9:G10"/>
    <mergeCell ref="J9:J10"/>
    <mergeCell ref="K9:K10"/>
    <mergeCell ref="L9:L10"/>
    <mergeCell ref="M9:M10"/>
    <mergeCell ref="Q9:Q10"/>
    <mergeCell ref="B9:B10"/>
    <mergeCell ref="C9:C10"/>
    <mergeCell ref="D9:D10"/>
    <mergeCell ref="F9:F10"/>
    <mergeCell ref="O9:O10"/>
    <mergeCell ref="A2:S2"/>
    <mergeCell ref="A3:S3"/>
    <mergeCell ref="A4:S4"/>
    <mergeCell ref="U9:U10"/>
    <mergeCell ref="S9:S10"/>
    <mergeCell ref="U12:U13"/>
    <mergeCell ref="F12:F13"/>
    <mergeCell ref="G12:G13"/>
    <mergeCell ref="J12:J13"/>
    <mergeCell ref="K12:K13"/>
    <mergeCell ref="L12:L13"/>
    <mergeCell ref="M12:M13"/>
    <mergeCell ref="B12:B13"/>
    <mergeCell ref="C12:C13"/>
    <mergeCell ref="D12:D13"/>
    <mergeCell ref="S12:S13"/>
    <mergeCell ref="O12:O13"/>
    <mergeCell ref="Q12:Q13"/>
    <mergeCell ref="N12:N13"/>
    <mergeCell ref="I12:I13"/>
  </mergeCells>
  <conditionalFormatting sqref="J9:J10 J12:J13">
    <cfRule type="expression" dxfId="215" priority="22" stopIfTrue="1">
      <formula>G9="P"</formula>
    </cfRule>
    <cfRule type="expression" dxfId="214" priority="23" stopIfTrue="1">
      <formula>G9="E"</formula>
    </cfRule>
    <cfRule type="expression" dxfId="213" priority="24" stopIfTrue="1">
      <formula>G9="G"</formula>
    </cfRule>
  </conditionalFormatting>
  <conditionalFormatting sqref="L9:L10 L12:L13">
    <cfRule type="expression" dxfId="212" priority="19" stopIfTrue="1">
      <formula>M9="P"</formula>
    </cfRule>
    <cfRule type="expression" dxfId="211" priority="20" stopIfTrue="1">
      <formula>M9="E"</formula>
    </cfRule>
    <cfRule type="expression" dxfId="210" priority="21" stopIfTrue="1">
      <formula>M9="G"</formula>
    </cfRule>
  </conditionalFormatting>
  <printOptions verticalCentered="1"/>
  <pageMargins left="0" right="0.31496062992125984" top="0.35433070866141736" bottom="0.35433070866141736" header="0" footer="0"/>
  <pageSetup scale="79" orientation="landscape" r:id="rId1"/>
  <rowBreaks count="1" manualBreakCount="1">
    <brk id="1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2"/>
  <sheetViews>
    <sheetView zoomScale="90" zoomScaleNormal="90" workbookViewId="0">
      <selection activeCell="H25" sqref="H25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10" style="3" customWidth="1"/>
    <col min="4" max="4" width="13.332031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1.44140625" style="3"/>
    <col min="16" max="16" width="2.88671875" style="3" customWidth="1"/>
    <col min="17" max="17" width="26.88671875" style="3" customWidth="1"/>
    <col min="18" max="18" width="3.33203125" style="3" customWidth="1"/>
    <col min="19" max="16384" width="11.44140625" style="3"/>
  </cols>
  <sheetData>
    <row r="1" spans="1:18" ht="34.799999999999997" x14ac:dyDescent="0.3">
      <c r="A1" s="309" t="str">
        <f>+DEFINICION!A1</f>
        <v>XVIII Campeonato Nacional de Fútbol Infantil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</row>
    <row r="2" spans="1:18" ht="24.6" x14ac:dyDescent="0.3">
      <c r="A2" s="310" t="str">
        <f>+DEFINICION!A2</f>
        <v>“COPA FUTURO TALENTO”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</row>
    <row r="3" spans="1:18" ht="30.6" customHeight="1" x14ac:dyDescent="0.3">
      <c r="A3" s="379">
        <f>+'GRUPOS INFANTIL'!C3</f>
        <v>0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79"/>
      <c r="O3" s="379"/>
      <c r="P3" s="379"/>
      <c r="Q3" s="379"/>
    </row>
    <row r="4" spans="1:18" ht="24" customHeight="1" x14ac:dyDescent="0.3">
      <c r="A4" s="380" t="str">
        <f>+'GRUPOS INFANTIL'!C4</f>
        <v>NACIDOS 2017 2018</v>
      </c>
      <c r="B4" s="380"/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</row>
    <row r="5" spans="1:18" ht="37.5" customHeight="1" x14ac:dyDescent="0.3">
      <c r="B5" s="220" t="s">
        <v>26</v>
      </c>
      <c r="L5" s="46"/>
    </row>
    <row r="6" spans="1:18" ht="15" customHeight="1" x14ac:dyDescent="0.3">
      <c r="B6" s="48" t="s">
        <v>17</v>
      </c>
      <c r="C6"/>
      <c r="D6"/>
      <c r="E6"/>
      <c r="F6"/>
      <c r="G6"/>
      <c r="H6"/>
      <c r="I6"/>
      <c r="J6"/>
      <c r="K6" s="47"/>
      <c r="L6" s="47"/>
      <c r="M6" s="47"/>
      <c r="N6" s="47"/>
      <c r="O6" s="47"/>
      <c r="P6" s="47"/>
      <c r="Q6" s="47"/>
      <c r="R6" s="47"/>
    </row>
    <row r="7" spans="1:18" ht="18" x14ac:dyDescent="0.3">
      <c r="B7" s="387" t="s">
        <v>21</v>
      </c>
      <c r="C7" s="388"/>
      <c r="D7" s="388"/>
      <c r="E7" s="388"/>
      <c r="F7" s="389"/>
      <c r="G7" s="389"/>
      <c r="H7" s="389"/>
      <c r="I7" s="389"/>
      <c r="J7" s="389"/>
      <c r="K7" s="389"/>
      <c r="L7" s="389"/>
      <c r="M7" s="389"/>
      <c r="N7" s="389"/>
      <c r="O7" s="390"/>
      <c r="Q7" s="33" t="s">
        <v>22</v>
      </c>
    </row>
    <row r="8" spans="1:18" ht="15" customHeight="1" x14ac:dyDescent="0.3">
      <c r="B8" s="44"/>
      <c r="C8" s="44"/>
      <c r="D8" s="7"/>
      <c r="E8" s="40"/>
      <c r="F8" s="7"/>
      <c r="G8" s="7"/>
      <c r="H8" s="7"/>
      <c r="I8" s="7"/>
      <c r="J8" s="7"/>
      <c r="K8" s="7"/>
      <c r="L8" s="7"/>
      <c r="M8" s="7"/>
      <c r="N8" s="7"/>
      <c r="O8" s="6"/>
      <c r="Q8" s="384" t="str">
        <f>IF(OR(G9="E",G9=""),"",IF(G9="G",H9,M9))</f>
        <v/>
      </c>
    </row>
    <row r="9" spans="1:18" ht="15" customHeight="1" x14ac:dyDescent="0.3">
      <c r="B9" s="376">
        <v>42814</v>
      </c>
      <c r="C9" s="121"/>
      <c r="D9" s="366" t="s">
        <v>115</v>
      </c>
      <c r="E9" s="43"/>
      <c r="G9" s="360" t="str">
        <f>IF(AND(I9&lt;&gt;"",K9&lt;&gt;""),IF(I9=K9,"E",IF(I9&gt;K9,"G","P")),"")</f>
        <v>E</v>
      </c>
      <c r="H9" s="345" t="str">
        <f>+DEFINICION!U9</f>
        <v/>
      </c>
      <c r="I9" s="268" t="s">
        <v>36</v>
      </c>
      <c r="J9" s="320" t="s">
        <v>15</v>
      </c>
      <c r="K9" s="268" t="s">
        <v>36</v>
      </c>
      <c r="L9" s="360" t="str">
        <f>IF(AND(K9&lt;&gt;"",I9&lt;&gt;""),IF(K9=I9,"E",IF(K9&gt;I9,"G","P")),"")</f>
        <v>E</v>
      </c>
      <c r="M9" s="345" t="str">
        <f>+DEFINICION!U12</f>
        <v>CLUB DEPORTIVO NUEVAS GENERACIONES</v>
      </c>
      <c r="N9" s="10"/>
      <c r="O9" s="355" t="s">
        <v>38</v>
      </c>
      <c r="Q9" s="385"/>
    </row>
    <row r="10" spans="1:18" ht="15" customHeight="1" x14ac:dyDescent="0.3">
      <c r="B10" s="376"/>
      <c r="C10" s="121"/>
      <c r="D10" s="366"/>
      <c r="E10" s="43"/>
      <c r="G10" s="360"/>
      <c r="H10" s="345"/>
      <c r="I10" s="269"/>
      <c r="J10" s="320"/>
      <c r="K10" s="269"/>
      <c r="L10" s="360"/>
      <c r="M10" s="345"/>
      <c r="N10" s="10"/>
      <c r="O10" s="355"/>
      <c r="Q10" s="385"/>
    </row>
    <row r="11" spans="1:18" x14ac:dyDescent="0.3">
      <c r="B11" s="120"/>
      <c r="C11" s="120"/>
      <c r="D11" s="30"/>
      <c r="E11" s="30"/>
      <c r="F11" s="30"/>
      <c r="G11" s="30"/>
      <c r="H11" s="30"/>
      <c r="I11" s="30"/>
      <c r="J11" s="30"/>
      <c r="K11" s="39"/>
      <c r="L11" s="30"/>
      <c r="M11" s="30"/>
      <c r="N11" s="30"/>
      <c r="O11" s="29"/>
      <c r="Q11" s="386"/>
    </row>
    <row r="13" spans="1:18" ht="21" x14ac:dyDescent="0.3">
      <c r="B13" s="373" t="s">
        <v>23</v>
      </c>
      <c r="C13" s="374"/>
      <c r="D13" s="374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5"/>
      <c r="Q13" s="34" t="s">
        <v>24</v>
      </c>
    </row>
    <row r="14" spans="1:18" ht="15" customHeight="1" x14ac:dyDescent="0.3">
      <c r="B14" s="6"/>
      <c r="C14" s="4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Q14" s="381" t="str">
        <f>IF(OR(G15="E",G15=""),"",IF(G15="P",H15,M15))</f>
        <v/>
      </c>
    </row>
    <row r="15" spans="1:18" ht="15" customHeight="1" x14ac:dyDescent="0.3">
      <c r="B15" s="376">
        <v>42814</v>
      </c>
      <c r="C15" s="121"/>
      <c r="D15" s="366" t="s">
        <v>116</v>
      </c>
      <c r="E15" s="32"/>
      <c r="G15" s="360" t="str">
        <f>IF(AND(I15&lt;&gt;"",K15&lt;&gt;""),IF(I15=K15,"E",IF(I15&gt;K15,"G","P")),"")</f>
        <v>E</v>
      </c>
      <c r="H15" s="345" t="str">
        <f>+DEFINICION!S9</f>
        <v>ASTON HUILA</v>
      </c>
      <c r="I15" s="268" t="s">
        <v>88</v>
      </c>
      <c r="J15" s="320" t="s">
        <v>15</v>
      </c>
      <c r="K15" s="268" t="s">
        <v>88</v>
      </c>
      <c r="L15" s="360" t="str">
        <f>IF(AND(K15&lt;&gt;"",I15&lt;&gt;""),IF(K15=I15,"E",IF(K15&gt;I15,"G","P")),"")</f>
        <v>E</v>
      </c>
      <c r="M15" s="345" t="str">
        <f>+DEFINICION!S12</f>
        <v/>
      </c>
      <c r="N15" s="377"/>
      <c r="O15" s="355" t="s">
        <v>38</v>
      </c>
      <c r="Q15" s="382"/>
    </row>
    <row r="16" spans="1:18" ht="15" customHeight="1" x14ac:dyDescent="0.3">
      <c r="B16" s="376"/>
      <c r="C16" s="121"/>
      <c r="D16" s="366"/>
      <c r="E16" s="32"/>
      <c r="G16" s="360"/>
      <c r="H16" s="345"/>
      <c r="I16" s="269"/>
      <c r="J16" s="320"/>
      <c r="K16" s="269"/>
      <c r="L16" s="360"/>
      <c r="M16" s="345"/>
      <c r="N16" s="377"/>
      <c r="O16" s="355"/>
      <c r="Q16" s="382"/>
    </row>
    <row r="17" spans="2:17" x14ac:dyDescent="0.3">
      <c r="B17" s="29"/>
      <c r="C17" s="12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29"/>
      <c r="Q17" s="383"/>
    </row>
    <row r="19" spans="2:17" x14ac:dyDescent="0.3">
      <c r="C19" s="378" t="s">
        <v>25</v>
      </c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</row>
    <row r="20" spans="2:17" x14ac:dyDescent="0.3"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</row>
    <row r="21" spans="2:17" x14ac:dyDescent="0.3">
      <c r="C21" s="367" t="str">
        <f>IF(OR(G15="E",G15=""),"",IF(G15="G",H15,M15))</f>
        <v/>
      </c>
      <c r="D21" s="368"/>
      <c r="E21" s="368"/>
      <c r="F21" s="368"/>
      <c r="G21" s="368"/>
      <c r="H21" s="368"/>
      <c r="I21" s="368"/>
      <c r="J21" s="368"/>
      <c r="K21" s="368"/>
      <c r="L21" s="368"/>
      <c r="M21" s="368"/>
      <c r="N21" s="369"/>
    </row>
    <row r="22" spans="2:17" ht="33.75" customHeight="1" x14ac:dyDescent="0.3">
      <c r="C22" s="370"/>
      <c r="D22" s="371"/>
      <c r="E22" s="371"/>
      <c r="F22" s="371"/>
      <c r="G22" s="371"/>
      <c r="H22" s="371"/>
      <c r="I22" s="371"/>
      <c r="J22" s="371"/>
      <c r="K22" s="371"/>
      <c r="L22" s="371"/>
      <c r="M22" s="371"/>
      <c r="N22" s="372"/>
    </row>
  </sheetData>
  <mergeCells count="31">
    <mergeCell ref="A1:Q1"/>
    <mergeCell ref="A2:Q2"/>
    <mergeCell ref="A3:Q3"/>
    <mergeCell ref="A4:Q4"/>
    <mergeCell ref="D15:D16"/>
    <mergeCell ref="Q14:Q17"/>
    <mergeCell ref="Q8:Q11"/>
    <mergeCell ref="K9:K10"/>
    <mergeCell ref="B7:O7"/>
    <mergeCell ref="G9:G10"/>
    <mergeCell ref="I9:I10"/>
    <mergeCell ref="J9:J10"/>
    <mergeCell ref="H9:H10"/>
    <mergeCell ref="M9:M10"/>
    <mergeCell ref="B9:B10"/>
    <mergeCell ref="O9:O10"/>
    <mergeCell ref="D9:D10"/>
    <mergeCell ref="L9:L10"/>
    <mergeCell ref="M15:M16"/>
    <mergeCell ref="C21:N22"/>
    <mergeCell ref="B13:O13"/>
    <mergeCell ref="B15:B16"/>
    <mergeCell ref="H15:H16"/>
    <mergeCell ref="G15:G16"/>
    <mergeCell ref="I15:I16"/>
    <mergeCell ref="J15:J16"/>
    <mergeCell ref="K15:K16"/>
    <mergeCell ref="L15:L16"/>
    <mergeCell ref="N15:N16"/>
    <mergeCell ref="O15:O16"/>
    <mergeCell ref="C19:N20"/>
  </mergeCells>
  <conditionalFormatting sqref="I9:I10">
    <cfRule type="expression" dxfId="209" priority="4" stopIfTrue="1">
      <formula>G9="P"</formula>
    </cfRule>
    <cfRule type="expression" dxfId="208" priority="5" stopIfTrue="1">
      <formula>G9="E"</formula>
    </cfRule>
    <cfRule type="expression" dxfId="207" priority="6" stopIfTrue="1">
      <formula>G9="G"</formula>
    </cfRule>
  </conditionalFormatting>
  <conditionalFormatting sqref="I15:I16">
    <cfRule type="expression" dxfId="206" priority="1" stopIfTrue="1">
      <formula>G15="P"</formula>
    </cfRule>
    <cfRule type="expression" dxfId="205" priority="2" stopIfTrue="1">
      <formula>G15="E"</formula>
    </cfRule>
    <cfRule type="expression" dxfId="204" priority="3" stopIfTrue="1">
      <formula>G15="G"</formula>
    </cfRule>
  </conditionalFormatting>
  <conditionalFormatting sqref="K9:K10">
    <cfRule type="expression" dxfId="203" priority="7" stopIfTrue="1">
      <formula>L9="P"</formula>
    </cfRule>
    <cfRule type="expression" dxfId="202" priority="8" stopIfTrue="1">
      <formula>L9="E"</formula>
    </cfRule>
    <cfRule type="expression" dxfId="201" priority="9" stopIfTrue="1">
      <formula>L9="G"</formula>
    </cfRule>
  </conditionalFormatting>
  <conditionalFormatting sqref="K15:K16">
    <cfRule type="expression" dxfId="200" priority="10" stopIfTrue="1">
      <formula>L15="P"</formula>
    </cfRule>
    <cfRule type="expression" dxfId="199" priority="11" stopIfTrue="1">
      <formula>L15="E"</formula>
    </cfRule>
    <cfRule type="expression" dxfId="198" priority="12" stopIfTrue="1">
      <formula>L15="G"</formula>
    </cfRule>
  </conditionalFormatting>
  <printOptions verticalCentered="1"/>
  <pageMargins left="0" right="0" top="0.74803149606299213" bottom="0.35433070866141736" header="0" footer="0"/>
  <pageSetup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9" t="s">
        <v>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</row>
    <row r="2" spans="1:15" s="3" customFormat="1" ht="23.25" customHeight="1" x14ac:dyDescent="0.5">
      <c r="A2" s="400" t="s">
        <v>6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</row>
    <row r="3" spans="1:15" s="3" customFormat="1" ht="9.75" customHeight="1" x14ac:dyDescent="0.3">
      <c r="N3" s="100"/>
      <c r="O3" s="100"/>
    </row>
    <row r="4" spans="1:15" s="3" customFormat="1" ht="25.5" customHeight="1" x14ac:dyDescent="0.5">
      <c r="B4" s="134" t="str">
        <f>+'GRUPOS INFANTIL'!D6</f>
        <v>GRUPO A</v>
      </c>
      <c r="C4" s="138"/>
      <c r="D4" s="136" t="str">
        <f>+'GRUPOS INFANTIL'!H6</f>
        <v>GRUPO B</v>
      </c>
      <c r="E4" s="117"/>
      <c r="F4" s="117"/>
      <c r="G4" s="404">
        <f>+'GRUPOS INFANTIL'!F6</f>
        <v>0</v>
      </c>
      <c r="H4" s="404"/>
      <c r="I4" s="404"/>
      <c r="J4" s="404"/>
      <c r="K4" s="404"/>
      <c r="N4" s="141" t="e">
        <f>+'GRUPOS INFANTIL'!#REF!</f>
        <v>#REF!</v>
      </c>
    </row>
    <row r="5" spans="1:15" s="3" customFormat="1" ht="45" customHeight="1" x14ac:dyDescent="0.3">
      <c r="B5" s="135" t="str">
        <f>+'GRUPOS INFANTIL'!D7</f>
        <v>ASTON HUILA</v>
      </c>
      <c r="C5" s="139"/>
      <c r="D5" s="140" t="str">
        <f>+'GRUPOS INFANTIL'!H7</f>
        <v>CANUTO F.C.</v>
      </c>
      <c r="E5" s="35"/>
      <c r="F5" s="35"/>
      <c r="G5" s="403">
        <f>+'GRUPOS INFANTIL'!F7</f>
        <v>0</v>
      </c>
      <c r="H5" s="403"/>
      <c r="I5" s="403"/>
      <c r="J5" s="403"/>
      <c r="K5" s="403"/>
      <c r="L5" s="35"/>
      <c r="M5" s="35"/>
      <c r="N5" s="142" t="e">
        <f>+'GRUPOS INFANTIL'!#REF!</f>
        <v>#REF!</v>
      </c>
    </row>
    <row r="6" spans="1:15" s="3" customFormat="1" ht="45" customHeight="1" x14ac:dyDescent="0.3">
      <c r="B6" s="135" t="str">
        <f>+'GRUPOS INFANTIL'!D8</f>
        <v>INTER F. C.</v>
      </c>
      <c r="C6" s="139"/>
      <c r="D6" s="140" t="str">
        <f>+'GRUPOS INFANTIL'!H8</f>
        <v>HUITACA FUTBOL CLUB CHIA</v>
      </c>
      <c r="E6" s="35"/>
      <c r="F6" s="35"/>
      <c r="G6" s="403" t="e">
        <f>+'GRUPOS INFANTIL'!#REF!</f>
        <v>#REF!</v>
      </c>
      <c r="H6" s="403"/>
      <c r="I6" s="403"/>
      <c r="J6" s="403"/>
      <c r="K6" s="403"/>
      <c r="L6" s="35"/>
      <c r="M6" s="35"/>
      <c r="N6" s="142" t="e">
        <f>+'GRUPOS INFANTIL'!#REF!</f>
        <v>#REF!</v>
      </c>
    </row>
    <row r="7" spans="1:15" s="3" customFormat="1" ht="45" customHeight="1" x14ac:dyDescent="0.3">
      <c r="B7" s="135" t="str">
        <f>+'GRUPOS INFANTIL'!D9</f>
        <v>ATHLETIC MELGAR</v>
      </c>
      <c r="C7" s="139"/>
      <c r="D7" s="140" t="str">
        <f>+'GRUPOS INFANTIL'!H9</f>
        <v>CLUB PROMOTOR DEPORTIVO SCORPION</v>
      </c>
      <c r="E7" s="35"/>
      <c r="F7" s="35"/>
      <c r="G7" s="403">
        <f>+'GRUPOS INFANTIL'!F9</f>
        <v>0</v>
      </c>
      <c r="H7" s="403"/>
      <c r="I7" s="403"/>
      <c r="J7" s="403"/>
      <c r="K7" s="403"/>
      <c r="L7" s="35"/>
      <c r="M7" s="35"/>
      <c r="N7" s="142" t="e">
        <f>+'GRUPOS INFANTIL'!#REF!</f>
        <v>#REF!</v>
      </c>
    </row>
    <row r="8" spans="1:15" s="3" customFormat="1" ht="45" customHeight="1" x14ac:dyDescent="0.3">
      <c r="B8" s="135" t="str">
        <f>+'GRUPOS INFANTIL'!D10</f>
        <v>CLUB DEPORTIVO NUEVAS GENERACIONES</v>
      </c>
      <c r="C8" s="139"/>
      <c r="D8" s="140" t="e">
        <f>+'GRUPOS INFANTIL'!#REF!</f>
        <v>#REF!</v>
      </c>
      <c r="E8" s="35"/>
      <c r="F8" s="35"/>
      <c r="G8" s="403" t="e">
        <f>+'GRUPOS INFANTIL'!#REF!</f>
        <v>#REF!</v>
      </c>
      <c r="H8" s="403"/>
      <c r="I8" s="403"/>
      <c r="J8" s="403"/>
      <c r="K8" s="403"/>
      <c r="L8" s="35"/>
      <c r="M8" s="35"/>
      <c r="N8" s="142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0">
        <f>+'GRUPOS INFANTIL'!C3</f>
        <v>0</v>
      </c>
      <c r="C10" s="80"/>
      <c r="N10" s="407">
        <f>+'GRUPOS INFANTIL'!F8</f>
        <v>2024</v>
      </c>
      <c r="O10" s="407"/>
    </row>
    <row r="11" spans="1:15" s="3" customFormat="1" ht="21" x14ac:dyDescent="0.4">
      <c r="B11" s="99" t="str">
        <f>+'GRUPOS INFANTIL'!C4</f>
        <v>NACIDOS 2017 2018</v>
      </c>
      <c r="C11" s="99"/>
      <c r="N11" s="407"/>
      <c r="O11" s="407"/>
    </row>
    <row r="12" spans="1:15" s="3" customFormat="1" ht="11.25" customHeight="1" x14ac:dyDescent="0.3">
      <c r="A12" s="401" t="str">
        <f>+'GRUPO A'!B4</f>
        <v>GRUPO A</v>
      </c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</row>
    <row r="13" spans="1:15" s="3" customFormat="1" ht="21" customHeight="1" x14ac:dyDescent="0.3">
      <c r="A13" s="402"/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</row>
    <row r="14" spans="1:15" ht="23.4" x14ac:dyDescent="0.3">
      <c r="A14" s="361" t="s">
        <v>33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9">
        <f>+'GRUPO A'!B20</f>
        <v>42812</v>
      </c>
      <c r="B16" s="90" t="str">
        <f>+'GRUPO A'!C20</f>
        <v>07:15. a.m.</v>
      </c>
      <c r="C16" s="90"/>
      <c r="D16" s="397" t="str">
        <f>+'GRUPO A'!E20</f>
        <v>ASTON HUILA</v>
      </c>
      <c r="E16" s="397"/>
      <c r="F16" s="108" t="str">
        <f>IF(AND(G16&lt;&gt;"",I16&lt;&gt;""),IF(G16=I16,"E",IF(G16&gt;I16,"G","P")),"")</f>
        <v/>
      </c>
      <c r="G16" s="109"/>
      <c r="H16" s="84" t="s">
        <v>15</v>
      </c>
      <c r="I16" s="109"/>
      <c r="J16" s="108" t="str">
        <f>IF(AND(I16&lt;&gt;"",G16&lt;&gt;""),IF(I16=G16,"E",IF(I16&gt;G16,"G","P")),"")</f>
        <v/>
      </c>
      <c r="K16" s="397" t="str">
        <f>+'GRUPO A'!K20</f>
        <v>INTER F. C.</v>
      </c>
      <c r="L16" s="397"/>
      <c r="M16" s="397"/>
      <c r="N16" s="397"/>
      <c r="O16" s="91" t="str">
        <f>+'GRUPO A'!M20</f>
        <v>CANCHA 2</v>
      </c>
    </row>
    <row r="17" spans="1:15" ht="7.5" customHeight="1" x14ac:dyDescent="0.35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ht="33.75" customHeight="1" x14ac:dyDescent="0.35">
      <c r="A18" s="92">
        <f>+'GRUPO A'!B23</f>
        <v>42812</v>
      </c>
      <c r="B18" s="93" t="str">
        <f>+'GRUPO A'!C23</f>
        <v>08:20. a.m.</v>
      </c>
      <c r="C18" s="93"/>
      <c r="D18" s="398" t="str">
        <f>+'GRUPO A'!E23</f>
        <v>ATHLETIC MELGAR</v>
      </c>
      <c r="E18" s="398"/>
      <c r="F18" s="108" t="str">
        <f>IF(AND(G18&lt;&gt;"",I18&lt;&gt;""),IF(G18=I18,"E",IF(G18&gt;I18,"G","P")),"")</f>
        <v/>
      </c>
      <c r="G18" s="109"/>
      <c r="H18" s="84" t="s">
        <v>15</v>
      </c>
      <c r="I18" s="109"/>
      <c r="J18" s="108" t="str">
        <f>IF(AND(I18&lt;&gt;"",G18&lt;&gt;""),IF(I18=G18,"E",IF(I18&gt;G18,"G","P")),"")</f>
        <v/>
      </c>
      <c r="K18" s="398" t="str">
        <f>+'GRUPO A'!K23</f>
        <v>CLUB DEPORTIVO NUEVAS GENERACIONES</v>
      </c>
      <c r="L18" s="398"/>
      <c r="M18" s="398"/>
      <c r="N18" s="398"/>
      <c r="O18" s="95" t="str">
        <f>+'GRUPO A'!M23</f>
        <v>LAS VEGAS</v>
      </c>
    </row>
    <row r="19" spans="1:15" hidden="1" x14ac:dyDescent="0.3"/>
    <row r="20" spans="1:15" ht="11.25" customHeight="1" x14ac:dyDescent="0.3">
      <c r="A20" s="408" t="str">
        <f>+'GRUPO B'!B4</f>
        <v>GRUPO B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</row>
    <row r="21" spans="1:15" ht="21" customHeight="1" x14ac:dyDescent="0.3">
      <c r="A21" s="408"/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</row>
    <row r="22" spans="1:15" ht="23.4" x14ac:dyDescent="0.3">
      <c r="A22" s="361" t="s">
        <v>33</v>
      </c>
      <c r="B22" s="362"/>
      <c r="C22" s="362"/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9">
        <f>+'GRUPO B'!B20</f>
        <v>42812</v>
      </c>
      <c r="B24" s="90" t="str">
        <f>+'GRUPO B'!C20</f>
        <v>12:00. m.d.</v>
      </c>
      <c r="C24" s="90"/>
      <c r="D24" s="397" t="str">
        <f>+'GRUPO B'!E20</f>
        <v>CANUTO F.C.</v>
      </c>
      <c r="E24" s="397"/>
      <c r="F24" s="58" t="str">
        <f>IF(AND(G24&lt;&gt;"",I24&lt;&gt;""),IF(G24=I24,"E",IF(G24&gt;I24,"G","P")),"")</f>
        <v/>
      </c>
      <c r="G24" s="101"/>
      <c r="H24" s="13" t="s">
        <v>15</v>
      </c>
      <c r="I24" s="101"/>
      <c r="J24" s="58" t="str">
        <f>IF(AND(I24&lt;&gt;"",G24&lt;&gt;""),IF(I24=G24,"E",IF(I24&gt;G24,"G","P")),"")</f>
        <v/>
      </c>
      <c r="K24" s="397" t="str">
        <f>+'GRUPO B'!K20</f>
        <v>INTER F. C.</v>
      </c>
      <c r="L24" s="397"/>
      <c r="M24" s="397"/>
      <c r="N24" s="397"/>
      <c r="O24" s="91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2">
        <f>+'GRUPO B'!B23</f>
        <v>42812</v>
      </c>
      <c r="B26" s="93" t="str">
        <f>+'GRUPO B'!C23</f>
        <v>01:10. p.m.</v>
      </c>
      <c r="C26" s="93"/>
      <c r="D26" s="398" t="str">
        <f>+'GRUPO B'!E23</f>
        <v>CLUB PROMOTOR DEPORTIVO SCORPION</v>
      </c>
      <c r="E26" s="398"/>
      <c r="F26" s="58" t="str">
        <f>IF(AND(G26&lt;&gt;"",I26&lt;&gt;""),IF(G26=I26,"E",IF(G26&gt;I26,"G","P")),"")</f>
        <v/>
      </c>
      <c r="G26" s="101"/>
      <c r="H26" s="13" t="s">
        <v>15</v>
      </c>
      <c r="I26" s="101"/>
      <c r="J26" s="58" t="str">
        <f>IF(AND(I26&lt;&gt;"",G26&lt;&gt;""),IF(I26=G26,"E",IF(I26&gt;G26,"G","P")),"")</f>
        <v/>
      </c>
      <c r="K26" s="398" t="e">
        <f>+'GRUPO B'!K23</f>
        <v>#REF!</v>
      </c>
      <c r="L26" s="398"/>
      <c r="M26" s="398"/>
      <c r="N26" s="398"/>
      <c r="O26" s="95" t="str">
        <f>+'GRUPO B'!M23</f>
        <v>CANCHA 2</v>
      </c>
    </row>
    <row r="27" spans="1:15" ht="11.25" customHeight="1" x14ac:dyDescent="0.3">
      <c r="A27" s="405" t="e">
        <f>+#REF!</f>
        <v>#REF!</v>
      </c>
      <c r="B27" s="405"/>
      <c r="C27" s="405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5"/>
      <c r="O27" s="405"/>
    </row>
    <row r="28" spans="1:15" ht="21" customHeight="1" x14ac:dyDescent="0.3">
      <c r="A28" s="406"/>
      <c r="B28" s="406"/>
      <c r="C28" s="406"/>
      <c r="D28" s="406"/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06"/>
    </row>
    <row r="29" spans="1:15" s="3" customFormat="1" ht="18.75" customHeight="1" x14ac:dyDescent="0.3">
      <c r="A29" s="361" t="s">
        <v>33</v>
      </c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</row>
    <row r="30" spans="1:15" s="3" customFormat="1" ht="15" customHeight="1" x14ac:dyDescent="0.3"/>
    <row r="31" spans="1:15" s="3" customFormat="1" ht="33.75" customHeight="1" x14ac:dyDescent="0.35">
      <c r="A31" s="89" t="e">
        <f>+#REF!</f>
        <v>#REF!</v>
      </c>
      <c r="B31" s="90" t="e">
        <f>+#REF!</f>
        <v>#REF!</v>
      </c>
      <c r="C31" s="90"/>
      <c r="D31" s="397" t="e">
        <f>+#REF!</f>
        <v>#REF!</v>
      </c>
      <c r="E31" s="397"/>
      <c r="F31" s="108" t="str">
        <f>IF(AND(G31&lt;&gt;"",I31&lt;&gt;""),IF(G31=I31,"E",IF(G31&gt;I31,"G","P")),"")</f>
        <v/>
      </c>
      <c r="G31" s="109"/>
      <c r="H31" s="84" t="s">
        <v>15</v>
      </c>
      <c r="I31" s="109"/>
      <c r="J31" s="108" t="str">
        <f>IF(AND(I31&lt;&gt;"",G31&lt;&gt;""),IF(I31=G31,"E",IF(I31&gt;G31,"G","P")),"")</f>
        <v/>
      </c>
      <c r="K31" s="397" t="e">
        <f>+#REF!</f>
        <v>#REF!</v>
      </c>
      <c r="L31" s="397"/>
      <c r="M31" s="397"/>
      <c r="N31" s="397"/>
      <c r="O31" s="91" t="e">
        <f>+#REF!</f>
        <v>#REF!</v>
      </c>
    </row>
    <row r="32" spans="1:15" s="3" customFormat="1" ht="17.399999999999999" x14ac:dyDescent="0.3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s="3" customFormat="1" ht="33.75" customHeight="1" x14ac:dyDescent="0.35">
      <c r="A33" s="92" t="e">
        <f>+#REF!</f>
        <v>#REF!</v>
      </c>
      <c r="B33" s="93" t="e">
        <f>+#REF!</f>
        <v>#REF!</v>
      </c>
      <c r="C33" s="93"/>
      <c r="D33" s="398" t="e">
        <f>+#REF!</f>
        <v>#REF!</v>
      </c>
      <c r="E33" s="398"/>
      <c r="F33" s="108" t="str">
        <f>IF(AND(G33&lt;&gt;"",I33&lt;&gt;""),IF(G33=I33,"E",IF(G33&gt;I33,"G","P")),"")</f>
        <v/>
      </c>
      <c r="G33" s="109"/>
      <c r="H33" s="84" t="s">
        <v>15</v>
      </c>
      <c r="I33" s="109"/>
      <c r="J33" s="108" t="str">
        <f>IF(AND(I33&lt;&gt;"",G33&lt;&gt;""),IF(I33=G33,"E",IF(I33&gt;G33,"G","P")),"")</f>
        <v/>
      </c>
      <c r="K33" s="398" t="e">
        <f>+#REF!</f>
        <v>#REF!</v>
      </c>
      <c r="L33" s="398"/>
      <c r="M33" s="398"/>
      <c r="N33" s="398"/>
      <c r="O33" s="95" t="e">
        <f>+#REF!</f>
        <v>#REF!</v>
      </c>
    </row>
    <row r="34" spans="1:15" s="3" customFormat="1" ht="11.25" customHeight="1" x14ac:dyDescent="0.3">
      <c r="A34" s="394" t="e">
        <f>+#REF!</f>
        <v>#REF!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</row>
    <row r="35" spans="1:15" s="3" customFormat="1" ht="21" customHeight="1" x14ac:dyDescent="0.3">
      <c r="A35" s="396"/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6"/>
    </row>
    <row r="36" spans="1:15" s="3" customFormat="1" ht="23.4" x14ac:dyDescent="0.3">
      <c r="A36" s="361" t="s">
        <v>33</v>
      </c>
      <c r="B36" s="362"/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</row>
    <row r="37" spans="1:15" s="3" customFormat="1" x14ac:dyDescent="0.3"/>
    <row r="38" spans="1:15" s="3" customFormat="1" ht="33.75" customHeight="1" x14ac:dyDescent="0.35">
      <c r="A38" s="89" t="e">
        <f>+#REF!</f>
        <v>#REF!</v>
      </c>
      <c r="B38" s="90" t="e">
        <f>+#REF!</f>
        <v>#REF!</v>
      </c>
      <c r="C38" s="90"/>
      <c r="D38" s="397" t="e">
        <f>+#REF!</f>
        <v>#REF!</v>
      </c>
      <c r="E38" s="397"/>
      <c r="F38" s="108" t="str">
        <f>IF(AND(G38&lt;&gt;"",I38&lt;&gt;""),IF(G38=I38,"E",IF(G38&gt;I38,"G","P")),"")</f>
        <v/>
      </c>
      <c r="G38" s="109"/>
      <c r="H38" s="84" t="s">
        <v>15</v>
      </c>
      <c r="I38" s="109"/>
      <c r="J38" s="108" t="str">
        <f>IF(AND(I38&lt;&gt;"",G38&lt;&gt;""),IF(I38=G38,"E",IF(I38&gt;G38,"G","P")),"")</f>
        <v/>
      </c>
      <c r="K38" s="397" t="e">
        <f>+#REF!</f>
        <v>#REF!</v>
      </c>
      <c r="L38" s="397"/>
      <c r="M38" s="397"/>
      <c r="N38" s="397"/>
      <c r="O38" s="91" t="e">
        <f>+#REF!</f>
        <v>#REF!</v>
      </c>
    </row>
    <row r="39" spans="1:15" s="3" customFormat="1" ht="17.399999999999999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spans="1:15" s="3" customFormat="1" ht="33.75" customHeight="1" x14ac:dyDescent="0.35">
      <c r="A40" s="92" t="e">
        <f>+#REF!</f>
        <v>#REF!</v>
      </c>
      <c r="B40" s="93" t="e">
        <f>+#REF!</f>
        <v>#REF!</v>
      </c>
      <c r="C40" s="93"/>
      <c r="D40" s="398" t="e">
        <f>+#REF!</f>
        <v>#REF!</v>
      </c>
      <c r="E40" s="398"/>
      <c r="F40" s="108" t="str">
        <f>IF(AND(G40&lt;&gt;"",I40&lt;&gt;""),IF(G40=I40,"E",IF(G40&gt;I40,"G","P")),"")</f>
        <v/>
      </c>
      <c r="G40" s="109"/>
      <c r="H40" s="84" t="s">
        <v>15</v>
      </c>
      <c r="I40" s="109"/>
      <c r="J40" s="108" t="str">
        <f>IF(AND(I40&lt;&gt;"",G40&lt;&gt;""),IF(I40=G40,"E",IF(I40&gt;G40,"G","P")),"")</f>
        <v/>
      </c>
      <c r="K40" s="398" t="e">
        <f>+#REF!</f>
        <v>#REF!</v>
      </c>
      <c r="L40" s="398"/>
      <c r="M40" s="398"/>
      <c r="N40" s="398"/>
      <c r="O40" s="95" t="e">
        <f>+#REF!</f>
        <v>#REF!</v>
      </c>
    </row>
    <row r="41" spans="1:15" s="3" customFormat="1" ht="15" customHeight="1" x14ac:dyDescent="0.3">
      <c r="A41" s="393" t="s">
        <v>41</v>
      </c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</row>
    <row r="42" spans="1:15" s="3" customFormat="1" ht="15" customHeight="1" x14ac:dyDescent="0.3">
      <c r="A42" s="393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</row>
    <row r="43" spans="1:15" s="3" customFormat="1" ht="15" customHeight="1" x14ac:dyDescent="0.3">
      <c r="A43" s="39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</row>
    <row r="44" spans="1:15" s="3" customFormat="1" ht="15" customHeight="1" x14ac:dyDescent="0.3">
      <c r="A44" s="39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</row>
    <row r="45" spans="1:15" s="3" customFormat="1" ht="15" customHeight="1" x14ac:dyDescent="0.3">
      <c r="A45" s="393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</row>
    <row r="46" spans="1:15" s="3" customFormat="1" x14ac:dyDescent="0.3">
      <c r="A46" s="391" t="s">
        <v>28</v>
      </c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M46" s="391"/>
      <c r="N46" s="391"/>
      <c r="O46" s="391"/>
    </row>
    <row r="47" spans="1:15" s="3" customFormat="1" x14ac:dyDescent="0.3">
      <c r="A47" s="391" t="s">
        <v>29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</row>
    <row r="48" spans="1:15" s="3" customFormat="1" x14ac:dyDescent="0.3">
      <c r="A48" s="392" t="s">
        <v>30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</row>
    <row r="49" spans="1:15" s="3" customFormat="1" x14ac:dyDescent="0.3">
      <c r="A49" s="391" t="s">
        <v>31</v>
      </c>
      <c r="B49" s="391"/>
      <c r="C49" s="391"/>
      <c r="D49" s="391"/>
      <c r="E49" s="391"/>
      <c r="F49" s="391"/>
      <c r="G49" s="391"/>
      <c r="H49" s="391"/>
      <c r="I49" s="391"/>
      <c r="J49" s="391"/>
      <c r="K49" s="391"/>
      <c r="L49" s="391"/>
      <c r="M49" s="391"/>
      <c r="N49" s="391"/>
      <c r="O49" s="391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6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9" t="s">
        <v>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</row>
    <row r="2" spans="1:15" s="3" customFormat="1" ht="23.25" customHeight="1" x14ac:dyDescent="0.5">
      <c r="A2" s="400" t="s">
        <v>6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</row>
    <row r="3" spans="1:15" s="3" customFormat="1" ht="9.75" customHeight="1" x14ac:dyDescent="0.3">
      <c r="N3" s="100"/>
      <c r="O3" s="100"/>
    </row>
    <row r="4" spans="1:15" s="3" customFormat="1" ht="25.5" customHeight="1" x14ac:dyDescent="0.5">
      <c r="B4" s="134" t="str">
        <f>+'GRUPOS INFANTIL'!D6</f>
        <v>GRUPO A</v>
      </c>
      <c r="C4" s="138"/>
      <c r="D4" s="136" t="str">
        <f>+'GRUPOS INFANTIL'!H6</f>
        <v>GRUPO B</v>
      </c>
      <c r="E4" s="117"/>
      <c r="F4" s="117"/>
      <c r="G4" s="404">
        <f>+'GRUPOS INFANTIL'!F6</f>
        <v>0</v>
      </c>
      <c r="H4" s="404"/>
      <c r="I4" s="404"/>
      <c r="J4" s="404"/>
      <c r="K4" s="404"/>
      <c r="N4" s="141" t="e">
        <f>+'GRUPOS INFANTIL'!#REF!</f>
        <v>#REF!</v>
      </c>
    </row>
    <row r="5" spans="1:15" s="3" customFormat="1" ht="45" customHeight="1" x14ac:dyDescent="0.3">
      <c r="B5" s="135" t="str">
        <f>+'GRUPOS INFANTIL'!D7</f>
        <v>ASTON HUILA</v>
      </c>
      <c r="C5" s="139"/>
      <c r="D5" s="140" t="str">
        <f>+'GRUPOS INFANTIL'!H7</f>
        <v>CANUTO F.C.</v>
      </c>
      <c r="E5" s="35"/>
      <c r="F5" s="35"/>
      <c r="G5" s="403">
        <f>+'GRUPOS INFANTIL'!F7</f>
        <v>0</v>
      </c>
      <c r="H5" s="403"/>
      <c r="I5" s="403"/>
      <c r="J5" s="403"/>
      <c r="K5" s="403"/>
      <c r="L5" s="35"/>
      <c r="M5" s="35"/>
      <c r="N5" s="142" t="e">
        <f>+'GRUPOS INFANTIL'!#REF!</f>
        <v>#REF!</v>
      </c>
    </row>
    <row r="6" spans="1:15" s="3" customFormat="1" ht="45" customHeight="1" x14ac:dyDescent="0.3">
      <c r="B6" s="135" t="str">
        <f>+'GRUPOS INFANTIL'!D8</f>
        <v>INTER F. C.</v>
      </c>
      <c r="C6" s="139"/>
      <c r="D6" s="140" t="str">
        <f>+'GRUPOS INFANTIL'!H8</f>
        <v>HUITACA FUTBOL CLUB CHIA</v>
      </c>
      <c r="E6" s="35"/>
      <c r="F6" s="35"/>
      <c r="G6" s="403" t="e">
        <f>+'GRUPOS INFANTIL'!#REF!</f>
        <v>#REF!</v>
      </c>
      <c r="H6" s="403"/>
      <c r="I6" s="403"/>
      <c r="J6" s="403"/>
      <c r="K6" s="403"/>
      <c r="L6" s="35"/>
      <c r="M6" s="35"/>
      <c r="N6" s="142" t="e">
        <f>+'GRUPOS INFANTIL'!#REF!</f>
        <v>#REF!</v>
      </c>
    </row>
    <row r="7" spans="1:15" s="3" customFormat="1" ht="45" customHeight="1" x14ac:dyDescent="0.3">
      <c r="B7" s="135" t="str">
        <f>+'GRUPOS INFANTIL'!D9</f>
        <v>ATHLETIC MELGAR</v>
      </c>
      <c r="C7" s="139"/>
      <c r="D7" s="140" t="str">
        <f>+'GRUPOS INFANTIL'!H9</f>
        <v>CLUB PROMOTOR DEPORTIVO SCORPION</v>
      </c>
      <c r="E7" s="35"/>
      <c r="F7" s="35"/>
      <c r="G7" s="403">
        <f>+'GRUPOS INFANTIL'!F9</f>
        <v>0</v>
      </c>
      <c r="H7" s="403"/>
      <c r="I7" s="403"/>
      <c r="J7" s="403"/>
      <c r="K7" s="403"/>
      <c r="L7" s="35"/>
      <c r="M7" s="35"/>
      <c r="N7" s="142" t="e">
        <f>+'GRUPOS INFANTIL'!#REF!</f>
        <v>#REF!</v>
      </c>
    </row>
    <row r="8" spans="1:15" s="3" customFormat="1" ht="45" customHeight="1" x14ac:dyDescent="0.3">
      <c r="B8" s="135" t="str">
        <f>+'GRUPOS INFANTIL'!D10</f>
        <v>CLUB DEPORTIVO NUEVAS GENERACIONES</v>
      </c>
      <c r="C8" s="139"/>
      <c r="D8" s="140" t="e">
        <f>+'GRUPOS INFANTIL'!#REF!</f>
        <v>#REF!</v>
      </c>
      <c r="E8" s="35"/>
      <c r="F8" s="35"/>
      <c r="G8" s="403" t="e">
        <f>+'GRUPOS INFANTIL'!#REF!</f>
        <v>#REF!</v>
      </c>
      <c r="H8" s="403"/>
      <c r="I8" s="403"/>
      <c r="J8" s="403"/>
      <c r="K8" s="403"/>
      <c r="L8" s="35"/>
      <c r="M8" s="35"/>
      <c r="N8" s="142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0">
        <f>+'GRUPOS INFANTIL'!C3</f>
        <v>0</v>
      </c>
      <c r="C10" s="80"/>
      <c r="N10" s="407">
        <f>+'GRUPOS INFANTIL'!F8</f>
        <v>2024</v>
      </c>
      <c r="O10" s="407"/>
    </row>
    <row r="11" spans="1:15" s="3" customFormat="1" ht="21" x14ac:dyDescent="0.4">
      <c r="B11" s="99" t="str">
        <f>+'GRUPOS INFANTIL'!C4</f>
        <v>NACIDOS 2017 2018</v>
      </c>
      <c r="C11" s="99"/>
      <c r="N11" s="407"/>
      <c r="O11" s="407"/>
    </row>
    <row r="12" spans="1:15" s="3" customFormat="1" ht="11.25" customHeight="1" x14ac:dyDescent="0.3">
      <c r="A12" s="401" t="str">
        <f>+'GRUPO A'!B4</f>
        <v>GRUPO A</v>
      </c>
      <c r="B12" s="401"/>
      <c r="C12" s="401"/>
      <c r="D12" s="401"/>
      <c r="E12" s="401"/>
      <c r="F12" s="401"/>
      <c r="G12" s="401"/>
      <c r="H12" s="401"/>
      <c r="I12" s="401"/>
      <c r="J12" s="401"/>
      <c r="K12" s="401"/>
      <c r="L12" s="401"/>
      <c r="M12" s="401"/>
      <c r="N12" s="401"/>
      <c r="O12" s="401"/>
    </row>
    <row r="13" spans="1:15" s="3" customFormat="1" ht="21" customHeight="1" x14ac:dyDescent="0.3">
      <c r="A13" s="402"/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402"/>
      <c r="M13" s="402"/>
      <c r="N13" s="402"/>
      <c r="O13" s="402"/>
    </row>
    <row r="14" spans="1:15" ht="23.4" x14ac:dyDescent="0.3">
      <c r="A14" s="361" t="s">
        <v>42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9">
        <f>+'GRUPO A'!B26</f>
        <v>42812</v>
      </c>
      <c r="B16" s="90" t="str">
        <f>+'GRUPO A'!C26</f>
        <v>03:00. p.m.</v>
      </c>
      <c r="C16" s="90"/>
      <c r="D16" s="397" t="str">
        <f>+'GRUPO A'!E26</f>
        <v>ASTON HUILA</v>
      </c>
      <c r="E16" s="397"/>
      <c r="F16" s="108" t="str">
        <f>IF(AND(G16&lt;&gt;"",I16&lt;&gt;""),IF(G16=I16,"E",IF(G16&gt;I16,"G","P")),"")</f>
        <v/>
      </c>
      <c r="G16" s="109"/>
      <c r="H16" s="84" t="s">
        <v>15</v>
      </c>
      <c r="I16" s="109"/>
      <c r="J16" s="108" t="str">
        <f>IF(AND(I16&lt;&gt;"",G16&lt;&gt;""),IF(I16=G16,"E",IF(I16&gt;G16,"G","P")),"")</f>
        <v/>
      </c>
      <c r="K16" s="397" t="str">
        <f>+'GRUPO A'!K26</f>
        <v>ATHLETIC MELGAR</v>
      </c>
      <c r="L16" s="397"/>
      <c r="M16" s="397"/>
      <c r="N16" s="397"/>
      <c r="O16" s="91" t="str">
        <f>+'GRUPO A'!M26</f>
        <v>LAS VEGAS</v>
      </c>
    </row>
    <row r="17" spans="1:15" ht="7.5" customHeight="1" x14ac:dyDescent="0.35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ht="33.75" customHeight="1" x14ac:dyDescent="0.35">
      <c r="A18" s="92">
        <f>+'GRUPO A'!B29</f>
        <v>42812</v>
      </c>
      <c r="B18" s="93" t="str">
        <f>+'GRUPO A'!C29</f>
        <v>04:00. p.m.</v>
      </c>
      <c r="C18" s="93"/>
      <c r="D18" s="398" t="str">
        <f>+'GRUPO A'!E29</f>
        <v>INTER F. C.</v>
      </c>
      <c r="E18" s="398"/>
      <c r="F18" s="108" t="str">
        <f>IF(AND(G18&lt;&gt;"",I18&lt;&gt;""),IF(G18=I18,"E",IF(G18&gt;I18,"G","P")),"")</f>
        <v/>
      </c>
      <c r="G18" s="109"/>
      <c r="H18" s="84" t="s">
        <v>15</v>
      </c>
      <c r="I18" s="109"/>
      <c r="J18" s="108" t="str">
        <f>IF(AND(I18&lt;&gt;"",G18&lt;&gt;""),IF(I18=G18,"E",IF(I18&gt;G18,"G","P")),"")</f>
        <v/>
      </c>
      <c r="K18" s="398" t="str">
        <f>+'GRUPO A'!K29</f>
        <v>CLUB DEPORTIVO NUEVAS GENERACIONES</v>
      </c>
      <c r="L18" s="398"/>
      <c r="M18" s="398"/>
      <c r="N18" s="398"/>
      <c r="O18" s="95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408" t="str">
        <f>+'GRUPO B'!B4</f>
        <v>GRUPO B</v>
      </c>
      <c r="B20" s="408"/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08"/>
      <c r="O20" s="408"/>
    </row>
    <row r="21" spans="1:15" ht="21" customHeight="1" x14ac:dyDescent="0.3">
      <c r="A21" s="408"/>
      <c r="B21" s="408"/>
      <c r="C21" s="408"/>
      <c r="D21" s="408"/>
      <c r="E21" s="408"/>
      <c r="F21" s="408"/>
      <c r="G21" s="408"/>
      <c r="H21" s="408"/>
      <c r="I21" s="408"/>
      <c r="J21" s="408"/>
      <c r="K21" s="408"/>
      <c r="L21" s="408"/>
      <c r="M21" s="408"/>
      <c r="N21" s="408"/>
      <c r="O21" s="408"/>
    </row>
    <row r="22" spans="1:15" ht="36.75" customHeight="1" x14ac:dyDescent="0.3">
      <c r="A22" s="361" t="s">
        <v>42</v>
      </c>
      <c r="B22" s="362"/>
      <c r="C22" s="362"/>
      <c r="D22" s="362"/>
      <c r="E22" s="362"/>
      <c r="F22" s="362"/>
      <c r="G22" s="362"/>
      <c r="H22" s="362"/>
      <c r="I22" s="362"/>
      <c r="J22" s="362"/>
      <c r="K22" s="362"/>
      <c r="L22" s="362"/>
      <c r="M22" s="362"/>
      <c r="N22" s="362"/>
      <c r="O22" s="362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9">
        <f>+'GRUPO B'!B26</f>
        <v>42813</v>
      </c>
      <c r="B24" s="90" t="str">
        <f>+'GRUPO B'!C26</f>
        <v>09:50. a.m.</v>
      </c>
      <c r="C24" s="90"/>
      <c r="D24" s="397" t="str">
        <f>+'GRUPO B'!E26</f>
        <v>CANUTO F.C.</v>
      </c>
      <c r="E24" s="397"/>
      <c r="F24" s="58" t="str">
        <f>IF(AND(G24&lt;&gt;"",I24&lt;&gt;""),IF(G24=I24,"E",IF(G24&gt;I24,"G","P")),"")</f>
        <v/>
      </c>
      <c r="G24" s="101"/>
      <c r="H24" s="13" t="s">
        <v>15</v>
      </c>
      <c r="I24" s="101"/>
      <c r="J24" s="58" t="str">
        <f>IF(AND(I24&lt;&gt;"",G24&lt;&gt;""),IF(I24=G24,"E",IF(I24&gt;G24,"G","P")),"")</f>
        <v/>
      </c>
      <c r="K24" s="397" t="str">
        <f>+'GRUPO B'!K26</f>
        <v>CLUB PROMOTOR DEPORTIVO SCORPION</v>
      </c>
      <c r="L24" s="397"/>
      <c r="M24" s="397"/>
      <c r="N24" s="397"/>
      <c r="O24" s="91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2">
        <f>+'GRUPO B'!B29</f>
        <v>42813</v>
      </c>
      <c r="B26" s="93" t="str">
        <f>+'GRUPO B'!C29</f>
        <v>10:50. a.m.</v>
      </c>
      <c r="C26" s="93"/>
      <c r="D26" s="398" t="str">
        <f>+'GRUPO B'!E29</f>
        <v>HUITACA FUTBOL CLUB CHIA</v>
      </c>
      <c r="E26" s="398"/>
      <c r="F26" s="58" t="str">
        <f>IF(AND(G26&lt;&gt;"",I26&lt;&gt;""),IF(G26=I26,"E",IF(G26&gt;I26,"G","P")),"")</f>
        <v/>
      </c>
      <c r="G26" s="101"/>
      <c r="H26" s="13" t="s">
        <v>15</v>
      </c>
      <c r="I26" s="101"/>
      <c r="J26" s="58" t="str">
        <f>IF(AND(I26&lt;&gt;"",G26&lt;&gt;""),IF(I26=G26,"E",IF(I26&gt;G26,"G","P")),"")</f>
        <v/>
      </c>
      <c r="K26" s="398" t="e">
        <f>+'GRUPO B'!K29</f>
        <v>#REF!</v>
      </c>
      <c r="L26" s="398"/>
      <c r="M26" s="398"/>
      <c r="N26" s="398"/>
      <c r="O26" s="95" t="str">
        <f>+'GRUPO B'!M29</f>
        <v>CANCHA 1</v>
      </c>
    </row>
    <row r="27" spans="1:15" ht="11.25" customHeight="1" x14ac:dyDescent="0.3">
      <c r="A27" s="405" t="e">
        <f>+#REF!</f>
        <v>#REF!</v>
      </c>
      <c r="B27" s="405"/>
      <c r="C27" s="405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5"/>
      <c r="O27" s="405"/>
    </row>
    <row r="28" spans="1:15" ht="21" customHeight="1" x14ac:dyDescent="0.3">
      <c r="A28" s="406"/>
      <c r="B28" s="406"/>
      <c r="C28" s="406"/>
      <c r="D28" s="406"/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06"/>
    </row>
    <row r="29" spans="1:15" ht="30" customHeight="1" x14ac:dyDescent="0.3">
      <c r="A29" s="361" t="s">
        <v>42</v>
      </c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</row>
    <row r="30" spans="1:15" s="3" customFormat="1" ht="7.5" customHeight="1" x14ac:dyDescent="0.3"/>
    <row r="31" spans="1:15" s="3" customFormat="1" ht="33.75" customHeight="1" x14ac:dyDescent="0.35">
      <c r="A31" s="89" t="e">
        <f>+#REF!</f>
        <v>#REF!</v>
      </c>
      <c r="B31" s="90" t="e">
        <f>+#REF!</f>
        <v>#REF!</v>
      </c>
      <c r="C31" s="90"/>
      <c r="D31" s="397" t="e">
        <f>+#REF!</f>
        <v>#REF!</v>
      </c>
      <c r="E31" s="397"/>
      <c r="F31" s="108" t="str">
        <f>IF(AND(G31&lt;&gt;"",I31&lt;&gt;""),IF(G31=I31,"E",IF(G31&gt;I31,"G","P")),"")</f>
        <v/>
      </c>
      <c r="G31" s="109"/>
      <c r="H31" s="84" t="s">
        <v>15</v>
      </c>
      <c r="I31" s="109"/>
      <c r="J31" s="108" t="str">
        <f>IF(AND(I31&lt;&gt;"",G31&lt;&gt;""),IF(I31=G31,"E",IF(I31&gt;G31,"G","P")),"")</f>
        <v/>
      </c>
      <c r="K31" s="397" t="e">
        <f>+#REF!</f>
        <v>#REF!</v>
      </c>
      <c r="L31" s="397"/>
      <c r="M31" s="397"/>
      <c r="N31" s="397"/>
      <c r="O31" s="91" t="e">
        <f>+#REF!</f>
        <v>#REF!</v>
      </c>
    </row>
    <row r="32" spans="1:15" s="3" customFormat="1" ht="7.5" customHeight="1" x14ac:dyDescent="0.3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s="3" customFormat="1" ht="33.75" customHeight="1" x14ac:dyDescent="0.35">
      <c r="A33" s="92" t="e">
        <f>+#REF!</f>
        <v>#REF!</v>
      </c>
      <c r="B33" s="93" t="e">
        <f>+#REF!</f>
        <v>#REF!</v>
      </c>
      <c r="C33" s="93"/>
      <c r="D33" s="398" t="e">
        <f>+#REF!</f>
        <v>#REF!</v>
      </c>
      <c r="E33" s="398"/>
      <c r="F33" s="108" t="str">
        <f>IF(AND(G33&lt;&gt;"",I33&lt;&gt;""),IF(G33=I33,"E",IF(G33&gt;I33,"G","P")),"")</f>
        <v/>
      </c>
      <c r="G33" s="109"/>
      <c r="H33" s="84" t="s">
        <v>15</v>
      </c>
      <c r="I33" s="109"/>
      <c r="J33" s="108" t="str">
        <f>IF(AND(I33&lt;&gt;"",G33&lt;&gt;""),IF(I33=G33,"E",IF(I33&gt;G33,"G","P")),"")</f>
        <v/>
      </c>
      <c r="K33" s="398" t="e">
        <f>+#REF!</f>
        <v>#REF!</v>
      </c>
      <c r="L33" s="398"/>
      <c r="M33" s="398"/>
      <c r="N33" s="398"/>
      <c r="O33" s="95" t="e">
        <f>+#REF!</f>
        <v>#REF!</v>
      </c>
    </row>
    <row r="34" spans="1:15" s="3" customFormat="1" ht="11.25" customHeight="1" x14ac:dyDescent="0.3">
      <c r="A34" s="394" t="e">
        <f>+#REF!</f>
        <v>#REF!</v>
      </c>
      <c r="B34" s="395"/>
      <c r="C34" s="395"/>
      <c r="D34" s="395"/>
      <c r="E34" s="395"/>
      <c r="F34" s="395"/>
      <c r="G34" s="395"/>
      <c r="H34" s="395"/>
      <c r="I34" s="395"/>
      <c r="J34" s="395"/>
      <c r="K34" s="395"/>
      <c r="L34" s="395"/>
      <c r="M34" s="395"/>
      <c r="N34" s="395"/>
      <c r="O34" s="395"/>
    </row>
    <row r="35" spans="1:15" s="3" customFormat="1" ht="21" customHeight="1" x14ac:dyDescent="0.3">
      <c r="A35" s="396"/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6"/>
    </row>
    <row r="36" spans="1:15" s="3" customFormat="1" ht="23.4" x14ac:dyDescent="0.3">
      <c r="A36" s="361" t="s">
        <v>42</v>
      </c>
      <c r="B36" s="362"/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</row>
    <row r="37" spans="1:15" s="3" customFormat="1" ht="7.5" customHeight="1" x14ac:dyDescent="0.3"/>
    <row r="38" spans="1:15" s="3" customFormat="1" ht="33.75" customHeight="1" x14ac:dyDescent="0.35">
      <c r="A38" s="89" t="e">
        <f>+#REF!</f>
        <v>#REF!</v>
      </c>
      <c r="B38" s="90" t="e">
        <f>+#REF!</f>
        <v>#REF!</v>
      </c>
      <c r="C38" s="90"/>
      <c r="D38" s="397" t="e">
        <f>+#REF!</f>
        <v>#REF!</v>
      </c>
      <c r="E38" s="397"/>
      <c r="F38" s="108" t="str">
        <f>IF(AND(G38&lt;&gt;"",I38&lt;&gt;""),IF(G38=I38,"E",IF(G38&gt;I38,"G","P")),"")</f>
        <v/>
      </c>
      <c r="G38" s="109"/>
      <c r="H38" s="84" t="s">
        <v>15</v>
      </c>
      <c r="I38" s="109"/>
      <c r="J38" s="108" t="str">
        <f>IF(AND(I38&lt;&gt;"",G38&lt;&gt;""),IF(I38=G38,"E",IF(I38&gt;G38,"G","P")),"")</f>
        <v/>
      </c>
      <c r="K38" s="397" t="e">
        <f>+#REF!</f>
        <v>#REF!</v>
      </c>
      <c r="L38" s="397"/>
      <c r="M38" s="397"/>
      <c r="N38" s="397"/>
      <c r="O38" s="91" t="e">
        <f>+#REF!</f>
        <v>#REF!</v>
      </c>
    </row>
    <row r="39" spans="1:15" s="3" customFormat="1" ht="7.5" customHeight="1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spans="1:15" s="3" customFormat="1" ht="33.75" customHeight="1" x14ac:dyDescent="0.35">
      <c r="A40" s="92" t="e">
        <f>+#REF!</f>
        <v>#REF!</v>
      </c>
      <c r="B40" s="93" t="e">
        <f>+#REF!</f>
        <v>#REF!</v>
      </c>
      <c r="C40" s="93"/>
      <c r="D40" s="398" t="e">
        <f>+#REF!</f>
        <v>#REF!</v>
      </c>
      <c r="E40" s="398"/>
      <c r="F40" s="108" t="str">
        <f>IF(AND(G40&lt;&gt;"",I40&lt;&gt;""),IF(G40=I40,"E",IF(G40&gt;I40,"G","P")),"")</f>
        <v/>
      </c>
      <c r="G40" s="109"/>
      <c r="H40" s="84" t="s">
        <v>15</v>
      </c>
      <c r="I40" s="109"/>
      <c r="J40" s="108" t="str">
        <f>IF(AND(I40&lt;&gt;"",G40&lt;&gt;""),IF(I40=G40,"E",IF(I40&gt;G40,"G","P")),"")</f>
        <v/>
      </c>
      <c r="K40" s="398" t="e">
        <f>+#REF!</f>
        <v>#REF!</v>
      </c>
      <c r="L40" s="398"/>
      <c r="M40" s="398"/>
      <c r="N40" s="398"/>
      <c r="O40" s="95" t="e">
        <f>+#REF!</f>
        <v>#REF!</v>
      </c>
    </row>
    <row r="41" spans="1:15" s="3" customFormat="1" x14ac:dyDescent="0.3">
      <c r="A41" s="393" t="s">
        <v>41</v>
      </c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</row>
    <row r="42" spans="1:15" s="3" customFormat="1" x14ac:dyDescent="0.3">
      <c r="A42" s="393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</row>
    <row r="43" spans="1:15" s="3" customFormat="1" x14ac:dyDescent="0.3">
      <c r="A43" s="39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</row>
    <row r="44" spans="1:15" s="3" customFormat="1" x14ac:dyDescent="0.3">
      <c r="A44" s="39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</row>
    <row r="45" spans="1:15" s="3" customFormat="1" x14ac:dyDescent="0.3">
      <c r="A45" s="393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</row>
    <row r="46" spans="1:15" s="3" customFormat="1" x14ac:dyDescent="0.3">
      <c r="A46" s="391" t="s">
        <v>28</v>
      </c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  <c r="M46" s="391"/>
      <c r="N46" s="391"/>
      <c r="O46" s="391"/>
    </row>
    <row r="47" spans="1:15" s="3" customFormat="1" x14ac:dyDescent="0.3">
      <c r="A47" s="391" t="s">
        <v>29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M47" s="391"/>
      <c r="N47" s="391"/>
      <c r="O47" s="391"/>
    </row>
    <row r="48" spans="1:15" s="3" customFormat="1" x14ac:dyDescent="0.3">
      <c r="A48" s="392" t="s">
        <v>30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2"/>
    </row>
    <row r="49" spans="1:15" s="3" customFormat="1" x14ac:dyDescent="0.3">
      <c r="A49" s="391" t="s">
        <v>31</v>
      </c>
      <c r="B49" s="391"/>
      <c r="C49" s="391"/>
      <c r="D49" s="391"/>
      <c r="E49" s="391"/>
      <c r="F49" s="391"/>
      <c r="G49" s="391"/>
      <c r="H49" s="391"/>
      <c r="I49" s="391"/>
      <c r="J49" s="391"/>
      <c r="K49" s="391"/>
      <c r="L49" s="391"/>
      <c r="M49" s="391"/>
      <c r="N49" s="391"/>
      <c r="O49" s="391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700-000000000000}"/>
  </hyperlinks>
  <pageMargins left="0.7" right="0.7" top="0.75" bottom="0.75" header="0.3" footer="0.3"/>
  <pageSetup scale="68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79">
        <f>+'GRUPOS INFANTIL'!C3</f>
        <v>0</v>
      </c>
    </row>
    <row r="4" spans="2:12" ht="29.25" customHeight="1" x14ac:dyDescent="0.6">
      <c r="C4" s="61"/>
      <c r="D4" s="62"/>
      <c r="E4" s="62"/>
      <c r="F4" s="62"/>
      <c r="G4" s="97" t="str">
        <f>+'GRUPOS INFANTIL'!C4</f>
        <v>NACIDOS 2017 2018</v>
      </c>
      <c r="I4" s="62"/>
      <c r="J4" s="62"/>
      <c r="K4" s="62"/>
    </row>
    <row r="5" spans="2:12" ht="15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customHeight="1" x14ac:dyDescent="0.3">
      <c r="B6" s="420" t="str">
        <f>+'GRUPOS INFANTIL'!D6</f>
        <v>GRUPO A</v>
      </c>
      <c r="C6" s="421"/>
      <c r="D6" s="431" t="e">
        <f>+'GRUPO A'!Q20:Q21</f>
        <v>#VALUE!</v>
      </c>
      <c r="E6" s="430" t="e">
        <f>+'GRUPO A'!R20:R21</f>
        <v>#VALUE!</v>
      </c>
      <c r="F6" s="430" t="e">
        <f>+'GRUPO A'!S20:S21</f>
        <v>#VALUE!</v>
      </c>
      <c r="G6" s="430" t="e">
        <f>+'GRUPO A'!T20:T21</f>
        <v>#VALUE!</v>
      </c>
      <c r="H6" s="430" t="e">
        <f>+'GRUPO A'!U20:U21</f>
        <v>#VALUE!</v>
      </c>
      <c r="I6" s="430" t="e">
        <f>+'GRUPO A'!V20:V21</f>
        <v>#VALUE!</v>
      </c>
      <c r="J6" s="430" t="e">
        <f>+'GRUPO A'!W20:W21</f>
        <v>#VALUE!</v>
      </c>
      <c r="K6" s="430" t="e">
        <f>+'GRUPO A'!X20:X21</f>
        <v>#VALUE!</v>
      </c>
      <c r="L6" s="437" t="e">
        <f>+'GRUPO A'!Y20:Y21</f>
        <v>#VALUE!</v>
      </c>
    </row>
    <row r="7" spans="2:12" ht="15" customHeight="1" thickBot="1" x14ac:dyDescent="0.35">
      <c r="B7" s="422"/>
      <c r="C7" s="423"/>
      <c r="D7" s="429"/>
      <c r="E7" s="424"/>
      <c r="F7" s="424"/>
      <c r="G7" s="424"/>
      <c r="H7" s="424"/>
      <c r="I7" s="424"/>
      <c r="J7" s="424"/>
      <c r="K7" s="424"/>
      <c r="L7" s="438"/>
    </row>
    <row r="8" spans="2:12" ht="22.65" customHeight="1" x14ac:dyDescent="0.3">
      <c r="B8" s="425" t="e">
        <f>+'GRUPO A'!P22:P23</f>
        <v>#VALUE!</v>
      </c>
      <c r="C8" s="426"/>
      <c r="D8" s="431" t="e">
        <f>+'GRUPO A'!Q22:Q23</f>
        <v>#VALUE!</v>
      </c>
      <c r="E8" s="430" t="e">
        <f>+'GRUPO A'!R22:R23</f>
        <v>#VALUE!</v>
      </c>
      <c r="F8" s="430" t="e">
        <f>+'GRUPO A'!S22:S23</f>
        <v>#VALUE!</v>
      </c>
      <c r="G8" s="430" t="e">
        <f>+'GRUPO A'!T22:T23</f>
        <v>#VALUE!</v>
      </c>
      <c r="H8" s="430" t="e">
        <f>+'GRUPO A'!U22:U23</f>
        <v>#VALUE!</v>
      </c>
      <c r="I8" s="430" t="e">
        <f>+'GRUPO A'!V22:V23</f>
        <v>#VALUE!</v>
      </c>
      <c r="J8" s="430" t="e">
        <f>+'GRUPO A'!W22:W23</f>
        <v>#VALUE!</v>
      </c>
      <c r="K8" s="430" t="e">
        <f>+'GRUPO A'!X22:X23</f>
        <v>#VALUE!</v>
      </c>
      <c r="L8" s="439" t="e">
        <f>+'GRUPO A'!Y22:Y23</f>
        <v>#VALUE!</v>
      </c>
    </row>
    <row r="9" spans="2:12" ht="11.1" customHeight="1" x14ac:dyDescent="0.3">
      <c r="B9" s="418"/>
      <c r="C9" s="419"/>
      <c r="D9" s="410"/>
      <c r="E9" s="409"/>
      <c r="F9" s="409"/>
      <c r="G9" s="409"/>
      <c r="H9" s="409"/>
      <c r="I9" s="409"/>
      <c r="J9" s="409"/>
      <c r="K9" s="409"/>
      <c r="L9" s="440"/>
    </row>
    <row r="10" spans="2:12" ht="22.65" customHeight="1" x14ac:dyDescent="0.3">
      <c r="B10" s="418" t="e">
        <f>+'GRUPO A'!P24:P25</f>
        <v>#VALUE!</v>
      </c>
      <c r="C10" s="419"/>
      <c r="D10" s="410" t="e">
        <f>+'GRUPO A'!Q24:Q25</f>
        <v>#VALUE!</v>
      </c>
      <c r="E10" s="409" t="e">
        <f>+'GRUPO A'!R24:R25</f>
        <v>#VALUE!</v>
      </c>
      <c r="F10" s="409" t="e">
        <f>+'GRUPO A'!S24:S25</f>
        <v>#VALUE!</v>
      </c>
      <c r="G10" s="409" t="e">
        <f>+'GRUPO A'!T24:T25</f>
        <v>#VALUE!</v>
      </c>
      <c r="H10" s="409" t="e">
        <f>+'GRUPO A'!U24:U25</f>
        <v>#VALUE!</v>
      </c>
      <c r="I10" s="409" t="e">
        <f>+'GRUPO A'!V24:V25</f>
        <v>#VALUE!</v>
      </c>
      <c r="J10" s="409" t="e">
        <f>+'GRUPO A'!W24:W25</f>
        <v>#VALUE!</v>
      </c>
      <c r="K10" s="409" t="e">
        <f>+'GRUPO A'!X24:X25</f>
        <v>#VALUE!</v>
      </c>
      <c r="L10" s="440" t="e">
        <f>+'GRUPO A'!Y24:Y25</f>
        <v>#VALUE!</v>
      </c>
    </row>
    <row r="11" spans="2:12" ht="11.1" customHeight="1" x14ac:dyDescent="0.3">
      <c r="B11" s="418"/>
      <c r="C11" s="419"/>
      <c r="D11" s="410"/>
      <c r="E11" s="409"/>
      <c r="F11" s="409"/>
      <c r="G11" s="409"/>
      <c r="H11" s="409"/>
      <c r="I11" s="409"/>
      <c r="J11" s="409"/>
      <c r="K11" s="409"/>
      <c r="L11" s="440"/>
    </row>
    <row r="12" spans="2:12" ht="22.65" customHeight="1" x14ac:dyDescent="0.3">
      <c r="B12" s="418" t="e">
        <f>+'GRUPO A'!P26:P27</f>
        <v>#VALUE!</v>
      </c>
      <c r="C12" s="419"/>
      <c r="D12" s="410" t="e">
        <f>+'GRUPO A'!Q26:Q27</f>
        <v>#VALUE!</v>
      </c>
      <c r="E12" s="409" t="e">
        <f>+'GRUPO A'!R26:R27</f>
        <v>#VALUE!</v>
      </c>
      <c r="F12" s="409" t="e">
        <f>+'GRUPO A'!S26:S27</f>
        <v>#VALUE!</v>
      </c>
      <c r="G12" s="409" t="e">
        <f>+'GRUPO A'!T26:T27</f>
        <v>#VALUE!</v>
      </c>
      <c r="H12" s="409" t="e">
        <f>+'GRUPO A'!U26:U27</f>
        <v>#VALUE!</v>
      </c>
      <c r="I12" s="409" t="e">
        <f>+'GRUPO A'!V26:V27</f>
        <v>#VALUE!</v>
      </c>
      <c r="J12" s="409" t="e">
        <f>+'GRUPO A'!W26:W27</f>
        <v>#VALUE!</v>
      </c>
      <c r="K12" s="409" t="e">
        <f>+'GRUPO A'!X26:X27</f>
        <v>#VALUE!</v>
      </c>
      <c r="L12" s="440" t="e">
        <f>+'GRUPO A'!Y26:Y27</f>
        <v>#VALUE!</v>
      </c>
    </row>
    <row r="13" spans="2:12" ht="11.1" customHeight="1" x14ac:dyDescent="0.3">
      <c r="B13" s="418"/>
      <c r="C13" s="419"/>
      <c r="D13" s="410"/>
      <c r="E13" s="409"/>
      <c r="F13" s="409"/>
      <c r="G13" s="409"/>
      <c r="H13" s="409"/>
      <c r="I13" s="409"/>
      <c r="J13" s="409"/>
      <c r="K13" s="409"/>
      <c r="L13" s="440"/>
    </row>
    <row r="14" spans="2:12" ht="22.65" customHeight="1" x14ac:dyDescent="0.3">
      <c r="B14" s="418" t="e">
        <f>+'GRUPO A'!P28:P29</f>
        <v>#VALUE!</v>
      </c>
      <c r="C14" s="419"/>
      <c r="D14" s="410" t="e">
        <f>+'GRUPO A'!Q28:Q29</f>
        <v>#VALUE!</v>
      </c>
      <c r="E14" s="409" t="e">
        <f>+'GRUPO A'!R28:R29</f>
        <v>#VALUE!</v>
      </c>
      <c r="F14" s="409" t="e">
        <f>+'GRUPO A'!S28:S29</f>
        <v>#VALUE!</v>
      </c>
      <c r="G14" s="409" t="e">
        <f>+'GRUPO A'!T28:T29</f>
        <v>#VALUE!</v>
      </c>
      <c r="H14" s="409" t="e">
        <f>+'GRUPO A'!U28:U29</f>
        <v>#VALUE!</v>
      </c>
      <c r="I14" s="409" t="e">
        <f>+'GRUPO A'!V28:V29</f>
        <v>#VALUE!</v>
      </c>
      <c r="J14" s="409" t="e">
        <f>+'GRUPO A'!W28:W29</f>
        <v>#VALUE!</v>
      </c>
      <c r="K14" s="409" t="e">
        <f>+'GRUPO A'!X28:X29</f>
        <v>#VALUE!</v>
      </c>
      <c r="L14" s="440" t="e">
        <f>+'GRUPO A'!Y28:Y29</f>
        <v>#VALUE!</v>
      </c>
    </row>
    <row r="15" spans="2:12" ht="11.1" customHeight="1" thickBot="1" x14ac:dyDescent="0.35">
      <c r="B15" s="427"/>
      <c r="C15" s="428"/>
      <c r="D15" s="429"/>
      <c r="E15" s="424"/>
      <c r="F15" s="424"/>
      <c r="G15" s="424"/>
      <c r="H15" s="424"/>
      <c r="I15" s="424"/>
      <c r="J15" s="424"/>
      <c r="K15" s="424"/>
      <c r="L15" s="441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414" t="s">
        <v>34</v>
      </c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330"/>
    </row>
    <row r="18" spans="1:13" ht="7.5" customHeight="1" x14ac:dyDescent="0.3"/>
    <row r="19" spans="1:13" ht="33.75" customHeight="1" x14ac:dyDescent="0.3">
      <c r="A19" s="89">
        <f>+'GRUPO A'!B32</f>
        <v>42813</v>
      </c>
      <c r="B19" s="90" t="str">
        <f>+'GRUPO A'!C32</f>
        <v>01:15. p.m.</v>
      </c>
      <c r="C19" s="118" t="str">
        <f>+'GRUPO A'!E32</f>
        <v>INTER F. C.</v>
      </c>
      <c r="D19" s="94"/>
      <c r="E19" s="84" t="s">
        <v>15</v>
      </c>
      <c r="F19" s="94"/>
      <c r="G19" s="412" t="str">
        <f>+'GRUPO A'!K32</f>
        <v>ATHLETIC MELGAR</v>
      </c>
      <c r="H19" s="397"/>
      <c r="I19" s="397"/>
      <c r="J19" s="397"/>
      <c r="K19" s="104" t="str">
        <f>+'GRUPO A'!M32</f>
        <v>CANCHA 2</v>
      </c>
      <c r="L19" s="91"/>
    </row>
    <row r="20" spans="1:13" ht="7.5" customHeight="1" x14ac:dyDescent="0.3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102"/>
      <c r="L20" s="83"/>
    </row>
    <row r="21" spans="1:13" ht="33.75" customHeight="1" x14ac:dyDescent="0.3">
      <c r="A21" s="92">
        <f>+'GRUPO A'!B35</f>
        <v>42813</v>
      </c>
      <c r="B21" s="93" t="str">
        <f>+'GRUPO A'!C35</f>
        <v>02:30. p.m.</v>
      </c>
      <c r="C21" s="119" t="str">
        <f>+'GRUPO A'!E35</f>
        <v>ASTON HUILA</v>
      </c>
      <c r="D21" s="94"/>
      <c r="E21" s="84" t="s">
        <v>15</v>
      </c>
      <c r="F21" s="94"/>
      <c r="G21" s="413" t="str">
        <f>+'GRUPO A'!K35</f>
        <v>CLUB DEPORTIVO NUEVAS GENERACIONES</v>
      </c>
      <c r="H21" s="398"/>
      <c r="I21" s="398"/>
      <c r="J21" s="398"/>
      <c r="K21" s="103" t="str">
        <f>+'GRUPO A'!M35</f>
        <v>CANCHA 1</v>
      </c>
      <c r="L21" s="95"/>
    </row>
    <row r="22" spans="1:13" ht="7.5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customHeight="1" x14ac:dyDescent="0.3">
      <c r="B23" s="443" t="str">
        <f>+'GRUPOS INFANTIL'!H6</f>
        <v>GRUPO B</v>
      </c>
      <c r="C23" s="444"/>
      <c r="D23" s="447" t="str">
        <f>+'GRUPO B'!Q8</f>
        <v>Pts.</v>
      </c>
      <c r="E23" s="449" t="str">
        <f>+'GRUPO B'!R8</f>
        <v>PJ</v>
      </c>
      <c r="F23" s="449" t="str">
        <f>+'GRUPO B'!S8</f>
        <v>Gan.</v>
      </c>
      <c r="G23" s="449" t="str">
        <f>+'GRUPO B'!T8</f>
        <v>Emp.</v>
      </c>
      <c r="H23" s="449" t="str">
        <f>+'GRUPO B'!U8</f>
        <v>Per.</v>
      </c>
      <c r="I23" s="449" t="str">
        <f>+'GRUPO B'!V8</f>
        <v>GF</v>
      </c>
      <c r="J23" s="449" t="str">
        <f>+'GRUPO B'!W8</f>
        <v>GC</v>
      </c>
      <c r="K23" s="449" t="str">
        <f>+'GRUPO B'!X8</f>
        <v>Dif.</v>
      </c>
      <c r="L23" s="437" t="str">
        <f>+'GRUPO B'!Y8</f>
        <v>Tj</v>
      </c>
    </row>
    <row r="24" spans="1:13" ht="15" customHeight="1" thickBot="1" x14ac:dyDescent="0.35">
      <c r="B24" s="445"/>
      <c r="C24" s="446"/>
      <c r="D24" s="448"/>
      <c r="E24" s="450"/>
      <c r="F24" s="450"/>
      <c r="G24" s="450"/>
      <c r="H24" s="450"/>
      <c r="I24" s="450"/>
      <c r="J24" s="450"/>
      <c r="K24" s="450"/>
      <c r="L24" s="438"/>
    </row>
    <row r="25" spans="1:13" ht="10.5" customHeight="1" x14ac:dyDescent="0.3">
      <c r="B25" s="425" t="e">
        <f>+'GRUPO B'!P10</f>
        <v>#REF!</v>
      </c>
      <c r="C25" s="442"/>
      <c r="D25" s="431">
        <f>+'GRUPO B'!Q10</f>
        <v>0</v>
      </c>
      <c r="E25" s="430">
        <f>+'GRUPO B'!R10</f>
        <v>0</v>
      </c>
      <c r="F25" s="430">
        <f>+'GRUPO B'!S10</f>
        <v>0</v>
      </c>
      <c r="G25" s="430">
        <f>+'GRUPO B'!T10</f>
        <v>0</v>
      </c>
      <c r="H25" s="430">
        <f>+'GRUPO B'!U10</f>
        <v>0</v>
      </c>
      <c r="I25" s="430">
        <f>+'GRUPO B'!V10</f>
        <v>0</v>
      </c>
      <c r="J25" s="430">
        <f>+'GRUPO B'!W10</f>
        <v>0</v>
      </c>
      <c r="K25" s="430">
        <f>+'GRUPO B'!X10</f>
        <v>0</v>
      </c>
      <c r="L25" s="437">
        <f>+'GRUPO B'!Y10</f>
        <v>0</v>
      </c>
    </row>
    <row r="26" spans="1:13" ht="22.5" customHeight="1" x14ac:dyDescent="0.3">
      <c r="B26" s="418"/>
      <c r="C26" s="436"/>
      <c r="D26" s="410"/>
      <c r="E26" s="409"/>
      <c r="F26" s="409"/>
      <c r="G26" s="409"/>
      <c r="H26" s="409"/>
      <c r="I26" s="409"/>
      <c r="J26" s="409"/>
      <c r="K26" s="409"/>
      <c r="L26" s="415"/>
    </row>
    <row r="27" spans="1:13" ht="10.5" customHeight="1" x14ac:dyDescent="0.3">
      <c r="B27" s="418" t="str">
        <f>+'GRUPO B'!P12</f>
        <v xml:space="preserve">  2)  CLUB PROMOTOR DEPORTIVO SCORPION</v>
      </c>
      <c r="C27" s="436"/>
      <c r="D27" s="410">
        <f>+'GRUPO B'!Q12</f>
        <v>0</v>
      </c>
      <c r="E27" s="409">
        <f>+'GRUPO B'!R12</f>
        <v>0</v>
      </c>
      <c r="F27" s="409">
        <f>+'GRUPO B'!S12</f>
        <v>0</v>
      </c>
      <c r="G27" s="409">
        <f>+'GRUPO B'!T12</f>
        <v>0</v>
      </c>
      <c r="H27" s="409">
        <f>+'GRUPO B'!U12</f>
        <v>0</v>
      </c>
      <c r="I27" s="409">
        <f>+'GRUPO B'!V12</f>
        <v>0</v>
      </c>
      <c r="J27" s="409">
        <f>+'GRUPO B'!W12</f>
        <v>0</v>
      </c>
      <c r="K27" s="409">
        <f>+'GRUPO B'!X12</f>
        <v>0</v>
      </c>
      <c r="L27" s="415">
        <f>+'GRUPO B'!Y12</f>
        <v>0</v>
      </c>
    </row>
    <row r="28" spans="1:13" ht="22.5" customHeight="1" x14ac:dyDescent="0.3">
      <c r="B28" s="418"/>
      <c r="C28" s="436"/>
      <c r="D28" s="410"/>
      <c r="E28" s="409"/>
      <c r="F28" s="409"/>
      <c r="G28" s="409"/>
      <c r="H28" s="409"/>
      <c r="I28" s="409"/>
      <c r="J28" s="409"/>
      <c r="K28" s="409"/>
      <c r="L28" s="415"/>
    </row>
    <row r="29" spans="1:13" ht="22.5" customHeight="1" x14ac:dyDescent="0.3">
      <c r="B29" s="418" t="str">
        <f>+'GRUPO B'!P14</f>
        <v xml:space="preserve">  3)  HUITACA FUTBOL CLUB CHIA</v>
      </c>
      <c r="C29" s="436"/>
      <c r="D29" s="410">
        <f>+'GRUPO B'!Q14</f>
        <v>0</v>
      </c>
      <c r="E29" s="409">
        <f>+'GRUPO B'!R14</f>
        <v>0</v>
      </c>
      <c r="F29" s="409">
        <f>+'GRUPO B'!S14</f>
        <v>0</v>
      </c>
      <c r="G29" s="409">
        <f>+'GRUPO B'!T14</f>
        <v>0</v>
      </c>
      <c r="H29" s="409">
        <f>+'GRUPO B'!U14</f>
        <v>0</v>
      </c>
      <c r="I29" s="409">
        <f>+'GRUPO B'!V14</f>
        <v>0</v>
      </c>
      <c r="J29" s="409">
        <f>+'GRUPO B'!W14</f>
        <v>0</v>
      </c>
      <c r="K29" s="409">
        <f>+'GRUPO B'!X14</f>
        <v>0</v>
      </c>
      <c r="L29" s="415">
        <f>+'GRUPO B'!Y14</f>
        <v>0</v>
      </c>
    </row>
    <row r="30" spans="1:13" ht="11.1" customHeight="1" x14ac:dyDescent="0.3">
      <c r="B30" s="418"/>
      <c r="C30" s="436"/>
      <c r="D30" s="410"/>
      <c r="E30" s="409"/>
      <c r="F30" s="409"/>
      <c r="G30" s="409"/>
      <c r="H30" s="409"/>
      <c r="I30" s="409"/>
      <c r="J30" s="409"/>
      <c r="K30" s="409"/>
      <c r="L30" s="415"/>
    </row>
    <row r="31" spans="1:13" ht="22.5" customHeight="1" x14ac:dyDescent="0.3">
      <c r="B31" s="418" t="str">
        <f>+'GRUPO B'!P16</f>
        <v xml:space="preserve">  4)  CANUTO F.C.</v>
      </c>
      <c r="C31" s="436"/>
      <c r="D31" s="410">
        <f>+'GRUPO B'!Q16</f>
        <v>0</v>
      </c>
      <c r="E31" s="409">
        <f>+'GRUPO B'!R16</f>
        <v>0</v>
      </c>
      <c r="F31" s="409">
        <f>+'GRUPO B'!S16</f>
        <v>0</v>
      </c>
      <c r="G31" s="409">
        <f>+'GRUPO B'!T16</f>
        <v>0</v>
      </c>
      <c r="H31" s="409">
        <f>+'GRUPO B'!U16</f>
        <v>0</v>
      </c>
      <c r="I31" s="409">
        <f>+'GRUPO B'!V16</f>
        <v>0</v>
      </c>
      <c r="J31" s="409">
        <f>+'GRUPO B'!W16</f>
        <v>0</v>
      </c>
      <c r="K31" s="409">
        <f>+'GRUPO B'!X16</f>
        <v>0</v>
      </c>
      <c r="L31" s="415">
        <f>+'GRUPO B'!Y16</f>
        <v>0</v>
      </c>
    </row>
    <row r="32" spans="1:13" ht="11.1" customHeight="1" thickBot="1" x14ac:dyDescent="0.35">
      <c r="B32" s="427"/>
      <c r="C32" s="453"/>
      <c r="D32" s="429"/>
      <c r="E32" s="424"/>
      <c r="F32" s="424"/>
      <c r="G32" s="424"/>
      <c r="H32" s="424"/>
      <c r="I32" s="424"/>
      <c r="J32" s="424"/>
      <c r="K32" s="424"/>
      <c r="L32" s="438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414" t="s">
        <v>34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</row>
    <row r="35" spans="1:13" ht="7.5" customHeight="1" x14ac:dyDescent="0.3"/>
    <row r="36" spans="1:13" ht="33.75" customHeight="1" x14ac:dyDescent="0.3">
      <c r="A36" s="89">
        <f>+'GRUPO B'!B32</f>
        <v>42813</v>
      </c>
      <c r="B36" s="90" t="str">
        <f>+'GRUPO B'!C32</f>
        <v>04:30. p.m.</v>
      </c>
      <c r="C36" s="118" t="str">
        <f>+'GRUPO B'!E32</f>
        <v>CANUTO F.C.</v>
      </c>
      <c r="D36" s="94"/>
      <c r="E36" s="84" t="s">
        <v>15</v>
      </c>
      <c r="F36" s="94"/>
      <c r="G36" s="412" t="e">
        <f>+'GRUPO B'!K32</f>
        <v>#REF!</v>
      </c>
      <c r="H36" s="397"/>
      <c r="I36" s="397"/>
      <c r="J36" s="397"/>
      <c r="K36" s="104" t="str">
        <f>+'GRUPO B'!M32</f>
        <v>CANCHA 1</v>
      </c>
      <c r="L36" s="91"/>
    </row>
    <row r="37" spans="1:13" ht="7.5" customHeight="1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102"/>
      <c r="L37" s="83"/>
    </row>
    <row r="38" spans="1:13" ht="33.75" customHeight="1" x14ac:dyDescent="0.3">
      <c r="A38" s="92">
        <f>+'GRUPO B'!B35</f>
        <v>42813</v>
      </c>
      <c r="B38" s="93" t="str">
        <f>+'GRUPO B'!C32</f>
        <v>04:30. p.m.</v>
      </c>
      <c r="C38" s="119" t="str">
        <f>+'GRUPO B'!E35</f>
        <v>HUITACA FUTBOL CLUB CHIA</v>
      </c>
      <c r="D38" s="94"/>
      <c r="E38" s="84" t="s">
        <v>15</v>
      </c>
      <c r="F38" s="94"/>
      <c r="G38" s="413" t="str">
        <f>+'GRUPO B'!K35</f>
        <v>CLUB PROMOTOR DEPORTIVO SCORPION</v>
      </c>
      <c r="H38" s="398"/>
      <c r="I38" s="398"/>
      <c r="J38" s="398"/>
      <c r="K38" s="103" t="str">
        <f>+'GRUPO B'!M35</f>
        <v>CANCHA 2</v>
      </c>
      <c r="L38" s="95"/>
    </row>
    <row r="39" spans="1:13" ht="7.5" customHeight="1" thickBot="1" x14ac:dyDescent="0.35">
      <c r="A39" s="63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432">
        <f>+'GRUPOS INFANTIL'!F6</f>
        <v>0</v>
      </c>
      <c r="C41" s="433"/>
      <c r="D41" s="431" t="str">
        <f>+'GRUPO B'!Q8</f>
        <v>Pts.</v>
      </c>
      <c r="E41" s="430" t="str">
        <f>+'GRUPO B'!R8</f>
        <v>PJ</v>
      </c>
      <c r="F41" s="430" t="str">
        <f>+'GRUPO B'!S8</f>
        <v>Gan.</v>
      </c>
      <c r="G41" s="430" t="str">
        <f>+'GRUPO B'!T8</f>
        <v>Emp.</v>
      </c>
      <c r="H41" s="430" t="str">
        <f>+'GRUPO B'!U8</f>
        <v>Per.</v>
      </c>
      <c r="I41" s="430" t="str">
        <f>+'GRUPO B'!V8</f>
        <v>GF</v>
      </c>
      <c r="J41" s="430" t="str">
        <f>+'GRUPO B'!W8</f>
        <v>GC</v>
      </c>
      <c r="K41" s="430" t="str">
        <f>+'GRUPO B'!X8</f>
        <v>Dif.</v>
      </c>
      <c r="L41" s="437" t="str">
        <f>+'GRUPO B'!Y8</f>
        <v>Tj</v>
      </c>
    </row>
    <row r="42" spans="1:13" ht="7.5" hidden="1" customHeight="1" thickBot="1" x14ac:dyDescent="0.35">
      <c r="B42" s="434"/>
      <c r="C42" s="435"/>
      <c r="D42" s="429"/>
      <c r="E42" s="424"/>
      <c r="F42" s="424"/>
      <c r="G42" s="424"/>
      <c r="H42" s="424"/>
      <c r="I42" s="424"/>
      <c r="J42" s="424"/>
      <c r="K42" s="424"/>
      <c r="L42" s="438"/>
    </row>
    <row r="43" spans="1:13" ht="15" hidden="1" customHeight="1" x14ac:dyDescent="0.3">
      <c r="B43" s="416" t="e">
        <f>+'GRUPO B'!P10</f>
        <v>#REF!</v>
      </c>
      <c r="C43" s="417"/>
      <c r="D43" s="431">
        <f>+'GRUPO B'!Q10</f>
        <v>0</v>
      </c>
      <c r="E43" s="430">
        <f>+'GRUPO B'!R10</f>
        <v>0</v>
      </c>
      <c r="F43" s="430">
        <f>+'GRUPO B'!S10</f>
        <v>0</v>
      </c>
      <c r="G43" s="430">
        <f>+'GRUPO B'!T10</f>
        <v>0</v>
      </c>
      <c r="H43" s="430">
        <f>+'GRUPO B'!U10</f>
        <v>0</v>
      </c>
      <c r="I43" s="430">
        <f>+'GRUPO B'!V10</f>
        <v>0</v>
      </c>
      <c r="J43" s="430">
        <f>+'GRUPO B'!W10</f>
        <v>0</v>
      </c>
      <c r="K43" s="430">
        <f>+'GRUPO B'!X10</f>
        <v>0</v>
      </c>
      <c r="L43" s="437">
        <f>+'GRUPO B'!Y10</f>
        <v>0</v>
      </c>
    </row>
    <row r="44" spans="1:13" ht="15" hidden="1" customHeight="1" x14ac:dyDescent="0.3">
      <c r="B44" s="418"/>
      <c r="C44" s="419"/>
      <c r="D44" s="410"/>
      <c r="E44" s="409"/>
      <c r="F44" s="409"/>
      <c r="G44" s="409"/>
      <c r="H44" s="409"/>
      <c r="I44" s="409"/>
      <c r="J44" s="409"/>
      <c r="K44" s="409"/>
      <c r="L44" s="415"/>
    </row>
    <row r="45" spans="1:13" ht="15" hidden="1" customHeight="1" x14ac:dyDescent="0.3">
      <c r="B45" s="418" t="str">
        <f>+'GRUPO B'!P12</f>
        <v xml:space="preserve">  2)  CLUB PROMOTOR DEPORTIVO SCORPION</v>
      </c>
      <c r="C45" s="419"/>
      <c r="D45" s="410">
        <f>+'GRUPO B'!Q12</f>
        <v>0</v>
      </c>
      <c r="E45" s="409">
        <f>+'GRUPO B'!R12</f>
        <v>0</v>
      </c>
      <c r="F45" s="409">
        <f>+'GRUPO B'!S12</f>
        <v>0</v>
      </c>
      <c r="G45" s="409">
        <f>+'GRUPO B'!T12</f>
        <v>0</v>
      </c>
      <c r="H45" s="409">
        <f>+'GRUPO B'!U12</f>
        <v>0</v>
      </c>
      <c r="I45" s="409">
        <f>+'GRUPO B'!V12</f>
        <v>0</v>
      </c>
      <c r="J45" s="409">
        <f>+'GRUPO B'!W12</f>
        <v>0</v>
      </c>
      <c r="K45" s="409">
        <f>+'GRUPO B'!X12</f>
        <v>0</v>
      </c>
      <c r="L45" s="415">
        <f>+'GRUPO B'!Y12</f>
        <v>0</v>
      </c>
    </row>
    <row r="46" spans="1:13" ht="15" hidden="1" customHeight="1" x14ac:dyDescent="0.3">
      <c r="B46" s="418"/>
      <c r="C46" s="419"/>
      <c r="D46" s="410"/>
      <c r="E46" s="409"/>
      <c r="F46" s="409"/>
      <c r="G46" s="409"/>
      <c r="H46" s="409"/>
      <c r="I46" s="409"/>
      <c r="J46" s="409"/>
      <c r="K46" s="409"/>
      <c r="L46" s="415"/>
    </row>
    <row r="47" spans="1:13" ht="15" hidden="1" customHeight="1" x14ac:dyDescent="0.3">
      <c r="B47" s="418" t="str">
        <f>+'GRUPO B'!P14</f>
        <v xml:space="preserve">  3)  HUITACA FUTBOL CLUB CHIA</v>
      </c>
      <c r="C47" s="419"/>
      <c r="D47" s="410">
        <f>+'GRUPO B'!Q14</f>
        <v>0</v>
      </c>
      <c r="E47" s="409">
        <f>+'GRUPO B'!R14</f>
        <v>0</v>
      </c>
      <c r="F47" s="409">
        <f>+'GRUPO B'!S14</f>
        <v>0</v>
      </c>
      <c r="G47" s="409">
        <f>+'GRUPO B'!T14</f>
        <v>0</v>
      </c>
      <c r="H47" s="409">
        <f>+'GRUPO B'!U14</f>
        <v>0</v>
      </c>
      <c r="I47" s="409">
        <f>+'GRUPO B'!V14</f>
        <v>0</v>
      </c>
      <c r="J47" s="409">
        <f>+'GRUPO B'!W14</f>
        <v>0</v>
      </c>
      <c r="K47" s="409">
        <f>+'GRUPO B'!X14</f>
        <v>0</v>
      </c>
      <c r="L47" s="415">
        <f>+'GRUPO B'!Y14</f>
        <v>0</v>
      </c>
    </row>
    <row r="48" spans="1:13" ht="15" hidden="1" customHeight="1" x14ac:dyDescent="0.3">
      <c r="B48" s="418"/>
      <c r="C48" s="419"/>
      <c r="D48" s="410"/>
      <c r="E48" s="409"/>
      <c r="F48" s="409"/>
      <c r="G48" s="409"/>
      <c r="H48" s="409"/>
      <c r="I48" s="409"/>
      <c r="J48" s="409"/>
      <c r="K48" s="409"/>
      <c r="L48" s="415"/>
    </row>
    <row r="49" spans="1:13" hidden="1" x14ac:dyDescent="0.3">
      <c r="B49" s="418" t="str">
        <f>+'GRUPO B'!P16</f>
        <v xml:space="preserve">  4)  CANUTO F.C.</v>
      </c>
      <c r="C49" s="419"/>
      <c r="D49" s="410">
        <f>+'GRUPO B'!Q16</f>
        <v>0</v>
      </c>
      <c r="E49" s="409">
        <f>+'GRUPO B'!R16</f>
        <v>0</v>
      </c>
      <c r="F49" s="409">
        <f>+'GRUPO B'!S16</f>
        <v>0</v>
      </c>
      <c r="G49" s="409">
        <f>+'GRUPO B'!T16</f>
        <v>0</v>
      </c>
      <c r="H49" s="409">
        <f>+'GRUPO B'!U16</f>
        <v>0</v>
      </c>
      <c r="I49" s="409">
        <f>+'GRUPO B'!V16</f>
        <v>0</v>
      </c>
      <c r="J49" s="409">
        <f>+'GRUPO B'!W16</f>
        <v>0</v>
      </c>
      <c r="K49" s="409">
        <f>+'GRUPO B'!X16</f>
        <v>0</v>
      </c>
      <c r="L49" s="415">
        <f>+'GRUPO B'!Y16</f>
        <v>0</v>
      </c>
    </row>
    <row r="50" spans="1:13" ht="15" hidden="1" thickBot="1" x14ac:dyDescent="0.35">
      <c r="B50" s="427"/>
      <c r="C50" s="428"/>
      <c r="D50" s="429"/>
      <c r="E50" s="424"/>
      <c r="F50" s="424"/>
      <c r="G50" s="424"/>
      <c r="H50" s="424"/>
      <c r="I50" s="424"/>
      <c r="J50" s="424"/>
      <c r="K50" s="424"/>
      <c r="L50" s="438"/>
    </row>
    <row r="51" spans="1:13" ht="7.5" hidden="1" customHeight="1" x14ac:dyDescent="0.3"/>
    <row r="52" spans="1:13" ht="23.4" hidden="1" x14ac:dyDescent="0.3">
      <c r="A52" s="414" t="s">
        <v>34</v>
      </c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0"/>
    </row>
    <row r="53" spans="1:13" hidden="1" x14ac:dyDescent="0.3"/>
    <row r="54" spans="1:13" ht="33.75" hidden="1" customHeight="1" x14ac:dyDescent="0.3">
      <c r="A54" s="89" t="e">
        <f>+#REF!</f>
        <v>#REF!</v>
      </c>
      <c r="B54" s="90" t="e">
        <f>+#REF!</f>
        <v>#REF!</v>
      </c>
      <c r="C54" s="118" t="e">
        <f>+#REF!</f>
        <v>#REF!</v>
      </c>
      <c r="D54" s="94"/>
      <c r="E54" s="84" t="s">
        <v>15</v>
      </c>
      <c r="F54" s="94"/>
      <c r="G54" s="412" t="e">
        <f>+#REF!</f>
        <v>#REF!</v>
      </c>
      <c r="H54" s="397"/>
      <c r="I54" s="397"/>
      <c r="J54" s="397"/>
      <c r="K54" s="104" t="e">
        <f>+#REF!</f>
        <v>#REF!</v>
      </c>
      <c r="L54" s="104"/>
    </row>
    <row r="55" spans="1:13" ht="17.399999999999999" hidden="1" x14ac:dyDescent="0.3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102"/>
      <c r="L55" s="102"/>
    </row>
    <row r="56" spans="1:13" ht="33.75" hidden="1" customHeight="1" x14ac:dyDescent="0.3">
      <c r="A56" s="92" t="e">
        <f>+#REF!</f>
        <v>#REF!</v>
      </c>
      <c r="B56" s="93" t="e">
        <f>+#REF!</f>
        <v>#REF!</v>
      </c>
      <c r="C56" s="119" t="e">
        <f>+#REF!</f>
        <v>#REF!</v>
      </c>
      <c r="D56" s="94"/>
      <c r="E56" s="84" t="s">
        <v>15</v>
      </c>
      <c r="F56" s="94"/>
      <c r="G56" s="413" t="e">
        <f>+#REF!</f>
        <v>#REF!</v>
      </c>
      <c r="H56" s="398"/>
      <c r="I56" s="398"/>
      <c r="J56" s="398"/>
      <c r="K56" s="107" t="e">
        <f>+#REF!</f>
        <v>#REF!</v>
      </c>
      <c r="L56" s="107"/>
    </row>
    <row r="57" spans="1:13" ht="15" hidden="1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451" t="e">
        <f>+'GRUPOS INFANTIL'!#REF!</f>
        <v>#REF!</v>
      </c>
      <c r="C59" s="451"/>
      <c r="D59" s="431" t="e">
        <f>+#REF!</f>
        <v>#REF!</v>
      </c>
      <c r="E59" s="430" t="e">
        <f>+#REF!</f>
        <v>#REF!</v>
      </c>
      <c r="F59" s="430" t="e">
        <f>+#REF!</f>
        <v>#REF!</v>
      </c>
      <c r="G59" s="430" t="e">
        <f>+#REF!</f>
        <v>#REF!</v>
      </c>
      <c r="H59" s="430" t="e">
        <f>+#REF!</f>
        <v>#REF!</v>
      </c>
      <c r="I59" s="430" t="e">
        <f>+#REF!</f>
        <v>#REF!</v>
      </c>
      <c r="J59" s="430" t="e">
        <f>+#REF!</f>
        <v>#REF!</v>
      </c>
      <c r="K59" s="430" t="e">
        <f>+#REF!</f>
        <v>#REF!</v>
      </c>
      <c r="L59" s="437" t="e">
        <f>+#REF!</f>
        <v>#REF!</v>
      </c>
    </row>
    <row r="60" spans="1:13" ht="15.75" hidden="1" customHeight="1" thickBot="1" x14ac:dyDescent="0.35">
      <c r="B60" s="452"/>
      <c r="C60" s="452"/>
      <c r="D60" s="410"/>
      <c r="E60" s="409"/>
      <c r="F60" s="409"/>
      <c r="G60" s="409"/>
      <c r="H60" s="409"/>
      <c r="I60" s="409"/>
      <c r="J60" s="409"/>
      <c r="K60" s="409"/>
      <c r="L60" s="415"/>
    </row>
    <row r="61" spans="1:13" ht="15" hidden="1" customHeight="1" x14ac:dyDescent="0.3">
      <c r="B61" s="416" t="e">
        <f>+#REF!</f>
        <v>#REF!</v>
      </c>
      <c r="C61" s="417"/>
      <c r="D61" s="410" t="e">
        <f>+#REF!</f>
        <v>#REF!</v>
      </c>
      <c r="E61" s="409" t="e">
        <f>+#REF!</f>
        <v>#REF!</v>
      </c>
      <c r="F61" s="409" t="e">
        <f>+#REF!</f>
        <v>#REF!</v>
      </c>
      <c r="G61" s="409" t="e">
        <f>+#REF!</f>
        <v>#REF!</v>
      </c>
      <c r="H61" s="409" t="e">
        <f>+#REF!</f>
        <v>#REF!</v>
      </c>
      <c r="I61" s="409" t="e">
        <f>+#REF!</f>
        <v>#REF!</v>
      </c>
      <c r="J61" s="409" t="e">
        <f>+#REF!</f>
        <v>#REF!</v>
      </c>
      <c r="K61" s="409" t="e">
        <f>+#REF!</f>
        <v>#REF!</v>
      </c>
      <c r="L61" s="415" t="e">
        <f>+#REF!</f>
        <v>#REF!</v>
      </c>
    </row>
    <row r="62" spans="1:13" ht="15" hidden="1" customHeight="1" x14ac:dyDescent="0.3">
      <c r="B62" s="418"/>
      <c r="C62" s="419"/>
      <c r="D62" s="410"/>
      <c r="E62" s="409"/>
      <c r="F62" s="409"/>
      <c r="G62" s="409"/>
      <c r="H62" s="409"/>
      <c r="I62" s="409"/>
      <c r="J62" s="409"/>
      <c r="K62" s="409"/>
      <c r="L62" s="415"/>
    </row>
    <row r="63" spans="1:13" ht="15" hidden="1" customHeight="1" x14ac:dyDescent="0.3">
      <c r="B63" s="416" t="e">
        <f>+#REF!</f>
        <v>#REF!</v>
      </c>
      <c r="C63" s="417"/>
      <c r="D63" s="410" t="e">
        <f>+#REF!</f>
        <v>#REF!</v>
      </c>
      <c r="E63" s="409" t="e">
        <f>+#REF!</f>
        <v>#REF!</v>
      </c>
      <c r="F63" s="409" t="e">
        <f>+#REF!</f>
        <v>#REF!</v>
      </c>
      <c r="G63" s="409" t="e">
        <f>+#REF!</f>
        <v>#REF!</v>
      </c>
      <c r="H63" s="409" t="e">
        <f>+#REF!</f>
        <v>#REF!</v>
      </c>
      <c r="I63" s="409" t="e">
        <f>+#REF!</f>
        <v>#REF!</v>
      </c>
      <c r="J63" s="409" t="e">
        <f>+#REF!</f>
        <v>#REF!</v>
      </c>
      <c r="K63" s="409" t="e">
        <f>+#REF!</f>
        <v>#REF!</v>
      </c>
      <c r="L63" s="415" t="e">
        <f>+#REF!</f>
        <v>#REF!</v>
      </c>
    </row>
    <row r="64" spans="1:13" ht="15" hidden="1" customHeight="1" x14ac:dyDescent="0.3">
      <c r="B64" s="418"/>
      <c r="C64" s="419"/>
      <c r="D64" s="410"/>
      <c r="E64" s="409"/>
      <c r="F64" s="409"/>
      <c r="G64" s="409"/>
      <c r="H64" s="409"/>
      <c r="I64" s="409"/>
      <c r="J64" s="409"/>
      <c r="K64" s="409"/>
      <c r="L64" s="415"/>
    </row>
    <row r="65" spans="1:13" ht="15" hidden="1" customHeight="1" x14ac:dyDescent="0.3">
      <c r="B65" s="416" t="e">
        <f>+#REF!</f>
        <v>#REF!</v>
      </c>
      <c r="C65" s="417"/>
      <c r="D65" s="410" t="e">
        <f>+#REF!</f>
        <v>#REF!</v>
      </c>
      <c r="E65" s="409" t="e">
        <f>+#REF!</f>
        <v>#REF!</v>
      </c>
      <c r="F65" s="409" t="e">
        <f>+#REF!</f>
        <v>#REF!</v>
      </c>
      <c r="G65" s="409" t="e">
        <f>+#REF!</f>
        <v>#REF!</v>
      </c>
      <c r="H65" s="409" t="e">
        <f>+#REF!</f>
        <v>#REF!</v>
      </c>
      <c r="I65" s="409" t="e">
        <f>+#REF!</f>
        <v>#REF!</v>
      </c>
      <c r="J65" s="409" t="e">
        <f>+#REF!</f>
        <v>#REF!</v>
      </c>
      <c r="K65" s="409" t="e">
        <f>+#REF!</f>
        <v>#REF!</v>
      </c>
      <c r="L65" s="415" t="e">
        <f>+#REF!</f>
        <v>#REF!</v>
      </c>
    </row>
    <row r="66" spans="1:13" ht="15" hidden="1" customHeight="1" x14ac:dyDescent="0.3">
      <c r="B66" s="418"/>
      <c r="C66" s="419"/>
      <c r="D66" s="410"/>
      <c r="E66" s="409"/>
      <c r="F66" s="409"/>
      <c r="G66" s="409"/>
      <c r="H66" s="409"/>
      <c r="I66" s="409"/>
      <c r="J66" s="409"/>
      <c r="K66" s="409"/>
      <c r="L66" s="415"/>
    </row>
    <row r="67" spans="1:13" ht="15" hidden="1" customHeight="1" x14ac:dyDescent="0.3">
      <c r="B67" s="416" t="e">
        <f>+#REF!</f>
        <v>#REF!</v>
      </c>
      <c r="C67" s="417"/>
      <c r="D67" s="410" t="e">
        <f>+#REF!</f>
        <v>#REF!</v>
      </c>
      <c r="E67" s="409" t="e">
        <f>+#REF!</f>
        <v>#REF!</v>
      </c>
      <c r="F67" s="409" t="e">
        <f>+#REF!</f>
        <v>#REF!</v>
      </c>
      <c r="G67" s="409" t="e">
        <f>+#REF!</f>
        <v>#REF!</v>
      </c>
      <c r="H67" s="409" t="e">
        <f>+#REF!</f>
        <v>#REF!</v>
      </c>
      <c r="I67" s="409" t="e">
        <f>+#REF!</f>
        <v>#REF!</v>
      </c>
      <c r="J67" s="409" t="e">
        <f>+#REF!</f>
        <v>#REF!</v>
      </c>
      <c r="K67" s="409" t="e">
        <f>+#REF!</f>
        <v>#REF!</v>
      </c>
      <c r="L67" s="415" t="e">
        <f>+#REF!</f>
        <v>#REF!</v>
      </c>
    </row>
    <row r="68" spans="1:13" ht="15.75" hidden="1" customHeight="1" thickBot="1" x14ac:dyDescent="0.35">
      <c r="B68" s="418"/>
      <c r="C68" s="419"/>
      <c r="D68" s="429"/>
      <c r="E68" s="424"/>
      <c r="F68" s="424"/>
      <c r="G68" s="424"/>
      <c r="H68" s="424"/>
      <c r="I68" s="424"/>
      <c r="J68" s="424"/>
      <c r="K68" s="424"/>
      <c r="L68" s="438"/>
    </row>
    <row r="69" spans="1:13" hidden="1" x14ac:dyDescent="0.3"/>
    <row r="70" spans="1:13" ht="23.4" hidden="1" x14ac:dyDescent="0.3">
      <c r="A70" s="414" t="s">
        <v>34</v>
      </c>
      <c r="B70" s="330"/>
      <c r="C70" s="330"/>
      <c r="D70" s="330"/>
      <c r="E70" s="330"/>
      <c r="F70" s="330"/>
      <c r="G70" s="330"/>
      <c r="H70" s="330"/>
      <c r="I70" s="330"/>
      <c r="J70" s="330"/>
      <c r="K70" s="330"/>
      <c r="L70" s="330"/>
    </row>
    <row r="71" spans="1:13" hidden="1" x14ac:dyDescent="0.3"/>
    <row r="72" spans="1:13" ht="33.75" hidden="1" customHeight="1" x14ac:dyDescent="0.3">
      <c r="A72" s="89" t="e">
        <f>+#REF!</f>
        <v>#REF!</v>
      </c>
      <c r="B72" s="90" t="e">
        <f>+#REF!</f>
        <v>#REF!</v>
      </c>
      <c r="C72" s="118" t="e">
        <f>+#REF!</f>
        <v>#REF!</v>
      </c>
      <c r="D72" s="94"/>
      <c r="E72" s="84" t="s">
        <v>15</v>
      </c>
      <c r="F72" s="94"/>
      <c r="G72" s="412" t="e">
        <f>+#REF!</f>
        <v>#REF!</v>
      </c>
      <c r="H72" s="397"/>
      <c r="I72" s="397"/>
      <c r="J72" s="397"/>
      <c r="K72" s="104" t="e">
        <f>+#REF!</f>
        <v>#REF!</v>
      </c>
      <c r="L72" s="104"/>
    </row>
    <row r="73" spans="1:13" ht="17.399999999999999" hidden="1" x14ac:dyDescent="0.3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102"/>
      <c r="L73" s="102"/>
    </row>
    <row r="74" spans="1:13" ht="33.75" hidden="1" customHeight="1" x14ac:dyDescent="0.3">
      <c r="A74" s="92" t="e">
        <f>+#REF!</f>
        <v>#REF!</v>
      </c>
      <c r="B74" s="93" t="e">
        <f>+#REF!</f>
        <v>#REF!</v>
      </c>
      <c r="C74" s="119" t="e">
        <f>+#REF!</f>
        <v>#REF!</v>
      </c>
      <c r="D74" s="94"/>
      <c r="E74" s="84" t="s">
        <v>15</v>
      </c>
      <c r="F74" s="94"/>
      <c r="G74" s="413" t="e">
        <f>+#REF!</f>
        <v>#REF!</v>
      </c>
      <c r="H74" s="398"/>
      <c r="I74" s="398"/>
      <c r="J74" s="398"/>
      <c r="K74" s="107" t="e">
        <f>+#REF!</f>
        <v>#REF!</v>
      </c>
      <c r="L74" s="107"/>
    </row>
    <row r="75" spans="1:13" x14ac:dyDescent="0.3">
      <c r="A75" s="411" t="s">
        <v>32</v>
      </c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</row>
    <row r="76" spans="1:13" x14ac:dyDescent="0.3">
      <c r="A76" s="411"/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</row>
    <row r="77" spans="1:13" x14ac:dyDescent="0.3">
      <c r="A77" s="411"/>
      <c r="B77" s="411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</row>
    <row r="78" spans="1:13" x14ac:dyDescent="0.3">
      <c r="A78" s="391" t="s">
        <v>28</v>
      </c>
      <c r="B78" s="391"/>
      <c r="C78" s="391"/>
      <c r="D78" s="391"/>
      <c r="E78" s="391"/>
      <c r="F78" s="391"/>
      <c r="G78" s="391"/>
      <c r="H78" s="391"/>
      <c r="I78" s="391"/>
      <c r="J78" s="391"/>
      <c r="K78" s="391"/>
      <c r="L78" s="391"/>
      <c r="M78" s="391"/>
    </row>
    <row r="79" spans="1:13" x14ac:dyDescent="0.3">
      <c r="A79" s="391" t="s">
        <v>29</v>
      </c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</row>
    <row r="80" spans="1:13" x14ac:dyDescent="0.3">
      <c r="A80" s="392" t="s">
        <v>30</v>
      </c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</row>
    <row r="81" spans="1:13" x14ac:dyDescent="0.3">
      <c r="A81" s="391" t="s">
        <v>31</v>
      </c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  <c r="M81" s="391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8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79">
        <f>+'GRUPOS INFANTIL'!C3</f>
        <v>0</v>
      </c>
    </row>
    <row r="4" spans="2:12" ht="29.25" customHeight="1" x14ac:dyDescent="0.6">
      <c r="C4" s="61"/>
      <c r="D4" s="62"/>
      <c r="E4" s="62"/>
      <c r="F4" s="62"/>
      <c r="G4" s="97" t="str">
        <f>+'GRUPOS INFANTIL'!C4</f>
        <v>NACIDOS 2017 2018</v>
      </c>
      <c r="I4" s="62"/>
      <c r="J4" s="62"/>
      <c r="K4" s="62"/>
    </row>
    <row r="5" spans="2:12" ht="15" hidden="1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hidden="1" customHeight="1" x14ac:dyDescent="0.3">
      <c r="B6" s="420" t="str">
        <f>+'GRUPOS INFANTIL'!D6</f>
        <v>GRUPO A</v>
      </c>
      <c r="C6" s="421"/>
      <c r="D6" s="431" t="e">
        <f>+'GRUPO A'!Q20:Q21</f>
        <v>#VALUE!</v>
      </c>
      <c r="E6" s="430" t="e">
        <f>+'GRUPO A'!R20:R21</f>
        <v>#VALUE!</v>
      </c>
      <c r="F6" s="430" t="e">
        <f>+'GRUPO A'!S20:S21</f>
        <v>#VALUE!</v>
      </c>
      <c r="G6" s="430" t="e">
        <f>+'GRUPO A'!T20:T21</f>
        <v>#VALUE!</v>
      </c>
      <c r="H6" s="430" t="e">
        <f>+'GRUPO A'!U20:U21</f>
        <v>#VALUE!</v>
      </c>
      <c r="I6" s="430" t="e">
        <f>+'GRUPO A'!V20:V21</f>
        <v>#VALUE!</v>
      </c>
      <c r="J6" s="430" t="e">
        <f>+'GRUPO A'!W20:W21</f>
        <v>#VALUE!</v>
      </c>
      <c r="K6" s="430" t="e">
        <f>+'GRUPO A'!X20:X21</f>
        <v>#VALUE!</v>
      </c>
      <c r="L6" s="437" t="e">
        <f>+'GRUPO A'!Y20:Y21</f>
        <v>#VALUE!</v>
      </c>
    </row>
    <row r="7" spans="2:12" ht="15" hidden="1" customHeight="1" thickBot="1" x14ac:dyDescent="0.35">
      <c r="B7" s="422"/>
      <c r="C7" s="423"/>
      <c r="D7" s="429"/>
      <c r="E7" s="424"/>
      <c r="F7" s="424"/>
      <c r="G7" s="424"/>
      <c r="H7" s="424"/>
      <c r="I7" s="424"/>
      <c r="J7" s="424"/>
      <c r="K7" s="424"/>
      <c r="L7" s="438"/>
    </row>
    <row r="8" spans="2:12" ht="22.65" hidden="1" customHeight="1" x14ac:dyDescent="0.3">
      <c r="B8" s="425" t="e">
        <f>+'GRUPO A'!P22:P23</f>
        <v>#VALUE!</v>
      </c>
      <c r="C8" s="426"/>
      <c r="D8" s="431" t="e">
        <f>+'GRUPO A'!Q22:Q23</f>
        <v>#VALUE!</v>
      </c>
      <c r="E8" s="430" t="e">
        <f>+'GRUPO A'!R22:R23</f>
        <v>#VALUE!</v>
      </c>
      <c r="F8" s="430" t="e">
        <f>+'GRUPO A'!S22:S23</f>
        <v>#VALUE!</v>
      </c>
      <c r="G8" s="430" t="e">
        <f>+'GRUPO A'!T22:T23</f>
        <v>#VALUE!</v>
      </c>
      <c r="H8" s="430" t="e">
        <f>+'GRUPO A'!U22:U23</f>
        <v>#VALUE!</v>
      </c>
      <c r="I8" s="430" t="e">
        <f>+'GRUPO A'!V22:V23</f>
        <v>#VALUE!</v>
      </c>
      <c r="J8" s="430" t="e">
        <f>+'GRUPO A'!W22:W23</f>
        <v>#VALUE!</v>
      </c>
      <c r="K8" s="430" t="e">
        <f>+'GRUPO A'!X22:X23</f>
        <v>#VALUE!</v>
      </c>
      <c r="L8" s="439" t="e">
        <f>+'GRUPO A'!Y22:Y23</f>
        <v>#VALUE!</v>
      </c>
    </row>
    <row r="9" spans="2:12" ht="11.1" hidden="1" customHeight="1" x14ac:dyDescent="0.3">
      <c r="B9" s="418"/>
      <c r="C9" s="419"/>
      <c r="D9" s="410"/>
      <c r="E9" s="409"/>
      <c r="F9" s="409"/>
      <c r="G9" s="409"/>
      <c r="H9" s="409"/>
      <c r="I9" s="409"/>
      <c r="J9" s="409"/>
      <c r="K9" s="409"/>
      <c r="L9" s="440"/>
    </row>
    <row r="10" spans="2:12" ht="22.65" hidden="1" customHeight="1" x14ac:dyDescent="0.3">
      <c r="B10" s="418" t="e">
        <f>+'GRUPO A'!P24:P25</f>
        <v>#VALUE!</v>
      </c>
      <c r="C10" s="419"/>
      <c r="D10" s="410" t="e">
        <f>+'GRUPO A'!Q24:Q25</f>
        <v>#VALUE!</v>
      </c>
      <c r="E10" s="409" t="e">
        <f>+'GRUPO A'!R24:R25</f>
        <v>#VALUE!</v>
      </c>
      <c r="F10" s="409" t="e">
        <f>+'GRUPO A'!S24:S25</f>
        <v>#VALUE!</v>
      </c>
      <c r="G10" s="409" t="e">
        <f>+'GRUPO A'!T24:T25</f>
        <v>#VALUE!</v>
      </c>
      <c r="H10" s="409" t="e">
        <f>+'GRUPO A'!U24:U25</f>
        <v>#VALUE!</v>
      </c>
      <c r="I10" s="409" t="e">
        <f>+'GRUPO A'!V24:V25</f>
        <v>#VALUE!</v>
      </c>
      <c r="J10" s="409" t="e">
        <f>+'GRUPO A'!W24:W25</f>
        <v>#VALUE!</v>
      </c>
      <c r="K10" s="409" t="e">
        <f>+'GRUPO A'!X24:X25</f>
        <v>#VALUE!</v>
      </c>
      <c r="L10" s="440" t="e">
        <f>+'GRUPO A'!Y24:Y25</f>
        <v>#VALUE!</v>
      </c>
    </row>
    <row r="11" spans="2:12" ht="11.1" hidden="1" customHeight="1" x14ac:dyDescent="0.3">
      <c r="B11" s="418"/>
      <c r="C11" s="419"/>
      <c r="D11" s="410"/>
      <c r="E11" s="409"/>
      <c r="F11" s="409"/>
      <c r="G11" s="409"/>
      <c r="H11" s="409"/>
      <c r="I11" s="409"/>
      <c r="J11" s="409"/>
      <c r="K11" s="409"/>
      <c r="L11" s="440"/>
    </row>
    <row r="12" spans="2:12" ht="22.65" hidden="1" customHeight="1" x14ac:dyDescent="0.3">
      <c r="B12" s="418" t="e">
        <f>+'GRUPO A'!P26:P27</f>
        <v>#VALUE!</v>
      </c>
      <c r="C12" s="419"/>
      <c r="D12" s="410" t="e">
        <f>+'GRUPO A'!Q26:Q27</f>
        <v>#VALUE!</v>
      </c>
      <c r="E12" s="409" t="e">
        <f>+'GRUPO A'!R26:R27</f>
        <v>#VALUE!</v>
      </c>
      <c r="F12" s="409" t="e">
        <f>+'GRUPO A'!S26:S27</f>
        <v>#VALUE!</v>
      </c>
      <c r="G12" s="409" t="e">
        <f>+'GRUPO A'!T26:T27</f>
        <v>#VALUE!</v>
      </c>
      <c r="H12" s="409" t="e">
        <f>+'GRUPO A'!U26:U27</f>
        <v>#VALUE!</v>
      </c>
      <c r="I12" s="409" t="e">
        <f>+'GRUPO A'!V26:V27</f>
        <v>#VALUE!</v>
      </c>
      <c r="J12" s="409" t="e">
        <f>+'GRUPO A'!W26:W27</f>
        <v>#VALUE!</v>
      </c>
      <c r="K12" s="409" t="e">
        <f>+'GRUPO A'!X26:X27</f>
        <v>#VALUE!</v>
      </c>
      <c r="L12" s="440" t="e">
        <f>+'GRUPO A'!Y26:Y27</f>
        <v>#VALUE!</v>
      </c>
    </row>
    <row r="13" spans="2:12" ht="11.1" hidden="1" customHeight="1" x14ac:dyDescent="0.3">
      <c r="B13" s="418"/>
      <c r="C13" s="419"/>
      <c r="D13" s="410"/>
      <c r="E13" s="409"/>
      <c r="F13" s="409"/>
      <c r="G13" s="409"/>
      <c r="H13" s="409"/>
      <c r="I13" s="409"/>
      <c r="J13" s="409"/>
      <c r="K13" s="409"/>
      <c r="L13" s="440"/>
    </row>
    <row r="14" spans="2:12" ht="22.65" hidden="1" customHeight="1" x14ac:dyDescent="0.3">
      <c r="B14" s="418" t="e">
        <f>+'GRUPO A'!P28:P29</f>
        <v>#VALUE!</v>
      </c>
      <c r="C14" s="419"/>
      <c r="D14" s="410" t="e">
        <f>+'GRUPO A'!Q28:Q29</f>
        <v>#VALUE!</v>
      </c>
      <c r="E14" s="409" t="e">
        <f>+'GRUPO A'!R28:R29</f>
        <v>#VALUE!</v>
      </c>
      <c r="F14" s="409" t="e">
        <f>+'GRUPO A'!S28:S29</f>
        <v>#VALUE!</v>
      </c>
      <c r="G14" s="409" t="e">
        <f>+'GRUPO A'!T28:T29</f>
        <v>#VALUE!</v>
      </c>
      <c r="H14" s="409" t="e">
        <f>+'GRUPO A'!U28:U29</f>
        <v>#VALUE!</v>
      </c>
      <c r="I14" s="409" t="e">
        <f>+'GRUPO A'!V28:V29</f>
        <v>#VALUE!</v>
      </c>
      <c r="J14" s="409" t="e">
        <f>+'GRUPO A'!W28:W29</f>
        <v>#VALUE!</v>
      </c>
      <c r="K14" s="409" t="e">
        <f>+'GRUPO A'!X28:X29</f>
        <v>#VALUE!</v>
      </c>
      <c r="L14" s="440" t="e">
        <f>+'GRUPO A'!Y28:Y29</f>
        <v>#VALUE!</v>
      </c>
    </row>
    <row r="15" spans="2:12" ht="11.1" hidden="1" customHeight="1" thickBot="1" x14ac:dyDescent="0.35">
      <c r="B15" s="427"/>
      <c r="C15" s="428"/>
      <c r="D15" s="429"/>
      <c r="E15" s="424"/>
      <c r="F15" s="424"/>
      <c r="G15" s="424"/>
      <c r="H15" s="424"/>
      <c r="I15" s="424"/>
      <c r="J15" s="424"/>
      <c r="K15" s="424"/>
      <c r="L15" s="441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414" t="s">
        <v>34</v>
      </c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330"/>
    </row>
    <row r="18" spans="1:13" ht="7.5" hidden="1" customHeight="1" x14ac:dyDescent="0.3"/>
    <row r="19" spans="1:13" ht="33.75" hidden="1" customHeight="1" x14ac:dyDescent="0.3">
      <c r="A19" s="89">
        <f>+'GRUPO A'!B32</f>
        <v>42813</v>
      </c>
      <c r="B19" s="90" t="str">
        <f>+'GRUPO A'!C32</f>
        <v>01:15. p.m.</v>
      </c>
      <c r="C19" s="118" t="str">
        <f>+'GRUPO A'!E32</f>
        <v>INTER F. C.</v>
      </c>
      <c r="D19" s="94"/>
      <c r="E19" s="84" t="s">
        <v>15</v>
      </c>
      <c r="F19" s="94"/>
      <c r="G19" s="412" t="str">
        <f>+'GRUPO A'!K32</f>
        <v>ATHLETIC MELGAR</v>
      </c>
      <c r="H19" s="397"/>
      <c r="I19" s="397"/>
      <c r="J19" s="397"/>
      <c r="K19" s="104" t="str">
        <f>+'GRUPO A'!M32</f>
        <v>CANCHA 2</v>
      </c>
      <c r="L19" s="91"/>
    </row>
    <row r="20" spans="1:13" ht="7.5" hidden="1" customHeight="1" x14ac:dyDescent="0.3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102"/>
      <c r="L20" s="83"/>
    </row>
    <row r="21" spans="1:13" ht="33.75" hidden="1" customHeight="1" x14ac:dyDescent="0.3">
      <c r="A21" s="92">
        <f>+'GRUPO A'!B35</f>
        <v>42813</v>
      </c>
      <c r="B21" s="93" t="str">
        <f>+'GRUPO A'!C35</f>
        <v>02:30. p.m.</v>
      </c>
      <c r="C21" s="119" t="str">
        <f>+'GRUPO A'!E35</f>
        <v>ASTON HUILA</v>
      </c>
      <c r="D21" s="94"/>
      <c r="E21" s="84" t="s">
        <v>15</v>
      </c>
      <c r="F21" s="94"/>
      <c r="G21" s="413" t="str">
        <f>+'GRUPO A'!K35</f>
        <v>CLUB DEPORTIVO NUEVAS GENERACIONES</v>
      </c>
      <c r="H21" s="398"/>
      <c r="I21" s="398"/>
      <c r="J21" s="398"/>
      <c r="K21" s="103" t="str">
        <f>+'GRUPO A'!M35</f>
        <v>CANCHA 1</v>
      </c>
      <c r="L21" s="95"/>
    </row>
    <row r="22" spans="1:13" ht="7.5" hidden="1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hidden="1" customHeight="1" x14ac:dyDescent="0.3">
      <c r="B23" s="443" t="str">
        <f>+'GRUPOS INFANTIL'!H6</f>
        <v>GRUPO B</v>
      </c>
      <c r="C23" s="444"/>
      <c r="D23" s="447" t="str">
        <f>+'GRUPO B'!Q8</f>
        <v>Pts.</v>
      </c>
      <c r="E23" s="449" t="str">
        <f>+'GRUPO B'!R8</f>
        <v>PJ</v>
      </c>
      <c r="F23" s="449" t="str">
        <f>+'GRUPO B'!S8</f>
        <v>Gan.</v>
      </c>
      <c r="G23" s="449" t="str">
        <f>+'GRUPO B'!T8</f>
        <v>Emp.</v>
      </c>
      <c r="H23" s="449" t="str">
        <f>+'GRUPO B'!U8</f>
        <v>Per.</v>
      </c>
      <c r="I23" s="449" t="str">
        <f>+'GRUPO B'!V8</f>
        <v>GF</v>
      </c>
      <c r="J23" s="449" t="str">
        <f>+'GRUPO B'!W8</f>
        <v>GC</v>
      </c>
      <c r="K23" s="449" t="str">
        <f>+'GRUPO B'!X8</f>
        <v>Dif.</v>
      </c>
      <c r="L23" s="437" t="str">
        <f>+'GRUPO B'!Y8</f>
        <v>Tj</v>
      </c>
    </row>
    <row r="24" spans="1:13" ht="15" hidden="1" customHeight="1" thickBot="1" x14ac:dyDescent="0.35">
      <c r="B24" s="445"/>
      <c r="C24" s="446"/>
      <c r="D24" s="448"/>
      <c r="E24" s="450"/>
      <c r="F24" s="450"/>
      <c r="G24" s="450"/>
      <c r="H24" s="450"/>
      <c r="I24" s="450"/>
      <c r="J24" s="450"/>
      <c r="K24" s="450"/>
      <c r="L24" s="438"/>
    </row>
    <row r="25" spans="1:13" ht="10.5" hidden="1" customHeight="1" x14ac:dyDescent="0.3">
      <c r="B25" s="425" t="e">
        <f>+'GRUPO B'!P10</f>
        <v>#REF!</v>
      </c>
      <c r="C25" s="442"/>
      <c r="D25" s="431">
        <f>+'GRUPO B'!Q10</f>
        <v>0</v>
      </c>
      <c r="E25" s="430">
        <f>+'GRUPO B'!R10</f>
        <v>0</v>
      </c>
      <c r="F25" s="430">
        <f>+'GRUPO B'!S10</f>
        <v>0</v>
      </c>
      <c r="G25" s="430">
        <f>+'GRUPO B'!T10</f>
        <v>0</v>
      </c>
      <c r="H25" s="430">
        <f>+'GRUPO B'!U10</f>
        <v>0</v>
      </c>
      <c r="I25" s="430">
        <f>+'GRUPO B'!V10</f>
        <v>0</v>
      </c>
      <c r="J25" s="430">
        <f>+'GRUPO B'!W10</f>
        <v>0</v>
      </c>
      <c r="K25" s="430">
        <f>+'GRUPO B'!X10</f>
        <v>0</v>
      </c>
      <c r="L25" s="437">
        <f>+'GRUPO B'!Y10</f>
        <v>0</v>
      </c>
    </row>
    <row r="26" spans="1:13" ht="22.5" hidden="1" customHeight="1" x14ac:dyDescent="0.3">
      <c r="B26" s="418"/>
      <c r="C26" s="436"/>
      <c r="D26" s="410"/>
      <c r="E26" s="409"/>
      <c r="F26" s="409"/>
      <c r="G26" s="409"/>
      <c r="H26" s="409"/>
      <c r="I26" s="409"/>
      <c r="J26" s="409"/>
      <c r="K26" s="409"/>
      <c r="L26" s="415"/>
    </row>
    <row r="27" spans="1:13" ht="10.5" hidden="1" customHeight="1" x14ac:dyDescent="0.3">
      <c r="B27" s="418" t="str">
        <f>+'GRUPO B'!P12</f>
        <v xml:space="preserve">  2)  CLUB PROMOTOR DEPORTIVO SCORPION</v>
      </c>
      <c r="C27" s="436"/>
      <c r="D27" s="410">
        <f>+'GRUPO B'!Q12</f>
        <v>0</v>
      </c>
      <c r="E27" s="409">
        <f>+'GRUPO B'!R12</f>
        <v>0</v>
      </c>
      <c r="F27" s="409">
        <f>+'GRUPO B'!S12</f>
        <v>0</v>
      </c>
      <c r="G27" s="409">
        <f>+'GRUPO B'!T12</f>
        <v>0</v>
      </c>
      <c r="H27" s="409">
        <f>+'GRUPO B'!U12</f>
        <v>0</v>
      </c>
      <c r="I27" s="409">
        <f>+'GRUPO B'!V12</f>
        <v>0</v>
      </c>
      <c r="J27" s="409">
        <f>+'GRUPO B'!W12</f>
        <v>0</v>
      </c>
      <c r="K27" s="409">
        <f>+'GRUPO B'!X12</f>
        <v>0</v>
      </c>
      <c r="L27" s="415">
        <f>+'GRUPO B'!Y12</f>
        <v>0</v>
      </c>
    </row>
    <row r="28" spans="1:13" ht="22.5" hidden="1" customHeight="1" x14ac:dyDescent="0.3">
      <c r="B28" s="418"/>
      <c r="C28" s="436"/>
      <c r="D28" s="410"/>
      <c r="E28" s="409"/>
      <c r="F28" s="409"/>
      <c r="G28" s="409"/>
      <c r="H28" s="409"/>
      <c r="I28" s="409"/>
      <c r="J28" s="409"/>
      <c r="K28" s="409"/>
      <c r="L28" s="415"/>
    </row>
    <row r="29" spans="1:13" ht="22.5" hidden="1" customHeight="1" x14ac:dyDescent="0.3">
      <c r="B29" s="418" t="str">
        <f>+'GRUPO B'!P14</f>
        <v xml:space="preserve">  3)  HUITACA FUTBOL CLUB CHIA</v>
      </c>
      <c r="C29" s="436"/>
      <c r="D29" s="410">
        <f>+'GRUPO B'!Q14</f>
        <v>0</v>
      </c>
      <c r="E29" s="409">
        <f>+'GRUPO B'!R14</f>
        <v>0</v>
      </c>
      <c r="F29" s="409">
        <f>+'GRUPO B'!S14</f>
        <v>0</v>
      </c>
      <c r="G29" s="409">
        <f>+'GRUPO B'!T14</f>
        <v>0</v>
      </c>
      <c r="H29" s="409">
        <f>+'GRUPO B'!U14</f>
        <v>0</v>
      </c>
      <c r="I29" s="409">
        <f>+'GRUPO B'!V14</f>
        <v>0</v>
      </c>
      <c r="J29" s="409">
        <f>+'GRUPO B'!W14</f>
        <v>0</v>
      </c>
      <c r="K29" s="409">
        <f>+'GRUPO B'!X14</f>
        <v>0</v>
      </c>
      <c r="L29" s="415">
        <f>+'GRUPO B'!Y14</f>
        <v>0</v>
      </c>
    </row>
    <row r="30" spans="1:13" ht="11.1" hidden="1" customHeight="1" x14ac:dyDescent="0.3">
      <c r="B30" s="418"/>
      <c r="C30" s="436"/>
      <c r="D30" s="410"/>
      <c r="E30" s="409"/>
      <c r="F30" s="409"/>
      <c r="G30" s="409"/>
      <c r="H30" s="409"/>
      <c r="I30" s="409"/>
      <c r="J30" s="409"/>
      <c r="K30" s="409"/>
      <c r="L30" s="415"/>
    </row>
    <row r="31" spans="1:13" ht="22.5" hidden="1" customHeight="1" x14ac:dyDescent="0.3">
      <c r="B31" s="418" t="str">
        <f>+'GRUPO B'!P16</f>
        <v xml:space="preserve">  4)  CANUTO F.C.</v>
      </c>
      <c r="C31" s="436"/>
      <c r="D31" s="410">
        <f>+'GRUPO B'!Q16</f>
        <v>0</v>
      </c>
      <c r="E31" s="409">
        <f>+'GRUPO B'!R16</f>
        <v>0</v>
      </c>
      <c r="F31" s="409">
        <f>+'GRUPO B'!S16</f>
        <v>0</v>
      </c>
      <c r="G31" s="409">
        <f>+'GRUPO B'!T16</f>
        <v>0</v>
      </c>
      <c r="H31" s="409">
        <f>+'GRUPO B'!U16</f>
        <v>0</v>
      </c>
      <c r="I31" s="409">
        <f>+'GRUPO B'!V16</f>
        <v>0</v>
      </c>
      <c r="J31" s="409">
        <f>+'GRUPO B'!W16</f>
        <v>0</v>
      </c>
      <c r="K31" s="409">
        <f>+'GRUPO B'!X16</f>
        <v>0</v>
      </c>
      <c r="L31" s="415">
        <f>+'GRUPO B'!Y16</f>
        <v>0</v>
      </c>
    </row>
    <row r="32" spans="1:13" ht="11.1" hidden="1" customHeight="1" thickBot="1" x14ac:dyDescent="0.35">
      <c r="B32" s="427"/>
      <c r="C32" s="453"/>
      <c r="D32" s="429"/>
      <c r="E32" s="424"/>
      <c r="F32" s="424"/>
      <c r="G32" s="424"/>
      <c r="H32" s="424"/>
      <c r="I32" s="424"/>
      <c r="J32" s="424"/>
      <c r="K32" s="424"/>
      <c r="L32" s="438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414" t="s">
        <v>34</v>
      </c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</row>
    <row r="35" spans="1:13" ht="7.5" hidden="1" customHeight="1" x14ac:dyDescent="0.3"/>
    <row r="36" spans="1:13" ht="33.75" hidden="1" customHeight="1" x14ac:dyDescent="0.3">
      <c r="A36" s="89">
        <f>+'GRUPO B'!B32</f>
        <v>42813</v>
      </c>
      <c r="B36" s="90" t="str">
        <f>+'GRUPO B'!C32</f>
        <v>04:30. p.m.</v>
      </c>
      <c r="C36" s="118" t="str">
        <f>+'GRUPO B'!E32</f>
        <v>CANUTO F.C.</v>
      </c>
      <c r="D36" s="94"/>
      <c r="E36" s="84" t="s">
        <v>15</v>
      </c>
      <c r="F36" s="94"/>
      <c r="G36" s="412" t="e">
        <f>+'GRUPO B'!K32</f>
        <v>#REF!</v>
      </c>
      <c r="H36" s="397"/>
      <c r="I36" s="397"/>
      <c r="J36" s="397"/>
      <c r="K36" s="104" t="str">
        <f>+'GRUPO B'!M32</f>
        <v>CANCHA 1</v>
      </c>
      <c r="L36" s="91"/>
    </row>
    <row r="37" spans="1:13" ht="7.5" hidden="1" customHeight="1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102"/>
      <c r="L37" s="83"/>
    </row>
    <row r="38" spans="1:13" ht="33.75" hidden="1" customHeight="1" x14ac:dyDescent="0.3">
      <c r="A38" s="92">
        <f>+'GRUPO B'!B35</f>
        <v>42813</v>
      </c>
      <c r="B38" s="93" t="str">
        <f>+'GRUPO B'!C32</f>
        <v>04:30. p.m.</v>
      </c>
      <c r="C38" s="119" t="str">
        <f>+'GRUPO B'!E35</f>
        <v>HUITACA FUTBOL CLUB CHIA</v>
      </c>
      <c r="D38" s="137"/>
      <c r="E38" s="84" t="s">
        <v>15</v>
      </c>
      <c r="F38" s="137"/>
      <c r="G38" s="413" t="str">
        <f>+'GRUPO B'!K35</f>
        <v>CLUB PROMOTOR DEPORTIVO SCORPION</v>
      </c>
      <c r="H38" s="398"/>
      <c r="I38" s="398"/>
      <c r="J38" s="398"/>
      <c r="K38" s="103" t="str">
        <f>+'GRUPO B'!M35</f>
        <v>CANCHA 2</v>
      </c>
      <c r="L38" s="95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432">
        <f>+'GRUPOS INFANTIL'!F6</f>
        <v>0</v>
      </c>
      <c r="C41" s="433"/>
      <c r="D41" s="431" t="str">
        <f>+'GRUPO B'!Q8</f>
        <v>Pts.</v>
      </c>
      <c r="E41" s="430" t="str">
        <f>+'GRUPO B'!R8</f>
        <v>PJ</v>
      </c>
      <c r="F41" s="430" t="str">
        <f>+'GRUPO B'!S8</f>
        <v>Gan.</v>
      </c>
      <c r="G41" s="430" t="str">
        <f>+'GRUPO B'!T8</f>
        <v>Emp.</v>
      </c>
      <c r="H41" s="430" t="str">
        <f>+'GRUPO B'!U8</f>
        <v>Per.</v>
      </c>
      <c r="I41" s="430" t="str">
        <f>+'GRUPO B'!V8</f>
        <v>GF</v>
      </c>
      <c r="J41" s="430" t="str">
        <f>+'GRUPO B'!W8</f>
        <v>GC</v>
      </c>
      <c r="K41" s="430" t="str">
        <f>+'GRUPO B'!X8</f>
        <v>Dif.</v>
      </c>
      <c r="L41" s="437" t="str">
        <f>+'GRUPO B'!Y8</f>
        <v>Tj</v>
      </c>
    </row>
    <row r="42" spans="1:13" ht="15" customHeight="1" thickBot="1" x14ac:dyDescent="0.35">
      <c r="B42" s="434"/>
      <c r="C42" s="435"/>
      <c r="D42" s="429"/>
      <c r="E42" s="424"/>
      <c r="F42" s="424"/>
      <c r="G42" s="424"/>
      <c r="H42" s="424"/>
      <c r="I42" s="424"/>
      <c r="J42" s="424"/>
      <c r="K42" s="424"/>
      <c r="L42" s="438"/>
    </row>
    <row r="43" spans="1:13" ht="15" customHeight="1" x14ac:dyDescent="0.3">
      <c r="B43" s="416" t="e">
        <f>+'GRUPO B'!P10</f>
        <v>#REF!</v>
      </c>
      <c r="C43" s="417"/>
      <c r="D43" s="431">
        <f>+'GRUPO B'!Q10</f>
        <v>0</v>
      </c>
      <c r="E43" s="430">
        <f>+'GRUPO B'!R10</f>
        <v>0</v>
      </c>
      <c r="F43" s="430">
        <f>+'GRUPO B'!S10</f>
        <v>0</v>
      </c>
      <c r="G43" s="430">
        <f>+'GRUPO B'!T10</f>
        <v>0</v>
      </c>
      <c r="H43" s="430">
        <f>+'GRUPO B'!U10</f>
        <v>0</v>
      </c>
      <c r="I43" s="430">
        <f>+'GRUPO B'!V10</f>
        <v>0</v>
      </c>
      <c r="J43" s="430">
        <f>+'GRUPO B'!W10</f>
        <v>0</v>
      </c>
      <c r="K43" s="430">
        <f>+'GRUPO B'!X10</f>
        <v>0</v>
      </c>
      <c r="L43" s="437">
        <f>+'GRUPO B'!Y10</f>
        <v>0</v>
      </c>
    </row>
    <row r="44" spans="1:13" ht="15" customHeight="1" x14ac:dyDescent="0.3">
      <c r="B44" s="418"/>
      <c r="C44" s="419"/>
      <c r="D44" s="410"/>
      <c r="E44" s="409"/>
      <c r="F44" s="409"/>
      <c r="G44" s="409"/>
      <c r="H44" s="409"/>
      <c r="I44" s="409"/>
      <c r="J44" s="409"/>
      <c r="K44" s="409"/>
      <c r="L44" s="415"/>
    </row>
    <row r="45" spans="1:13" ht="15" customHeight="1" x14ac:dyDescent="0.3">
      <c r="B45" s="418" t="str">
        <f>+'GRUPO B'!P12</f>
        <v xml:space="preserve">  2)  CLUB PROMOTOR DEPORTIVO SCORPION</v>
      </c>
      <c r="C45" s="419"/>
      <c r="D45" s="410">
        <f>+'GRUPO B'!Q12</f>
        <v>0</v>
      </c>
      <c r="E45" s="409">
        <f>+'GRUPO B'!R12</f>
        <v>0</v>
      </c>
      <c r="F45" s="409">
        <f>+'GRUPO B'!S12</f>
        <v>0</v>
      </c>
      <c r="G45" s="409">
        <f>+'GRUPO B'!T12</f>
        <v>0</v>
      </c>
      <c r="H45" s="409">
        <f>+'GRUPO B'!U12</f>
        <v>0</v>
      </c>
      <c r="I45" s="409">
        <f>+'GRUPO B'!V12</f>
        <v>0</v>
      </c>
      <c r="J45" s="409">
        <f>+'GRUPO B'!W12</f>
        <v>0</v>
      </c>
      <c r="K45" s="409">
        <f>+'GRUPO B'!X12</f>
        <v>0</v>
      </c>
      <c r="L45" s="415">
        <f>+'GRUPO B'!Y12</f>
        <v>0</v>
      </c>
    </row>
    <row r="46" spans="1:13" ht="15" customHeight="1" x14ac:dyDescent="0.3">
      <c r="B46" s="418"/>
      <c r="C46" s="419"/>
      <c r="D46" s="410"/>
      <c r="E46" s="409"/>
      <c r="F46" s="409"/>
      <c r="G46" s="409"/>
      <c r="H46" s="409"/>
      <c r="I46" s="409"/>
      <c r="J46" s="409"/>
      <c r="K46" s="409"/>
      <c r="L46" s="415"/>
    </row>
    <row r="47" spans="1:13" ht="15" customHeight="1" x14ac:dyDescent="0.3">
      <c r="B47" s="418" t="str">
        <f>+'GRUPO B'!P14</f>
        <v xml:space="preserve">  3)  HUITACA FUTBOL CLUB CHIA</v>
      </c>
      <c r="C47" s="419"/>
      <c r="D47" s="410">
        <f>+'GRUPO B'!Q14</f>
        <v>0</v>
      </c>
      <c r="E47" s="409">
        <f>+'GRUPO B'!R14</f>
        <v>0</v>
      </c>
      <c r="F47" s="409">
        <f>+'GRUPO B'!S14</f>
        <v>0</v>
      </c>
      <c r="G47" s="409">
        <f>+'GRUPO B'!T14</f>
        <v>0</v>
      </c>
      <c r="H47" s="409">
        <f>+'GRUPO B'!U14</f>
        <v>0</v>
      </c>
      <c r="I47" s="409">
        <f>+'GRUPO B'!V14</f>
        <v>0</v>
      </c>
      <c r="J47" s="409">
        <f>+'GRUPO B'!W14</f>
        <v>0</v>
      </c>
      <c r="K47" s="409">
        <f>+'GRUPO B'!X14</f>
        <v>0</v>
      </c>
      <c r="L47" s="415">
        <f>+'GRUPO B'!Y14</f>
        <v>0</v>
      </c>
    </row>
    <row r="48" spans="1:13" ht="15" customHeight="1" x14ac:dyDescent="0.3">
      <c r="B48" s="418"/>
      <c r="C48" s="419"/>
      <c r="D48" s="410"/>
      <c r="E48" s="409"/>
      <c r="F48" s="409"/>
      <c r="G48" s="409"/>
      <c r="H48" s="409"/>
      <c r="I48" s="409"/>
      <c r="J48" s="409"/>
      <c r="K48" s="409"/>
      <c r="L48" s="415"/>
    </row>
    <row r="49" spans="1:13" x14ac:dyDescent="0.3">
      <c r="B49" s="418" t="str">
        <f>+'GRUPO B'!P16</f>
        <v xml:space="preserve">  4)  CANUTO F.C.</v>
      </c>
      <c r="C49" s="419"/>
      <c r="D49" s="410">
        <f>+'GRUPO B'!Q16</f>
        <v>0</v>
      </c>
      <c r="E49" s="409">
        <f>+'GRUPO B'!R16</f>
        <v>0</v>
      </c>
      <c r="F49" s="409">
        <f>+'GRUPO B'!S16</f>
        <v>0</v>
      </c>
      <c r="G49" s="409">
        <f>+'GRUPO B'!T16</f>
        <v>0</v>
      </c>
      <c r="H49" s="409">
        <f>+'GRUPO B'!U16</f>
        <v>0</v>
      </c>
      <c r="I49" s="409">
        <f>+'GRUPO B'!V16</f>
        <v>0</v>
      </c>
      <c r="J49" s="409">
        <f>+'GRUPO B'!W16</f>
        <v>0</v>
      </c>
      <c r="K49" s="409">
        <f>+'GRUPO B'!X16</f>
        <v>0</v>
      </c>
      <c r="L49" s="415">
        <f>+'GRUPO B'!Y16</f>
        <v>0</v>
      </c>
    </row>
    <row r="50" spans="1:13" ht="15" thickBot="1" x14ac:dyDescent="0.35">
      <c r="B50" s="427"/>
      <c r="C50" s="428"/>
      <c r="D50" s="429"/>
      <c r="E50" s="424"/>
      <c r="F50" s="424"/>
      <c r="G50" s="424"/>
      <c r="H50" s="424"/>
      <c r="I50" s="424"/>
      <c r="J50" s="424"/>
      <c r="K50" s="424"/>
      <c r="L50" s="438"/>
    </row>
    <row r="51" spans="1:13" ht="7.5" customHeight="1" x14ac:dyDescent="0.3"/>
    <row r="52" spans="1:13" ht="23.4" x14ac:dyDescent="0.3">
      <c r="A52" s="414" t="s">
        <v>34</v>
      </c>
      <c r="B52" s="330"/>
      <c r="C52" s="330"/>
      <c r="D52" s="330"/>
      <c r="E52" s="330"/>
      <c r="F52" s="330"/>
      <c r="G52" s="330"/>
      <c r="H52" s="330"/>
      <c r="I52" s="330"/>
      <c r="J52" s="330"/>
      <c r="K52" s="330"/>
      <c r="L52" s="330"/>
    </row>
    <row r="54" spans="1:13" ht="33.75" customHeight="1" x14ac:dyDescent="0.3">
      <c r="A54" s="89" t="e">
        <f>+#REF!</f>
        <v>#REF!</v>
      </c>
      <c r="B54" s="90" t="e">
        <f>+#REF!</f>
        <v>#REF!</v>
      </c>
      <c r="C54" s="118" t="e">
        <f>+#REF!</f>
        <v>#REF!</v>
      </c>
      <c r="D54" s="94"/>
      <c r="E54" s="84" t="s">
        <v>15</v>
      </c>
      <c r="F54" s="94"/>
      <c r="G54" s="412" t="e">
        <f>+#REF!</f>
        <v>#REF!</v>
      </c>
      <c r="H54" s="397"/>
      <c r="I54" s="397"/>
      <c r="J54" s="397"/>
      <c r="K54" s="104" t="e">
        <f>+#REF!</f>
        <v>#REF!</v>
      </c>
      <c r="L54" s="104"/>
    </row>
    <row r="55" spans="1:13" ht="17.399999999999999" x14ac:dyDescent="0.3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102"/>
      <c r="L55" s="102"/>
    </row>
    <row r="56" spans="1:13" ht="33.75" customHeight="1" x14ac:dyDescent="0.3">
      <c r="A56" s="92" t="e">
        <f>+#REF!</f>
        <v>#REF!</v>
      </c>
      <c r="B56" s="93" t="e">
        <f>+#REF!</f>
        <v>#REF!</v>
      </c>
      <c r="C56" s="119" t="e">
        <f>+#REF!</f>
        <v>#REF!</v>
      </c>
      <c r="D56" s="94"/>
      <c r="E56" s="84" t="s">
        <v>15</v>
      </c>
      <c r="F56" s="94"/>
      <c r="G56" s="413" t="e">
        <f>+#REF!</f>
        <v>#REF!</v>
      </c>
      <c r="H56" s="398"/>
      <c r="I56" s="398"/>
      <c r="J56" s="398"/>
      <c r="K56" s="107" t="e">
        <f>+#REF!</f>
        <v>#REF!</v>
      </c>
      <c r="L56" s="107"/>
    </row>
    <row r="57" spans="1:13" ht="15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451" t="e">
        <f>+'GRUPOS INFANTIL'!#REF!</f>
        <v>#REF!</v>
      </c>
      <c r="C59" s="451"/>
      <c r="D59" s="431" t="e">
        <f>+#REF!</f>
        <v>#REF!</v>
      </c>
      <c r="E59" s="430" t="e">
        <f>+#REF!</f>
        <v>#REF!</v>
      </c>
      <c r="F59" s="430" t="e">
        <f>+#REF!</f>
        <v>#REF!</v>
      </c>
      <c r="G59" s="430" t="e">
        <f>+#REF!</f>
        <v>#REF!</v>
      </c>
      <c r="H59" s="430" t="e">
        <f>+#REF!</f>
        <v>#REF!</v>
      </c>
      <c r="I59" s="430" t="e">
        <f>+#REF!</f>
        <v>#REF!</v>
      </c>
      <c r="J59" s="430" t="e">
        <f>+#REF!</f>
        <v>#REF!</v>
      </c>
      <c r="K59" s="430" t="e">
        <f>+#REF!</f>
        <v>#REF!</v>
      </c>
      <c r="L59" s="437" t="e">
        <f>+#REF!</f>
        <v>#REF!</v>
      </c>
    </row>
    <row r="60" spans="1:13" ht="15.75" customHeight="1" thickBot="1" x14ac:dyDescent="0.35">
      <c r="B60" s="452"/>
      <c r="C60" s="452"/>
      <c r="D60" s="410"/>
      <c r="E60" s="409"/>
      <c r="F60" s="409"/>
      <c r="G60" s="409"/>
      <c r="H60" s="409"/>
      <c r="I60" s="409"/>
      <c r="J60" s="409"/>
      <c r="K60" s="409"/>
      <c r="L60" s="415"/>
    </row>
    <row r="61" spans="1:13" ht="15" customHeight="1" x14ac:dyDescent="0.3">
      <c r="B61" s="416" t="e">
        <f>+#REF!</f>
        <v>#REF!</v>
      </c>
      <c r="C61" s="417"/>
      <c r="D61" s="410" t="e">
        <f>+#REF!</f>
        <v>#REF!</v>
      </c>
      <c r="E61" s="409" t="e">
        <f>+#REF!</f>
        <v>#REF!</v>
      </c>
      <c r="F61" s="409" t="e">
        <f>+#REF!</f>
        <v>#REF!</v>
      </c>
      <c r="G61" s="409" t="e">
        <f>+#REF!</f>
        <v>#REF!</v>
      </c>
      <c r="H61" s="409" t="e">
        <f>+#REF!</f>
        <v>#REF!</v>
      </c>
      <c r="I61" s="409" t="e">
        <f>+#REF!</f>
        <v>#REF!</v>
      </c>
      <c r="J61" s="409" t="e">
        <f>+#REF!</f>
        <v>#REF!</v>
      </c>
      <c r="K61" s="409" t="e">
        <f>+#REF!</f>
        <v>#REF!</v>
      </c>
      <c r="L61" s="415" t="e">
        <f>+#REF!</f>
        <v>#REF!</v>
      </c>
    </row>
    <row r="62" spans="1:13" ht="15" customHeight="1" x14ac:dyDescent="0.3">
      <c r="B62" s="418"/>
      <c r="C62" s="419"/>
      <c r="D62" s="410"/>
      <c r="E62" s="409"/>
      <c r="F62" s="409"/>
      <c r="G62" s="409"/>
      <c r="H62" s="409"/>
      <c r="I62" s="409"/>
      <c r="J62" s="409"/>
      <c r="K62" s="409"/>
      <c r="L62" s="415"/>
    </row>
    <row r="63" spans="1:13" ht="15" customHeight="1" x14ac:dyDescent="0.3">
      <c r="B63" s="416" t="e">
        <f>+#REF!</f>
        <v>#REF!</v>
      </c>
      <c r="C63" s="417"/>
      <c r="D63" s="410" t="e">
        <f>+#REF!</f>
        <v>#REF!</v>
      </c>
      <c r="E63" s="409" t="e">
        <f>+#REF!</f>
        <v>#REF!</v>
      </c>
      <c r="F63" s="409" t="e">
        <f>+#REF!</f>
        <v>#REF!</v>
      </c>
      <c r="G63" s="409" t="e">
        <f>+#REF!</f>
        <v>#REF!</v>
      </c>
      <c r="H63" s="409" t="e">
        <f>+#REF!</f>
        <v>#REF!</v>
      </c>
      <c r="I63" s="409" t="e">
        <f>+#REF!</f>
        <v>#REF!</v>
      </c>
      <c r="J63" s="409" t="e">
        <f>+#REF!</f>
        <v>#REF!</v>
      </c>
      <c r="K63" s="409" t="e">
        <f>+#REF!</f>
        <v>#REF!</v>
      </c>
      <c r="L63" s="415" t="e">
        <f>+#REF!</f>
        <v>#REF!</v>
      </c>
    </row>
    <row r="64" spans="1:13" ht="15" customHeight="1" x14ac:dyDescent="0.3">
      <c r="B64" s="418"/>
      <c r="C64" s="419"/>
      <c r="D64" s="410"/>
      <c r="E64" s="409"/>
      <c r="F64" s="409"/>
      <c r="G64" s="409"/>
      <c r="H64" s="409"/>
      <c r="I64" s="409"/>
      <c r="J64" s="409"/>
      <c r="K64" s="409"/>
      <c r="L64" s="415"/>
    </row>
    <row r="65" spans="1:13" ht="15" customHeight="1" x14ac:dyDescent="0.3">
      <c r="B65" s="416" t="e">
        <f>+#REF!</f>
        <v>#REF!</v>
      </c>
      <c r="C65" s="417"/>
      <c r="D65" s="410" t="e">
        <f>+#REF!</f>
        <v>#REF!</v>
      </c>
      <c r="E65" s="409" t="e">
        <f>+#REF!</f>
        <v>#REF!</v>
      </c>
      <c r="F65" s="409" t="e">
        <f>+#REF!</f>
        <v>#REF!</v>
      </c>
      <c r="G65" s="409" t="e">
        <f>+#REF!</f>
        <v>#REF!</v>
      </c>
      <c r="H65" s="409" t="e">
        <f>+#REF!</f>
        <v>#REF!</v>
      </c>
      <c r="I65" s="409" t="e">
        <f>+#REF!</f>
        <v>#REF!</v>
      </c>
      <c r="J65" s="409" t="e">
        <f>+#REF!</f>
        <v>#REF!</v>
      </c>
      <c r="K65" s="409" t="e">
        <f>+#REF!</f>
        <v>#REF!</v>
      </c>
      <c r="L65" s="415" t="e">
        <f>+#REF!</f>
        <v>#REF!</v>
      </c>
    </row>
    <row r="66" spans="1:13" ht="15" customHeight="1" x14ac:dyDescent="0.3">
      <c r="B66" s="418"/>
      <c r="C66" s="419"/>
      <c r="D66" s="410"/>
      <c r="E66" s="409"/>
      <c r="F66" s="409"/>
      <c r="G66" s="409"/>
      <c r="H66" s="409"/>
      <c r="I66" s="409"/>
      <c r="J66" s="409"/>
      <c r="K66" s="409"/>
      <c r="L66" s="415"/>
    </row>
    <row r="67" spans="1:13" ht="15" customHeight="1" x14ac:dyDescent="0.3">
      <c r="B67" s="416" t="e">
        <f>+#REF!</f>
        <v>#REF!</v>
      </c>
      <c r="C67" s="417"/>
      <c r="D67" s="410" t="e">
        <f>+#REF!</f>
        <v>#REF!</v>
      </c>
      <c r="E67" s="409" t="e">
        <f>+#REF!</f>
        <v>#REF!</v>
      </c>
      <c r="F67" s="409" t="e">
        <f>+#REF!</f>
        <v>#REF!</v>
      </c>
      <c r="G67" s="409" t="e">
        <f>+#REF!</f>
        <v>#REF!</v>
      </c>
      <c r="H67" s="409" t="e">
        <f>+#REF!</f>
        <v>#REF!</v>
      </c>
      <c r="I67" s="409" t="e">
        <f>+#REF!</f>
        <v>#REF!</v>
      </c>
      <c r="J67" s="409" t="e">
        <f>+#REF!</f>
        <v>#REF!</v>
      </c>
      <c r="K67" s="409" t="e">
        <f>+#REF!</f>
        <v>#REF!</v>
      </c>
      <c r="L67" s="415" t="e">
        <f>+#REF!</f>
        <v>#REF!</v>
      </c>
    </row>
    <row r="68" spans="1:13" ht="15.75" customHeight="1" thickBot="1" x14ac:dyDescent="0.35">
      <c r="B68" s="418"/>
      <c r="C68" s="419"/>
      <c r="D68" s="429"/>
      <c r="E68" s="424"/>
      <c r="F68" s="424"/>
      <c r="G68" s="424"/>
      <c r="H68" s="424"/>
      <c r="I68" s="424"/>
      <c r="J68" s="424"/>
      <c r="K68" s="424"/>
      <c r="L68" s="438"/>
    </row>
    <row r="70" spans="1:13" ht="23.4" x14ac:dyDescent="0.3">
      <c r="A70" s="414" t="s">
        <v>34</v>
      </c>
      <c r="B70" s="330"/>
      <c r="C70" s="330"/>
      <c r="D70" s="330"/>
      <c r="E70" s="330"/>
      <c r="F70" s="330"/>
      <c r="G70" s="330"/>
      <c r="H70" s="330"/>
      <c r="I70" s="330"/>
      <c r="J70" s="330"/>
      <c r="K70" s="330"/>
      <c r="L70" s="330"/>
    </row>
    <row r="72" spans="1:13" ht="33.75" customHeight="1" x14ac:dyDescent="0.3">
      <c r="A72" s="89" t="e">
        <f>+#REF!</f>
        <v>#REF!</v>
      </c>
      <c r="B72" s="90" t="e">
        <f>+#REF!</f>
        <v>#REF!</v>
      </c>
      <c r="C72" s="118" t="e">
        <f>+#REF!</f>
        <v>#REF!</v>
      </c>
      <c r="D72" s="94"/>
      <c r="E72" s="84" t="s">
        <v>15</v>
      </c>
      <c r="F72" s="94"/>
      <c r="G72" s="412" t="e">
        <f>+#REF!</f>
        <v>#REF!</v>
      </c>
      <c r="H72" s="397"/>
      <c r="I72" s="397"/>
      <c r="J72" s="397"/>
      <c r="K72" s="104" t="e">
        <f>+#REF!</f>
        <v>#REF!</v>
      </c>
      <c r="L72" s="104"/>
    </row>
    <row r="73" spans="1:13" ht="17.399999999999999" x14ac:dyDescent="0.3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102"/>
      <c r="L73" s="102"/>
    </row>
    <row r="74" spans="1:13" ht="33.75" customHeight="1" x14ac:dyDescent="0.3">
      <c r="A74" s="92" t="e">
        <f>+#REF!</f>
        <v>#REF!</v>
      </c>
      <c r="B74" s="93" t="e">
        <f>+#REF!</f>
        <v>#REF!</v>
      </c>
      <c r="C74" s="119" t="e">
        <f>+#REF!</f>
        <v>#REF!</v>
      </c>
      <c r="D74" s="94"/>
      <c r="E74" s="84" t="s">
        <v>15</v>
      </c>
      <c r="F74" s="94"/>
      <c r="G74" s="413" t="e">
        <f>+#REF!</f>
        <v>#REF!</v>
      </c>
      <c r="H74" s="398"/>
      <c r="I74" s="398"/>
      <c r="J74" s="398"/>
      <c r="K74" s="107" t="e">
        <f>+#REF!</f>
        <v>#REF!</v>
      </c>
      <c r="L74" s="107"/>
    </row>
    <row r="75" spans="1:13" x14ac:dyDescent="0.3">
      <c r="A75" s="411" t="s">
        <v>32</v>
      </c>
      <c r="B75" s="411"/>
      <c r="C75" s="411"/>
      <c r="D75" s="411"/>
      <c r="E75" s="411"/>
      <c r="F75" s="411"/>
      <c r="G75" s="411"/>
      <c r="H75" s="411"/>
      <c r="I75" s="411"/>
      <c r="J75" s="411"/>
      <c r="K75" s="411"/>
      <c r="L75" s="411"/>
      <c r="M75" s="411"/>
    </row>
    <row r="76" spans="1:13" x14ac:dyDescent="0.3">
      <c r="A76" s="411"/>
      <c r="B76" s="411"/>
      <c r="C76" s="411"/>
      <c r="D76" s="411"/>
      <c r="E76" s="411"/>
      <c r="F76" s="411"/>
      <c r="G76" s="411"/>
      <c r="H76" s="411"/>
      <c r="I76" s="411"/>
      <c r="J76" s="411"/>
      <c r="K76" s="411"/>
      <c r="L76" s="411"/>
      <c r="M76" s="411"/>
    </row>
    <row r="77" spans="1:13" x14ac:dyDescent="0.3">
      <c r="A77" s="411"/>
      <c r="B77" s="411"/>
      <c r="C77" s="411"/>
      <c r="D77" s="411"/>
      <c r="E77" s="411"/>
      <c r="F77" s="411"/>
      <c r="G77" s="411"/>
      <c r="H77" s="411"/>
      <c r="I77" s="411"/>
      <c r="J77" s="411"/>
      <c r="K77" s="411"/>
      <c r="L77" s="411"/>
      <c r="M77" s="411"/>
    </row>
    <row r="78" spans="1:13" x14ac:dyDescent="0.3">
      <c r="A78" s="391" t="s">
        <v>28</v>
      </c>
      <c r="B78" s="391"/>
      <c r="C78" s="391"/>
      <c r="D78" s="391"/>
      <c r="E78" s="391"/>
      <c r="F78" s="391"/>
      <c r="G78" s="391"/>
      <c r="H78" s="391"/>
      <c r="I78" s="391"/>
      <c r="J78" s="391"/>
      <c r="K78" s="391"/>
      <c r="L78" s="391"/>
      <c r="M78" s="391"/>
    </row>
    <row r="79" spans="1:13" x14ac:dyDescent="0.3">
      <c r="A79" s="391" t="s">
        <v>29</v>
      </c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  <c r="M79" s="391"/>
    </row>
    <row r="80" spans="1:13" x14ac:dyDescent="0.3">
      <c r="A80" s="392" t="s">
        <v>30</v>
      </c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</row>
    <row r="81" spans="1:13" x14ac:dyDescent="0.3">
      <c r="A81" s="391" t="s">
        <v>31</v>
      </c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  <c r="M81" s="391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9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9" t="s">
        <v>5</v>
      </c>
      <c r="I1" s="309"/>
      <c r="J1" s="309"/>
      <c r="K1" s="309"/>
      <c r="L1" s="309"/>
      <c r="M1" s="309"/>
      <c r="N1" s="309"/>
      <c r="O1" s="309"/>
      <c r="P1" s="309"/>
      <c r="Q1" s="45"/>
    </row>
    <row r="2" spans="1:17" s="3" customFormat="1" ht="38.25" customHeight="1" x14ac:dyDescent="0.3">
      <c r="B2" s="143" t="s">
        <v>43</v>
      </c>
      <c r="C2" s="144"/>
      <c r="D2" s="144"/>
      <c r="E2" s="144"/>
      <c r="F2" s="144"/>
      <c r="G2" s="144"/>
      <c r="H2" s="329" t="s">
        <v>6</v>
      </c>
      <c r="I2" s="329"/>
      <c r="J2" s="329"/>
      <c r="K2" s="329"/>
      <c r="L2" s="329"/>
      <c r="M2" s="329"/>
      <c r="N2" s="329"/>
      <c r="O2" s="329"/>
      <c r="P2" s="329"/>
      <c r="Q2" s="46"/>
    </row>
    <row r="3" spans="1:17" s="3" customFormat="1" ht="15" customHeight="1" x14ac:dyDescent="0.3">
      <c r="B3" s="145" t="s">
        <v>17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7" ht="21.75" customHeight="1" x14ac:dyDescent="0.45">
      <c r="A4" s="3"/>
      <c r="B4" s="330" t="s">
        <v>4</v>
      </c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1"/>
      <c r="O4" s="18"/>
      <c r="P4" s="16" t="s">
        <v>18</v>
      </c>
    </row>
    <row r="5" spans="1:17" ht="15" thickBot="1" x14ac:dyDescent="0.35">
      <c r="A5" s="3"/>
      <c r="B5" s="147"/>
      <c r="C5" s="147"/>
      <c r="D5" s="14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2">
        <f>+'CUARTOS DE FINAL.'!B6:B7</f>
        <v>42596</v>
      </c>
      <c r="C6" s="332" t="str">
        <f>+'CUARTOS DE FINAL.'!C6:C7</f>
        <v>LLAVE A</v>
      </c>
      <c r="D6" s="332" t="str">
        <f>+'CUARTOS DE FINAL.'!D6:D7</f>
        <v>03:00. p.m.</v>
      </c>
      <c r="E6" s="148"/>
      <c r="F6" s="149" t="str">
        <f>IF(AND(H6&lt;&gt;"",J6&lt;&gt;""),IF(H6=J6,"E",IF(H6&gt;J6,"G","P")),"")</f>
        <v>E</v>
      </c>
      <c r="G6" s="338" t="str">
        <f>+'CUARTOS DE FINAL.'!G6:G7</f>
        <v>ASTON HUILA</v>
      </c>
      <c r="H6" s="268" t="s">
        <v>36</v>
      </c>
      <c r="I6" s="270" t="s">
        <v>15</v>
      </c>
      <c r="J6" s="268" t="s">
        <v>36</v>
      </c>
      <c r="K6" s="270" t="str">
        <f>IF(AND(J6&lt;&gt;"",H6&lt;&gt;""),IF(J6=H6,"E",IF(J6&gt;H6,"G","P")),"")</f>
        <v>E</v>
      </c>
      <c r="L6" s="345" t="e">
        <f>+'CUARTOS DE FINAL.'!L6:L7</f>
        <v>#REF!</v>
      </c>
      <c r="M6" s="148"/>
      <c r="N6" s="348" t="str">
        <f>+'CUARTOS DE FINAL.'!N6:N7</f>
        <v>PALMARA</v>
      </c>
      <c r="P6" s="346" t="str">
        <f>IF(OR(F6="E",F6=""),"",IF(F6="G",G6,L6))</f>
        <v/>
      </c>
    </row>
    <row r="7" spans="1:17" ht="15" thickBot="1" x14ac:dyDescent="0.35">
      <c r="A7" s="3"/>
      <c r="B7" s="333"/>
      <c r="C7" s="333"/>
      <c r="D7" s="333"/>
      <c r="E7" s="148"/>
      <c r="F7" s="149"/>
      <c r="G7" s="338"/>
      <c r="H7" s="269"/>
      <c r="I7" s="270"/>
      <c r="J7" s="269"/>
      <c r="K7" s="270"/>
      <c r="L7" s="345"/>
      <c r="M7" s="148"/>
      <c r="N7" s="348"/>
      <c r="P7" s="347"/>
    </row>
    <row r="8" spans="1:17" ht="6.75" customHeight="1" thickBot="1" x14ac:dyDescent="0.35">
      <c r="A8" s="3"/>
      <c r="B8" s="150"/>
      <c r="C8" s="150"/>
      <c r="D8" s="151"/>
      <c r="E8" s="148"/>
      <c r="F8" s="13"/>
      <c r="G8" s="13"/>
      <c r="H8" s="13"/>
      <c r="I8" s="13"/>
      <c r="J8" s="13"/>
      <c r="K8" s="13"/>
      <c r="L8" s="148"/>
      <c r="M8" s="148"/>
      <c r="N8" s="152"/>
      <c r="P8" s="153"/>
    </row>
    <row r="9" spans="1:17" ht="15" customHeight="1" x14ac:dyDescent="0.3">
      <c r="A9" s="3"/>
      <c r="B9" s="339">
        <f>+'CUARTOS DE FINAL.'!B9:B10</f>
        <v>42596</v>
      </c>
      <c r="C9" s="339" t="str">
        <f>+'CUARTOS DE FINAL.'!C9:C10</f>
        <v>LLAVE B</v>
      </c>
      <c r="D9" s="339" t="str">
        <f>+'CUARTOS DE FINAL.'!D9:D10</f>
        <v>04:20. p.m.</v>
      </c>
      <c r="E9" s="148"/>
      <c r="F9" s="270" t="str">
        <f>IF(AND(H9&lt;&gt;"",J9&lt;&gt;""),IF(H9=J9,"E",IF(H9&gt;J9,"G","P")),"")</f>
        <v>E</v>
      </c>
      <c r="G9" s="345" t="str">
        <f>+'CUARTOS DE FINAL.'!G9:G10</f>
        <v/>
      </c>
      <c r="H9" s="268" t="s">
        <v>36</v>
      </c>
      <c r="I9" s="270" t="s">
        <v>15</v>
      </c>
      <c r="J9" s="268" t="s">
        <v>36</v>
      </c>
      <c r="K9" s="270" t="str">
        <f>IF(AND(J9&lt;&gt;"",H9&lt;&gt;""),IF(J9=H9,"E",IF(J9&gt;H9,"G","P")),"")</f>
        <v>E</v>
      </c>
      <c r="L9" s="345" t="e">
        <f>+'CUARTOS DE FINAL.'!L9:L10</f>
        <v>#REF!</v>
      </c>
      <c r="M9" s="148"/>
      <c r="N9" s="348" t="str">
        <f>+'CUARTOS DE FINAL.'!N9:N10</f>
        <v>CANCHA 2</v>
      </c>
      <c r="P9" s="346" t="str">
        <f>IF(OR(F9="E",F9=""),"",IF(F9="G",G9,L9))</f>
        <v/>
      </c>
    </row>
    <row r="10" spans="1:17" ht="15" thickBot="1" x14ac:dyDescent="0.35">
      <c r="A10" s="3"/>
      <c r="B10" s="340"/>
      <c r="C10" s="340"/>
      <c r="D10" s="340"/>
      <c r="E10" s="148"/>
      <c r="F10" s="270"/>
      <c r="G10" s="345"/>
      <c r="H10" s="269"/>
      <c r="I10" s="270"/>
      <c r="J10" s="269"/>
      <c r="K10" s="270"/>
      <c r="L10" s="345"/>
      <c r="M10" s="148"/>
      <c r="N10" s="348"/>
      <c r="P10" s="347"/>
    </row>
    <row r="11" spans="1:17" ht="8.25" customHeight="1" thickBot="1" x14ac:dyDescent="0.35">
      <c r="A11" s="3"/>
      <c r="B11" s="154"/>
      <c r="C11" s="150"/>
      <c r="D11" s="151"/>
      <c r="E11" s="148"/>
      <c r="F11" s="13"/>
      <c r="G11" s="148"/>
      <c r="H11" s="13"/>
      <c r="I11" s="13"/>
      <c r="J11" s="13"/>
      <c r="K11" s="13"/>
      <c r="L11" s="148"/>
      <c r="M11" s="148"/>
      <c r="N11" s="152"/>
      <c r="P11" s="153"/>
    </row>
    <row r="12" spans="1:17" x14ac:dyDescent="0.3">
      <c r="A12" s="3"/>
      <c r="B12" s="332">
        <f>+'CUARTOS DE FINAL.'!B12:B13</f>
        <v>42596</v>
      </c>
      <c r="C12" s="332" t="str">
        <f>+'CUARTOS DE FINAL.'!C12:C13</f>
        <v>LLAVE C</v>
      </c>
      <c r="D12" s="332" t="str">
        <f>+'CUARTOS DE FINAL.'!D12:D13</f>
        <v>03:00. p.m.</v>
      </c>
      <c r="E12" s="148"/>
      <c r="F12" s="270" t="str">
        <f>IF(AND(H12&lt;&gt;"",J12&lt;&gt;""),IF(H12=J12,"E",IF(H12&gt;J12,"G","P")),"")</f>
        <v>E</v>
      </c>
      <c r="G12" s="345" t="e">
        <f>+'CUARTOS DE FINAL.'!G12:G13</f>
        <v>#REF!</v>
      </c>
      <c r="H12" s="268" t="s">
        <v>36</v>
      </c>
      <c r="I12" s="270" t="s">
        <v>15</v>
      </c>
      <c r="J12" s="268" t="s">
        <v>36</v>
      </c>
      <c r="K12" s="270" t="str">
        <f>IF(AND(J12&lt;&gt;"",H12&lt;&gt;""),IF(J12=H12,"E",IF(J12&gt;H12,"G","P")),"")</f>
        <v>E</v>
      </c>
      <c r="L12" s="345" t="str">
        <f>+'CUARTOS DE FINAL.'!L12:L13</f>
        <v>CLUB DEPORTIVO NUEVAS GENERACIONES</v>
      </c>
      <c r="M12" s="148"/>
      <c r="N12" s="348" t="str">
        <f>+'CUARTOS DE FINAL.'!N12:N13</f>
        <v>CANCHA 2</v>
      </c>
      <c r="P12" s="346" t="str">
        <f>IF(OR(F12="E",F12=""),"",IF(F12="G",G12,L12))</f>
        <v/>
      </c>
    </row>
    <row r="13" spans="1:17" ht="15" thickBot="1" x14ac:dyDescent="0.35">
      <c r="A13" s="3"/>
      <c r="B13" s="333"/>
      <c r="C13" s="333"/>
      <c r="D13" s="333"/>
      <c r="E13" s="148"/>
      <c r="F13" s="270"/>
      <c r="G13" s="345"/>
      <c r="H13" s="269"/>
      <c r="I13" s="270"/>
      <c r="J13" s="269"/>
      <c r="K13" s="270"/>
      <c r="L13" s="345"/>
      <c r="M13" s="148"/>
      <c r="N13" s="348"/>
      <c r="P13" s="347"/>
    </row>
    <row r="14" spans="1:17" ht="8.25" customHeight="1" thickBot="1" x14ac:dyDescent="0.35">
      <c r="A14" s="3"/>
      <c r="B14" s="154"/>
      <c r="C14" s="150"/>
      <c r="D14" s="151"/>
      <c r="E14" s="148"/>
      <c r="F14" s="13"/>
      <c r="G14" s="148"/>
      <c r="H14" s="13"/>
      <c r="I14" s="13"/>
      <c r="J14" s="13"/>
      <c r="K14" s="13"/>
      <c r="L14" s="148"/>
      <c r="M14" s="148"/>
      <c r="N14" s="152"/>
      <c r="P14" s="153"/>
    </row>
    <row r="15" spans="1:17" x14ac:dyDescent="0.3">
      <c r="A15" s="3"/>
      <c r="B15" s="339">
        <f>+'CUARTOS DE FINAL.'!B15:B16</f>
        <v>42596</v>
      </c>
      <c r="C15" s="339" t="str">
        <f>+'CUARTOS DE FINAL.'!C15:C16</f>
        <v>LLAVE D</v>
      </c>
      <c r="D15" s="339" t="str">
        <f>+'CUARTOS DE FINAL.'!D15:D16</f>
        <v>04:20. p.m.</v>
      </c>
      <c r="E15" s="148"/>
      <c r="F15" s="270" t="str">
        <f>IF(AND(H15&lt;&gt;"",J15&lt;&gt;""),IF(H15=J15,"E",IF(H15&gt;J15,"G","P")),"")</f>
        <v>E</v>
      </c>
      <c r="G15" s="345" t="e">
        <f>+'CUARTOS DE FINAL.'!G15:G16</f>
        <v>#REF!</v>
      </c>
      <c r="H15" s="268" t="s">
        <v>36</v>
      </c>
      <c r="I15" s="270" t="s">
        <v>15</v>
      </c>
      <c r="J15" s="268" t="s">
        <v>36</v>
      </c>
      <c r="K15" s="270" t="str">
        <f>IF(AND(J15&lt;&gt;"",H15&lt;&gt;""),IF(J15=H15,"E",IF(J15&gt;H15,"G","P")),"")</f>
        <v>E</v>
      </c>
      <c r="L15" s="345" t="str">
        <f>+'CUARTOS DE FINAL.'!L15:L16</f>
        <v/>
      </c>
      <c r="M15" s="148"/>
      <c r="N15" s="348" t="str">
        <f>+'CUARTOS DE FINAL.'!N15:N16</f>
        <v>PALMARA</v>
      </c>
      <c r="P15" s="346" t="str">
        <f>IF(OR(F15="E",F15=""),"",IF(F15="G",G15,L15))</f>
        <v/>
      </c>
    </row>
    <row r="16" spans="1:17" ht="15" thickBot="1" x14ac:dyDescent="0.35">
      <c r="A16" s="3"/>
      <c r="B16" s="340"/>
      <c r="C16" s="340"/>
      <c r="D16" s="340"/>
      <c r="E16" s="148"/>
      <c r="F16" s="270"/>
      <c r="G16" s="345"/>
      <c r="H16" s="269"/>
      <c r="I16" s="270"/>
      <c r="J16" s="269"/>
      <c r="K16" s="270"/>
      <c r="L16" s="345"/>
      <c r="M16" s="10"/>
      <c r="N16" s="348"/>
      <c r="P16" s="347"/>
    </row>
    <row r="17" spans="2:7" s="3" customFormat="1" ht="7.5" customHeight="1" x14ac:dyDescent="0.3"/>
    <row r="18" spans="2:7" s="3" customFormat="1" x14ac:dyDescent="0.3">
      <c r="B18" s="349" t="s">
        <v>100</v>
      </c>
      <c r="C18" s="349"/>
      <c r="D18" s="349"/>
      <c r="E18" s="349"/>
      <c r="F18" s="349"/>
      <c r="G18" s="349"/>
    </row>
    <row r="19" spans="2:7" s="3" customFormat="1" x14ac:dyDescent="0.3">
      <c r="B19" s="349"/>
      <c r="C19" s="349"/>
      <c r="D19" s="349"/>
      <c r="E19" s="349"/>
      <c r="F19" s="349"/>
      <c r="G19" s="349"/>
    </row>
    <row r="20" spans="2:7" s="3" customFormat="1" x14ac:dyDescent="0.3">
      <c r="B20" s="349"/>
      <c r="C20" s="349"/>
      <c r="D20" s="349"/>
      <c r="E20" s="349"/>
      <c r="F20" s="349"/>
      <c r="G20" s="349"/>
    </row>
    <row r="21" spans="2:7" s="3" customFormat="1" x14ac:dyDescent="0.3">
      <c r="B21" s="350" t="s">
        <v>101</v>
      </c>
      <c r="C21" s="350"/>
      <c r="D21" s="350"/>
      <c r="E21" s="350"/>
      <c r="F21" s="350"/>
      <c r="G21" s="350"/>
    </row>
    <row r="22" spans="2:7" s="3" customFormat="1" x14ac:dyDescent="0.3">
      <c r="B22" s="350"/>
      <c r="C22" s="350"/>
      <c r="D22" s="350"/>
      <c r="E22" s="350"/>
      <c r="F22" s="350"/>
      <c r="G22" s="350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09" t="s">
        <v>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</row>
    <row r="2" spans="1:19" s="3" customFormat="1" ht="34.799999999999997" x14ac:dyDescent="0.3">
      <c r="A2" s="310" t="s">
        <v>6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64"/>
      <c r="R2" s="64"/>
      <c r="S2" s="64"/>
    </row>
    <row r="3" spans="1:19" s="3" customFormat="1" ht="38.25" customHeight="1" x14ac:dyDescent="0.3">
      <c r="A3" s="464" t="s">
        <v>19</v>
      </c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</row>
    <row r="4" spans="1:19" s="3" customFormat="1" x14ac:dyDescent="0.3">
      <c r="B4" s="48" t="s">
        <v>17</v>
      </c>
      <c r="N4" s="48"/>
    </row>
    <row r="5" spans="1:19" s="3" customFormat="1" ht="23.4" x14ac:dyDescent="0.45">
      <c r="A5" s="18"/>
      <c r="B5" s="361" t="s">
        <v>20</v>
      </c>
      <c r="C5" s="362"/>
      <c r="D5" s="362"/>
      <c r="E5" s="362"/>
      <c r="F5" s="315"/>
      <c r="G5" s="315"/>
      <c r="H5" s="315"/>
      <c r="I5" s="315"/>
      <c r="J5" s="315"/>
      <c r="K5" s="315"/>
      <c r="L5" s="315"/>
      <c r="M5" s="315"/>
      <c r="N5" s="315"/>
      <c r="O5" s="363"/>
      <c r="P5" s="18"/>
      <c r="Q5" s="16" t="s">
        <v>18</v>
      </c>
      <c r="S5"/>
    </row>
    <row r="6" spans="1:19" s="3" customFormat="1" x14ac:dyDescent="0.3">
      <c r="B6" s="6"/>
      <c r="C6" s="8"/>
      <c r="D6" s="8"/>
      <c r="E6" s="36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460">
        <f>+DEFINICION!B9</f>
        <v>42814</v>
      </c>
      <c r="C7" s="461" t="str">
        <f>+DEFINICION!C9</f>
        <v>LLAVE 1</v>
      </c>
      <c r="D7" s="461" t="str">
        <f>+DEFINICION!D9</f>
        <v>07:00. a.m.</v>
      </c>
      <c r="E7" s="457" t="str">
        <f>+DEFINICION!F9</f>
        <v>ASTON HUILA</v>
      </c>
      <c r="F7" s="457"/>
      <c r="G7" s="462" t="str">
        <f>IF(AND(I7&lt;&gt;"",K7&lt;&gt;""),IF(I7=K7,"E",IF(I7&gt;K7,"G","P")),"")</f>
        <v>G</v>
      </c>
      <c r="H7" s="81"/>
      <c r="I7" s="454">
        <f>+DEFINICION!J9</f>
        <v>2</v>
      </c>
      <c r="J7" s="463" t="s">
        <v>15</v>
      </c>
      <c r="K7" s="454">
        <f>+DEFINICION!L9</f>
        <v>0</v>
      </c>
      <c r="L7" s="456" t="str">
        <f>IF(AND(K7&lt;&gt;"",I7&lt;&gt;""),IF(K7=I7,"E",IF(K7&gt;I7,"G","P")),"")</f>
        <v>P</v>
      </c>
      <c r="M7" s="457" t="str">
        <f>+DEFINICION!O9</f>
        <v/>
      </c>
      <c r="N7" s="82" t="s">
        <v>27</v>
      </c>
      <c r="O7" s="458" t="str">
        <f>+DEFINICION!Q9</f>
        <v>CANCHA 2</v>
      </c>
      <c r="P7" s="83"/>
      <c r="Q7" s="459" t="str">
        <f>IF(OR(G7="E",G7=""),"",IF(G7="G",E7,M7))</f>
        <v>ASTON HUILA</v>
      </c>
      <c r="S7" s="358" t="str">
        <f>IF(OR(G7="E",G7=""),"",IF(G7="P",E7,M7))</f>
        <v/>
      </c>
    </row>
    <row r="8" spans="1:19" s="3" customFormat="1" ht="17.399999999999999" x14ac:dyDescent="0.35">
      <c r="B8" s="460"/>
      <c r="C8" s="461"/>
      <c r="D8" s="461"/>
      <c r="E8" s="457"/>
      <c r="F8" s="457"/>
      <c r="G8" s="462"/>
      <c r="H8" s="81"/>
      <c r="I8" s="455"/>
      <c r="J8" s="463"/>
      <c r="K8" s="455"/>
      <c r="L8" s="456"/>
      <c r="M8" s="457"/>
      <c r="N8" s="82"/>
      <c r="O8" s="458"/>
      <c r="P8" s="83"/>
      <c r="Q8" s="459"/>
      <c r="S8" s="358"/>
    </row>
    <row r="9" spans="1:19" s="3" customFormat="1" ht="17.399999999999999" x14ac:dyDescent="0.35">
      <c r="B9" s="122"/>
      <c r="C9" s="123"/>
      <c r="D9" s="84"/>
      <c r="E9" s="84"/>
      <c r="F9" s="84"/>
      <c r="G9" s="84"/>
      <c r="H9" s="84"/>
      <c r="I9" s="84"/>
      <c r="J9" s="84"/>
      <c r="K9" s="84"/>
      <c r="L9" s="84"/>
      <c r="M9" s="84"/>
      <c r="N9" s="85"/>
      <c r="O9" s="86"/>
      <c r="P9" s="83"/>
      <c r="Q9" s="87"/>
      <c r="S9"/>
    </row>
    <row r="10" spans="1:19" s="3" customFormat="1" ht="17.399999999999999" x14ac:dyDescent="0.35">
      <c r="B10" s="460">
        <f>+DEFINICION!B12</f>
        <v>42814</v>
      </c>
      <c r="C10" s="461" t="str">
        <f>+DEFINICION!C12</f>
        <v>LLAVE 2</v>
      </c>
      <c r="D10" s="461" t="str">
        <f>+DEFINICION!D12</f>
        <v>08:00. a.m.</v>
      </c>
      <c r="E10" s="457" t="str">
        <f>+DEFINICION!F12</f>
        <v/>
      </c>
      <c r="F10" s="457"/>
      <c r="G10" s="462" t="str">
        <f>IF(AND(I10&lt;&gt;"",K10&lt;&gt;""),IF(I10=K10,"E",IF(I10&gt;K10,"G","P")),"")</f>
        <v>G</v>
      </c>
      <c r="H10" s="81"/>
      <c r="I10" s="454">
        <f>+DEFINICION!J12</f>
        <v>1</v>
      </c>
      <c r="J10" s="463" t="s">
        <v>15</v>
      </c>
      <c r="K10" s="454">
        <f>+DEFINICION!L12</f>
        <v>0</v>
      </c>
      <c r="L10" s="456" t="str">
        <f>IF(AND(K10&lt;&gt;"",I10&lt;&gt;""),IF(K10=I10,"E",IF(K10&gt;I10,"G","P")),"")</f>
        <v>P</v>
      </c>
      <c r="M10" s="457" t="str">
        <f>+DEFINICION!O12</f>
        <v>CLUB DEPORTIVO NUEVAS GENERACIONES</v>
      </c>
      <c r="N10" s="88" t="s">
        <v>27</v>
      </c>
      <c r="O10" s="458" t="str">
        <f>+DEFINICION!Q12</f>
        <v>CANCHA 2</v>
      </c>
      <c r="P10" s="83"/>
      <c r="Q10" s="459" t="str">
        <f>IF(OR(G10="E",G10=""),"",IF(G10="G",E10,M10))</f>
        <v/>
      </c>
      <c r="S10" s="358" t="str">
        <f>IF(OR(G10="E",G10=""),"",IF(G10="P",E10,M10))</f>
        <v>CLUB DEPORTIVO NUEVAS GENERACIONES</v>
      </c>
    </row>
    <row r="11" spans="1:19" s="3" customFormat="1" ht="17.399999999999999" x14ac:dyDescent="0.35">
      <c r="B11" s="460"/>
      <c r="C11" s="461"/>
      <c r="D11" s="461"/>
      <c r="E11" s="457"/>
      <c r="F11" s="457"/>
      <c r="G11" s="462"/>
      <c r="H11" s="81"/>
      <c r="I11" s="455"/>
      <c r="J11" s="463"/>
      <c r="K11" s="455"/>
      <c r="L11" s="456"/>
      <c r="M11" s="457"/>
      <c r="N11" s="88"/>
      <c r="O11" s="458"/>
      <c r="P11" s="83"/>
      <c r="Q11" s="459"/>
      <c r="S11" s="358"/>
    </row>
    <row r="12" spans="1:19" s="3" customFormat="1" x14ac:dyDescent="0.3">
      <c r="B12" s="38"/>
      <c r="C12" s="41"/>
      <c r="D12" s="41"/>
      <c r="E12" s="41"/>
      <c r="F12" s="41"/>
      <c r="G12" s="42"/>
      <c r="H12" s="30"/>
      <c r="I12" s="30"/>
      <c r="J12" s="30"/>
      <c r="K12" s="30"/>
      <c r="L12" s="30"/>
      <c r="M12" s="30"/>
      <c r="N12" s="30"/>
      <c r="O12" s="29"/>
      <c r="Q12"/>
      <c r="S12"/>
    </row>
    <row r="13" spans="1:19" s="3" customFormat="1" x14ac:dyDescent="0.3"/>
    <row r="14" spans="1:19" s="3" customFormat="1" ht="24.75" customHeight="1" x14ac:dyDescent="0.45">
      <c r="C14" s="465">
        <f>+'GRUPOS INFANTIL'!C3</f>
        <v>0</v>
      </c>
      <c r="D14" s="465"/>
      <c r="E14" s="465"/>
      <c r="F14" s="465"/>
      <c r="J14" s="98" t="str">
        <f>+'GRUPOS INFANTIL'!C4</f>
        <v>NACIDOS 2017 2018</v>
      </c>
    </row>
    <row r="15" spans="1:19" s="3" customFormat="1" x14ac:dyDescent="0.3">
      <c r="C15" s="465"/>
      <c r="D15" s="465"/>
      <c r="E15" s="465"/>
      <c r="F15" s="465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09" t="s">
        <v>5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</row>
    <row r="2" spans="1:18" ht="34.799999999999997" x14ac:dyDescent="0.3">
      <c r="A2" s="310" t="s">
        <v>6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64"/>
      <c r="R2" s="64"/>
    </row>
    <row r="3" spans="1:18" ht="37.5" customHeight="1" x14ac:dyDescent="0.3">
      <c r="A3" s="464" t="s">
        <v>26</v>
      </c>
      <c r="B3" s="464"/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"/>
      <c r="R3" s="46"/>
    </row>
    <row r="4" spans="1:18" ht="15" customHeight="1" x14ac:dyDescent="0.3">
      <c r="B4" s="48" t="s">
        <v>17</v>
      </c>
      <c r="C4"/>
      <c r="D4"/>
      <c r="E4"/>
      <c r="F4"/>
      <c r="G4"/>
      <c r="H4"/>
      <c r="I4"/>
      <c r="J4"/>
      <c r="K4" s="47"/>
      <c r="L4" s="47"/>
      <c r="M4" s="47"/>
      <c r="N4" s="47"/>
      <c r="O4" s="47"/>
      <c r="P4" s="47"/>
      <c r="Q4" s="47"/>
      <c r="R4" s="47"/>
    </row>
    <row r="5" spans="1:18" ht="18" x14ac:dyDescent="0.3">
      <c r="B5" s="387" t="s">
        <v>21</v>
      </c>
      <c r="C5" s="388"/>
      <c r="D5" s="388"/>
      <c r="E5" s="388"/>
      <c r="F5" s="389"/>
      <c r="G5" s="389"/>
      <c r="H5" s="389"/>
      <c r="I5" s="389"/>
      <c r="J5" s="389"/>
      <c r="K5" s="389"/>
      <c r="L5" s="389"/>
      <c r="M5" s="389"/>
      <c r="N5" s="389"/>
      <c r="O5" s="390"/>
      <c r="Q5" s="33" t="s">
        <v>22</v>
      </c>
    </row>
    <row r="6" spans="1:18" ht="15" customHeight="1" x14ac:dyDescent="0.3">
      <c r="B6" s="6"/>
      <c r="C6" s="44"/>
      <c r="D6" s="7"/>
      <c r="E6" s="40"/>
      <c r="F6" s="7"/>
      <c r="G6" s="7"/>
      <c r="H6" s="7"/>
      <c r="I6" s="7"/>
      <c r="J6" s="7"/>
      <c r="K6" s="7"/>
      <c r="L6" s="7"/>
      <c r="M6" s="7"/>
      <c r="N6" s="7"/>
      <c r="O6" s="6"/>
      <c r="Q6" s="384" t="str">
        <f>IF(OR(G7="E",G7=""),"",IF(G7="G",H7,M7))</f>
        <v/>
      </c>
    </row>
    <row r="7" spans="1:18" ht="17.25" customHeight="1" x14ac:dyDescent="0.35">
      <c r="B7" s="466">
        <f>+FINAL!B9</f>
        <v>42814</v>
      </c>
      <c r="C7" s="121"/>
      <c r="D7" s="467" t="str">
        <f>+FINAL!D9</f>
        <v>12:30. p.m.</v>
      </c>
      <c r="E7" s="105"/>
      <c r="F7" s="83"/>
      <c r="G7" s="456" t="str">
        <f>IF(AND(I7&lt;&gt;"",K7&lt;&gt;""),IF(I7=K7,"E",IF(I7&gt;K7,"G","P")),"")</f>
        <v>E</v>
      </c>
      <c r="H7" s="468" t="str">
        <f>+DEFINICION!U9</f>
        <v/>
      </c>
      <c r="I7" s="454" t="str">
        <f>+FINAL!I9</f>
        <v>.</v>
      </c>
      <c r="J7" s="469" t="s">
        <v>15</v>
      </c>
      <c r="K7" s="454" t="str">
        <f>+FINAL!K9</f>
        <v>.</v>
      </c>
      <c r="L7" s="456" t="str">
        <f>IF(AND(K7&lt;&gt;"",I7&lt;&gt;""),IF(K7=I7,"E",IF(K7&gt;I7,"G","P")),"")</f>
        <v>E</v>
      </c>
      <c r="M7" s="468" t="str">
        <f>+DEFINICION!U12</f>
        <v>CLUB DEPORTIVO NUEVAS GENERACIONES</v>
      </c>
      <c r="N7" s="82"/>
      <c r="O7" s="458" t="str">
        <f>+FINAL!O9</f>
        <v>CANCHA 2</v>
      </c>
      <c r="Q7" s="385"/>
    </row>
    <row r="8" spans="1:18" ht="17.25" customHeight="1" x14ac:dyDescent="0.35">
      <c r="B8" s="466"/>
      <c r="C8" s="121"/>
      <c r="D8" s="467"/>
      <c r="E8" s="105"/>
      <c r="F8" s="83"/>
      <c r="G8" s="456"/>
      <c r="H8" s="468"/>
      <c r="I8" s="455"/>
      <c r="J8" s="469"/>
      <c r="K8" s="455"/>
      <c r="L8" s="456"/>
      <c r="M8" s="468"/>
      <c r="N8" s="82"/>
      <c r="O8" s="458"/>
      <c r="Q8" s="385"/>
    </row>
    <row r="9" spans="1:18" x14ac:dyDescent="0.3">
      <c r="B9" s="29"/>
      <c r="C9" s="30"/>
      <c r="D9" s="30"/>
      <c r="E9" s="30"/>
      <c r="F9" s="30"/>
      <c r="G9" s="30"/>
      <c r="H9" s="30"/>
      <c r="I9" s="30"/>
      <c r="J9" s="30"/>
      <c r="K9" s="39"/>
      <c r="L9" s="30"/>
      <c r="M9" s="30"/>
      <c r="N9" s="30"/>
      <c r="O9" s="29"/>
      <c r="Q9" s="386"/>
    </row>
    <row r="11" spans="1:18" ht="21" x14ac:dyDescent="0.3">
      <c r="B11" s="373" t="s">
        <v>23</v>
      </c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5"/>
      <c r="Q11" s="34" t="s">
        <v>24</v>
      </c>
    </row>
    <row r="12" spans="1:18" ht="15" customHeight="1" x14ac:dyDescent="0.3">
      <c r="B12" s="44"/>
      <c r="C12" s="4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381" t="str">
        <f>IF(OR(G13="E",G13=""),"",IF(G13="P",H13,M13))</f>
        <v/>
      </c>
    </row>
    <row r="13" spans="1:18" ht="17.25" customHeight="1" x14ac:dyDescent="0.35">
      <c r="B13" s="466">
        <f>+FINAL!B15</f>
        <v>42814</v>
      </c>
      <c r="C13" s="121"/>
      <c r="D13" s="467" t="str">
        <f>+FINAL!D15</f>
        <v>01:40. p.m.</v>
      </c>
      <c r="E13" s="106"/>
      <c r="F13" s="83"/>
      <c r="G13" s="456" t="str">
        <f>IF(AND(I13&lt;&gt;"",K13&lt;&gt;""),IF(I13=K13,"E",IF(I13&gt;K13,"G","P")),"")</f>
        <v>E</v>
      </c>
      <c r="H13" s="468" t="str">
        <f>+DEFINICION!S9</f>
        <v>ASTON HUILA</v>
      </c>
      <c r="I13" s="454" t="str">
        <f>+FINAL!I15</f>
        <v>,</v>
      </c>
      <c r="J13" s="469" t="s">
        <v>15</v>
      </c>
      <c r="K13" s="454" t="str">
        <f>+FINAL!K15</f>
        <v>,</v>
      </c>
      <c r="L13" s="456" t="str">
        <f>IF(AND(K13&lt;&gt;"",I13&lt;&gt;""),IF(K13=I13,"E",IF(K13&gt;I13,"G","P")),"")</f>
        <v>E</v>
      </c>
      <c r="M13" s="468" t="str">
        <f>+DEFINICION!S12</f>
        <v/>
      </c>
      <c r="N13" s="471"/>
      <c r="O13" s="458" t="str">
        <f>+FINAL!O15</f>
        <v>CANCHA 2</v>
      </c>
      <c r="Q13" s="382"/>
    </row>
    <row r="14" spans="1:18" ht="17.25" customHeight="1" x14ac:dyDescent="0.35">
      <c r="B14" s="466"/>
      <c r="C14" s="121"/>
      <c r="D14" s="467"/>
      <c r="E14" s="106"/>
      <c r="F14" s="83"/>
      <c r="G14" s="456"/>
      <c r="H14" s="468"/>
      <c r="I14" s="455"/>
      <c r="J14" s="469"/>
      <c r="K14" s="455"/>
      <c r="L14" s="456"/>
      <c r="M14" s="468"/>
      <c r="N14" s="471"/>
      <c r="O14" s="458"/>
      <c r="Q14" s="382"/>
    </row>
    <row r="15" spans="1:18" x14ac:dyDescent="0.3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  <c r="Q15" s="383"/>
    </row>
    <row r="16" spans="1:18" ht="10.5" customHeight="1" x14ac:dyDescent="0.3"/>
    <row r="17" spans="2:18" ht="15" customHeight="1" x14ac:dyDescent="0.3">
      <c r="B17" s="378" t="s">
        <v>25</v>
      </c>
      <c r="C17" s="378"/>
      <c r="D17" s="378"/>
      <c r="E17" s="378"/>
      <c r="F17" s="378"/>
      <c r="G17" s="378"/>
      <c r="H17" s="378"/>
      <c r="I17" s="378"/>
      <c r="J17" s="378"/>
      <c r="K17" s="378"/>
      <c r="L17" s="378"/>
      <c r="M17" s="378"/>
      <c r="N17" s="378"/>
      <c r="O17" s="378"/>
      <c r="P17" s="378"/>
      <c r="Q17" s="378"/>
    </row>
    <row r="18" spans="2:18" ht="15" customHeight="1" x14ac:dyDescent="0.3"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</row>
    <row r="19" spans="2:18" ht="15" customHeight="1" x14ac:dyDescent="0.3">
      <c r="B19" s="470" t="str">
        <f>IF(OR(G13="E",G13=""),"",IF(G13="G",H13,M13))</f>
        <v/>
      </c>
      <c r="C19" s="470"/>
      <c r="D19" s="470"/>
      <c r="E19" s="470"/>
      <c r="F19" s="470"/>
      <c r="G19" s="470"/>
      <c r="H19" s="470"/>
      <c r="I19" s="470"/>
      <c r="J19" s="470"/>
      <c r="K19" s="470"/>
      <c r="L19" s="470"/>
      <c r="M19" s="470"/>
      <c r="N19" s="470"/>
      <c r="O19" s="470"/>
      <c r="P19" s="470"/>
      <c r="Q19" s="470"/>
    </row>
    <row r="20" spans="2:18" ht="25.5" customHeight="1" x14ac:dyDescent="0.3">
      <c r="B20" s="470"/>
      <c r="C20" s="470"/>
      <c r="D20" s="470"/>
      <c r="E20" s="470"/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</row>
    <row r="21" spans="2:18" ht="3.75" customHeight="1" x14ac:dyDescent="0.85">
      <c r="D21" s="49"/>
      <c r="E21" s="49"/>
      <c r="F21" s="49"/>
      <c r="J21" s="71"/>
      <c r="O21" s="71"/>
    </row>
    <row r="22" spans="2:18" ht="25.5" customHeight="1" x14ac:dyDescent="0.45">
      <c r="C22" s="465">
        <f>+'GRUPOS INFANTIL'!C3</f>
        <v>0</v>
      </c>
      <c r="D22" s="465"/>
      <c r="E22" s="465"/>
      <c r="F22" s="465"/>
      <c r="G22" s="465"/>
      <c r="H22" s="465"/>
      <c r="I22" s="465"/>
      <c r="J22" s="465"/>
      <c r="K22" s="465"/>
      <c r="O22" s="98" t="str">
        <f>+'GRUPOS INFANTIL'!C4</f>
        <v>NACIDOS 2017 2018</v>
      </c>
      <c r="Q22" s="46"/>
      <c r="R22" s="46"/>
    </row>
    <row r="23" spans="2:18" ht="15" customHeight="1" x14ac:dyDescent="0.3">
      <c r="C23" s="465"/>
      <c r="D23" s="465"/>
      <c r="E23" s="465"/>
      <c r="F23" s="465"/>
      <c r="G23" s="465"/>
      <c r="H23" s="465"/>
      <c r="I23" s="465"/>
      <c r="J23" s="465"/>
      <c r="K23" s="465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75" t="s">
        <v>102</v>
      </c>
      <c r="D1" s="475"/>
      <c r="E1" s="475"/>
      <c r="F1" s="475"/>
      <c r="G1" s="475"/>
      <c r="H1" s="475"/>
      <c r="I1" s="475"/>
    </row>
    <row r="2" spans="2:9" ht="17.399999999999999" x14ac:dyDescent="0.3">
      <c r="C2" s="476" t="s">
        <v>6</v>
      </c>
      <c r="D2" s="476"/>
      <c r="E2" s="476"/>
      <c r="F2" s="476"/>
      <c r="G2" s="476"/>
      <c r="H2" s="476"/>
      <c r="I2" s="476"/>
    </row>
    <row r="4" spans="2:9" ht="15.6" x14ac:dyDescent="0.3">
      <c r="C4" s="477" t="s">
        <v>46</v>
      </c>
      <c r="D4" s="477"/>
      <c r="E4" s="477"/>
      <c r="F4" s="477"/>
      <c r="G4" s="477"/>
      <c r="H4" s="477"/>
      <c r="I4" s="477"/>
    </row>
    <row r="5" spans="2:9" ht="16.2" thickBot="1" x14ac:dyDescent="0.35">
      <c r="C5" s="155"/>
      <c r="D5" s="155"/>
      <c r="E5" s="155"/>
      <c r="F5" s="155"/>
      <c r="G5" s="155"/>
      <c r="H5" s="155"/>
      <c r="I5" s="155"/>
    </row>
    <row r="6" spans="2:9" ht="15.6" x14ac:dyDescent="0.3">
      <c r="C6" s="156" t="s">
        <v>0</v>
      </c>
      <c r="D6" s="157"/>
      <c r="E6" s="158" t="s">
        <v>1</v>
      </c>
      <c r="F6" s="159"/>
      <c r="G6" s="160" t="s">
        <v>39</v>
      </c>
      <c r="H6" s="161"/>
      <c r="I6" s="162" t="s">
        <v>40</v>
      </c>
    </row>
    <row r="7" spans="2:9" ht="18" x14ac:dyDescent="0.3">
      <c r="C7" s="116">
        <v>1</v>
      </c>
      <c r="D7" s="163"/>
      <c r="E7" s="116">
        <v>5</v>
      </c>
      <c r="G7" s="116">
        <v>9</v>
      </c>
      <c r="H7" s="35"/>
      <c r="I7" s="116">
        <v>13</v>
      </c>
    </row>
    <row r="8" spans="2:9" ht="18" x14ac:dyDescent="0.3">
      <c r="C8" s="116">
        <v>2</v>
      </c>
      <c r="D8" s="163"/>
      <c r="E8" s="116">
        <v>6</v>
      </c>
      <c r="G8" s="116">
        <v>10</v>
      </c>
      <c r="H8" s="35"/>
      <c r="I8" s="116">
        <v>14</v>
      </c>
    </row>
    <row r="9" spans="2:9" ht="18" x14ac:dyDescent="0.3">
      <c r="C9" s="116">
        <v>3</v>
      </c>
      <c r="D9" s="163"/>
      <c r="E9" s="116">
        <v>7</v>
      </c>
      <c r="G9" s="116">
        <v>11</v>
      </c>
      <c r="H9" s="35"/>
      <c r="I9" s="116">
        <v>15</v>
      </c>
    </row>
    <row r="10" spans="2:9" ht="18" x14ac:dyDescent="0.3">
      <c r="C10" s="116">
        <v>4</v>
      </c>
      <c r="D10" s="163"/>
      <c r="E10" s="116">
        <v>8</v>
      </c>
      <c r="G10" s="116">
        <v>12</v>
      </c>
      <c r="H10" s="35"/>
      <c r="I10" s="116">
        <v>16</v>
      </c>
    </row>
    <row r="11" spans="2:9" x14ac:dyDescent="0.3">
      <c r="B11" s="478"/>
      <c r="C11" s="478"/>
      <c r="D11" s="478"/>
      <c r="E11" s="478"/>
      <c r="F11" s="478"/>
      <c r="G11" s="478"/>
      <c r="H11" s="478"/>
      <c r="I11" s="478"/>
    </row>
    <row r="12" spans="2:9" ht="18" x14ac:dyDescent="0.3">
      <c r="B12" s="479" t="s">
        <v>43</v>
      </c>
      <c r="C12" s="479"/>
      <c r="D12" s="479"/>
      <c r="E12" s="479"/>
      <c r="F12" s="479"/>
      <c r="G12" s="479"/>
      <c r="H12" s="479"/>
      <c r="I12" s="479"/>
    </row>
    <row r="13" spans="2:9" ht="18.600000000000001" thickBot="1" x14ac:dyDescent="0.4">
      <c r="B13" s="164"/>
      <c r="C13" s="164"/>
      <c r="D13" s="164"/>
      <c r="E13" s="164"/>
      <c r="F13" s="164"/>
      <c r="G13" s="164"/>
      <c r="H13" s="164"/>
      <c r="I13" s="164"/>
    </row>
    <row r="14" spans="2:9" ht="15" thickBot="1" x14ac:dyDescent="0.35">
      <c r="B14" s="165" t="s">
        <v>2</v>
      </c>
      <c r="C14" s="472" t="s">
        <v>47</v>
      </c>
      <c r="D14" s="473"/>
      <c r="E14" s="473"/>
      <c r="F14" s="166" t="s">
        <v>48</v>
      </c>
      <c r="G14" s="472" t="s">
        <v>53</v>
      </c>
      <c r="H14" s="473"/>
      <c r="I14" s="474"/>
    </row>
    <row r="15" spans="2:9" ht="7.5" customHeight="1" thickBot="1" x14ac:dyDescent="0.35">
      <c r="F15" s="167"/>
    </row>
    <row r="16" spans="2:9" ht="15" thickBot="1" x14ac:dyDescent="0.35">
      <c r="B16" s="165" t="s">
        <v>3</v>
      </c>
      <c r="C16" s="472" t="s">
        <v>50</v>
      </c>
      <c r="D16" s="473"/>
      <c r="E16" s="473"/>
      <c r="F16" s="166" t="s">
        <v>48</v>
      </c>
      <c r="G16" s="472" t="s">
        <v>55</v>
      </c>
      <c r="H16" s="473"/>
      <c r="I16" s="474"/>
    </row>
    <row r="18" spans="2:9" ht="15" thickBot="1" x14ac:dyDescent="0.35">
      <c r="B18" s="165" t="s">
        <v>59</v>
      </c>
      <c r="C18" s="472" t="s">
        <v>49</v>
      </c>
      <c r="D18" s="473"/>
      <c r="E18" s="473"/>
      <c r="F18" s="166" t="s">
        <v>48</v>
      </c>
      <c r="G18" s="472" t="s">
        <v>52</v>
      </c>
      <c r="H18" s="473"/>
      <c r="I18" s="474"/>
    </row>
    <row r="19" spans="2:9" ht="7.5" customHeight="1" thickBot="1" x14ac:dyDescent="0.35"/>
    <row r="20" spans="2:9" ht="15" thickBot="1" x14ac:dyDescent="0.35">
      <c r="B20" s="165" t="s">
        <v>60</v>
      </c>
      <c r="C20" s="472" t="s">
        <v>51</v>
      </c>
      <c r="D20" s="473"/>
      <c r="E20" s="473"/>
      <c r="F20" s="166" t="s">
        <v>48</v>
      </c>
      <c r="G20" s="472" t="s">
        <v>54</v>
      </c>
      <c r="H20" s="473"/>
      <c r="I20" s="474"/>
    </row>
    <row r="22" spans="2:9" ht="18" x14ac:dyDescent="0.35">
      <c r="B22" s="480" t="s">
        <v>58</v>
      </c>
      <c r="C22" s="480"/>
      <c r="D22" s="480"/>
      <c r="E22" s="480"/>
      <c r="F22" s="480"/>
      <c r="G22" s="480"/>
      <c r="H22" s="480"/>
      <c r="I22" s="480"/>
    </row>
    <row r="23" spans="2:9" ht="3.75" customHeight="1" thickBot="1" x14ac:dyDescent="0.35"/>
    <row r="24" spans="2:9" ht="15" thickBot="1" x14ac:dyDescent="0.35">
      <c r="B24" s="165" t="s">
        <v>44</v>
      </c>
      <c r="C24" s="472" t="s">
        <v>56</v>
      </c>
      <c r="D24" s="473"/>
      <c r="E24" s="474"/>
      <c r="F24" s="166" t="s">
        <v>48</v>
      </c>
      <c r="G24" s="472" t="s">
        <v>57</v>
      </c>
      <c r="H24" s="473"/>
      <c r="I24" s="474"/>
    </row>
    <row r="25" spans="2:9" ht="6.75" customHeight="1" thickBot="1" x14ac:dyDescent="0.35"/>
    <row r="26" spans="2:9" ht="15" thickBot="1" x14ac:dyDescent="0.35">
      <c r="B26" s="165" t="s">
        <v>45</v>
      </c>
      <c r="C26" s="472" t="s">
        <v>61</v>
      </c>
      <c r="D26" s="473"/>
      <c r="E26" s="474"/>
      <c r="F26" s="166" t="s">
        <v>48</v>
      </c>
      <c r="G26" s="472" t="s">
        <v>62</v>
      </c>
      <c r="H26" s="473"/>
      <c r="I26" s="474"/>
    </row>
    <row r="28" spans="2:9" ht="18" x14ac:dyDescent="0.3">
      <c r="C28" s="479" t="s">
        <v>64</v>
      </c>
      <c r="D28" s="479"/>
      <c r="E28" s="479"/>
      <c r="F28" s="479"/>
      <c r="G28" s="479"/>
      <c r="H28" s="479"/>
      <c r="I28" s="479"/>
    </row>
    <row r="29" spans="2:9" ht="7.5" customHeight="1" thickBot="1" x14ac:dyDescent="0.35"/>
    <row r="30" spans="2:9" ht="15" thickBot="1" x14ac:dyDescent="0.35">
      <c r="C30" s="472" t="s">
        <v>65</v>
      </c>
      <c r="D30" s="473"/>
      <c r="E30" s="474"/>
      <c r="F30" s="166" t="s">
        <v>48</v>
      </c>
      <c r="G30" s="472" t="s">
        <v>66</v>
      </c>
      <c r="H30" s="473"/>
      <c r="I30" s="474"/>
    </row>
    <row r="32" spans="2:9" ht="18" x14ac:dyDescent="0.3">
      <c r="C32" s="479" t="s">
        <v>63</v>
      </c>
      <c r="D32" s="479"/>
      <c r="E32" s="479"/>
      <c r="F32" s="479"/>
      <c r="G32" s="479"/>
      <c r="H32" s="479"/>
      <c r="I32" s="479"/>
    </row>
    <row r="34" spans="3:9" ht="15" thickBot="1" x14ac:dyDescent="0.35">
      <c r="C34" s="472" t="s">
        <v>67</v>
      </c>
      <c r="D34" s="473"/>
      <c r="E34" s="474"/>
      <c r="F34" s="166" t="s">
        <v>48</v>
      </c>
      <c r="G34" s="472" t="s">
        <v>68</v>
      </c>
      <c r="H34" s="473"/>
      <c r="I34" s="474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0D00-000000000000}"/>
    <hyperlink ref="E6" location="'GRUPO B'!A1" display="GRUPO B" xr:uid="{00000000-0004-0000-0D00-000001000000}"/>
    <hyperlink ref="C6" location="'GRUPO B'!A1" display="GRUPO B" xr:uid="{00000000-0004-0000-0D00-000002000000}"/>
    <hyperlink ref="I6" location="'GRUPO B'!A1" display="GRUPO B" xr:uid="{00000000-0004-0000-0D00-000003000000}"/>
  </hyperlink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36"/>
  <sheetViews>
    <sheetView zoomScale="80" zoomScaleNormal="80" workbookViewId="0">
      <selection sqref="A1:U31"/>
    </sheetView>
  </sheetViews>
  <sheetFormatPr baseColWidth="10" defaultColWidth="11.44140625" defaultRowHeight="14.4" x14ac:dyDescent="0.3"/>
  <cols>
    <col min="1" max="1" width="14" style="3" bestFit="1" customWidth="1"/>
    <col min="2" max="2" width="29.33203125" style="3" customWidth="1"/>
    <col min="3" max="3" width="17.5546875" style="3" customWidth="1"/>
    <col min="4" max="4" width="28.5546875" style="3" customWidth="1"/>
    <col min="5" max="6" width="6.77734375" style="3" customWidth="1"/>
    <col min="7" max="7" width="28.5546875" style="3" customWidth="1"/>
    <col min="8" max="8" width="15.6640625" style="3" customWidth="1"/>
    <col min="9" max="9" width="14.88671875" style="3" customWidth="1"/>
    <col min="10" max="10" width="0.6640625" style="3" customWidth="1"/>
    <col min="11" max="11" width="30.5546875" style="3" customWidth="1"/>
    <col min="12" max="20" width="5.5546875" style="3" customWidth="1"/>
    <col min="21" max="21" width="1.33203125" style="3" customWidth="1"/>
    <col min="22" max="22" width="11.44140625" style="3"/>
    <col min="23" max="23" width="20.6640625" style="3" bestFit="1" customWidth="1"/>
    <col min="24" max="32" width="5.5546875" style="3" customWidth="1"/>
    <col min="33" max="16384" width="11.44140625" style="3"/>
  </cols>
  <sheetData>
    <row r="1" spans="1:32" ht="31.8" x14ac:dyDescent="0.5">
      <c r="A1" s="499" t="str">
        <f>+'GRUPOS INFANTIL'!C1</f>
        <v>XVIII Campeonato Nacional de Fútbol Infantil</v>
      </c>
      <c r="B1" s="499"/>
      <c r="C1" s="499"/>
      <c r="D1" s="499"/>
      <c r="E1" s="499"/>
      <c r="F1" s="499"/>
      <c r="G1" s="499"/>
      <c r="H1" s="499"/>
      <c r="I1" s="499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32" ht="33.6" x14ac:dyDescent="0.65">
      <c r="A2" s="500" t="str">
        <f>+'GRUPOS INFANTIL'!C2</f>
        <v>“COPA SOCCER MELGAR”</v>
      </c>
      <c r="B2" s="500"/>
      <c r="C2" s="500"/>
      <c r="D2" s="500"/>
      <c r="E2" s="500"/>
      <c r="F2" s="500"/>
      <c r="G2" s="500"/>
      <c r="H2" s="500"/>
      <c r="I2" s="500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</row>
    <row r="3" spans="1:32" ht="33.6" x14ac:dyDescent="0.65">
      <c r="A3" s="500">
        <f>+'GRUPOS INFANTIL'!C3</f>
        <v>0</v>
      </c>
      <c r="B3" s="500"/>
      <c r="C3" s="500"/>
      <c r="D3" s="500"/>
      <c r="E3" s="500"/>
      <c r="F3" s="500"/>
      <c r="G3" s="500"/>
      <c r="H3" s="500"/>
      <c r="I3" s="500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32" ht="33.6" x14ac:dyDescent="0.65">
      <c r="A4" s="501" t="str">
        <f>+'GRUPOS INFANTIL'!C4</f>
        <v>NACIDOS 2017 2018</v>
      </c>
      <c r="B4" s="501"/>
      <c r="C4" s="501"/>
      <c r="D4" s="501"/>
      <c r="E4" s="501"/>
      <c r="F4" s="501"/>
      <c r="G4" s="501"/>
      <c r="H4" s="501"/>
      <c r="I4" s="501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1:32" ht="28.8" x14ac:dyDescent="0.55000000000000004">
      <c r="A5" s="502" t="str">
        <f>+'GRUPOS INFANTIL'!F10</f>
        <v>DICIEMBRE 09 AL 11 DEL 2024</v>
      </c>
      <c r="B5" s="502"/>
      <c r="C5" s="502"/>
      <c r="D5" s="502"/>
      <c r="E5" s="502"/>
      <c r="F5" s="502"/>
      <c r="G5" s="502"/>
      <c r="H5" s="502"/>
      <c r="I5" s="502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32" ht="21.6" thickBot="1" x14ac:dyDescent="0.45">
      <c r="A6" s="488" t="s">
        <v>74</v>
      </c>
      <c r="B6" s="488"/>
      <c r="C6" s="488"/>
      <c r="D6" s="488"/>
      <c r="E6" s="488"/>
      <c r="F6" s="488"/>
      <c r="G6" s="488"/>
      <c r="H6" s="488"/>
      <c r="I6" s="488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1:32" s="240" customFormat="1" ht="28.8" customHeight="1" thickBot="1" x14ac:dyDescent="0.65">
      <c r="A7" s="239"/>
      <c r="B7" s="491" t="s">
        <v>144</v>
      </c>
      <c r="C7" s="492"/>
      <c r="D7" s="492"/>
      <c r="E7" s="492"/>
      <c r="F7" s="492"/>
      <c r="G7" s="492"/>
      <c r="H7" s="492"/>
      <c r="I7" s="493"/>
      <c r="K7" s="244" t="str">
        <f>+'GRUPO A'!B4</f>
        <v>GRUPO A</v>
      </c>
      <c r="L7" s="244" t="str">
        <f>+'GRUPO A'!Q8</f>
        <v>Pts.</v>
      </c>
      <c r="M7" s="244" t="str">
        <f>+'GRUPO A'!R8</f>
        <v>PJ</v>
      </c>
      <c r="N7" s="244" t="str">
        <f>+'GRUPO A'!S8</f>
        <v>Gan.</v>
      </c>
      <c r="O7" s="244" t="str">
        <f>+'GRUPO A'!T8</f>
        <v>Emp.</v>
      </c>
      <c r="P7" s="244" t="str">
        <f>+'GRUPO A'!U8</f>
        <v>Per.</v>
      </c>
      <c r="Q7" s="244" t="str">
        <f>+'GRUPO A'!V8</f>
        <v>GF</v>
      </c>
      <c r="R7" s="244" t="str">
        <f>+'GRUPO A'!W8</f>
        <v>GC</v>
      </c>
      <c r="S7" s="244" t="str">
        <f>+'GRUPO A'!X8</f>
        <v>Dif.</v>
      </c>
      <c r="T7" s="244" t="str">
        <f>+'GRUPO A'!Y8</f>
        <v>Tj</v>
      </c>
    </row>
    <row r="8" spans="1:32" ht="36" customHeight="1" x14ac:dyDescent="0.3">
      <c r="B8" s="235" t="s">
        <v>69</v>
      </c>
      <c r="C8" s="235" t="s">
        <v>70</v>
      </c>
      <c r="D8" s="235" t="s">
        <v>71</v>
      </c>
      <c r="E8" s="494" t="s">
        <v>72</v>
      </c>
      <c r="F8" s="495"/>
      <c r="G8" s="235" t="s">
        <v>71</v>
      </c>
      <c r="H8" s="235" t="s">
        <v>73</v>
      </c>
      <c r="I8" s="235" t="s">
        <v>112</v>
      </c>
      <c r="K8" s="242" t="str">
        <f>+'GRUPO A'!P10</f>
        <v xml:space="preserve">  1)  ASTON HUILA</v>
      </c>
      <c r="L8" s="243">
        <f>+'GRUPO A'!Q10</f>
        <v>7</v>
      </c>
      <c r="M8" s="243">
        <f>+'GRUPO A'!R10</f>
        <v>3</v>
      </c>
      <c r="N8" s="243">
        <f>+'GRUPO A'!S10</f>
        <v>2</v>
      </c>
      <c r="O8" s="243">
        <f>+'GRUPO A'!T10</f>
        <v>1</v>
      </c>
      <c r="P8" s="243">
        <f>+'GRUPO A'!U10</f>
        <v>0</v>
      </c>
      <c r="Q8" s="243">
        <f>+'GRUPO A'!V10</f>
        <v>12</v>
      </c>
      <c r="R8" s="243">
        <f>+'GRUPO A'!W10</f>
        <v>2</v>
      </c>
      <c r="S8" s="243">
        <f>+'GRUPO A'!X10</f>
        <v>10</v>
      </c>
      <c r="T8" s="243">
        <f>+'GRUPO A'!Y10</f>
        <v>0</v>
      </c>
    </row>
    <row r="9" spans="1:32" s="196" customFormat="1" ht="46.2" customHeight="1" x14ac:dyDescent="0.3">
      <c r="A9" s="237">
        <v>45635</v>
      </c>
      <c r="B9" s="253" t="s">
        <v>155</v>
      </c>
      <c r="C9" s="250">
        <v>0.14583333333333334</v>
      </c>
      <c r="D9" s="238" t="str">
        <f>+'GRUPO A'!E29</f>
        <v>INTER F. C.</v>
      </c>
      <c r="E9" s="238">
        <f>+'GRUPO A'!G29</f>
        <v>3</v>
      </c>
      <c r="F9" s="238">
        <f>+'GRUPO A'!I29</f>
        <v>3</v>
      </c>
      <c r="G9" s="238" t="str">
        <f>+'GRUPO A'!K29</f>
        <v>CLUB DEPORTIVO NUEVAS GENERACIONES</v>
      </c>
      <c r="H9" s="237" t="str">
        <f>+'GRUPO A'!B4</f>
        <v>GRUPO A</v>
      </c>
      <c r="I9" s="238" t="str">
        <f>+$A$4</f>
        <v>NACIDOS 2017 2018</v>
      </c>
      <c r="K9" s="242" t="str">
        <f>+'GRUPO A'!P12</f>
        <v xml:space="preserve">  2)  CLUB DEPORTIVO NUEVAS GENERACIONES</v>
      </c>
      <c r="L9" s="238">
        <f>+'GRUPO A'!Q12</f>
        <v>5</v>
      </c>
      <c r="M9" s="238">
        <f>+'GRUPO A'!R12</f>
        <v>3</v>
      </c>
      <c r="N9" s="238">
        <f>+'GRUPO A'!S12</f>
        <v>1</v>
      </c>
      <c r="O9" s="238">
        <f>+'GRUPO A'!T12</f>
        <v>2</v>
      </c>
      <c r="P9" s="238">
        <f>+'GRUPO A'!U12</f>
        <v>0</v>
      </c>
      <c r="Q9" s="238">
        <f>+'GRUPO A'!V12</f>
        <v>7</v>
      </c>
      <c r="R9" s="238">
        <f>+'GRUPO A'!W12</f>
        <v>6</v>
      </c>
      <c r="S9" s="238">
        <f>+'GRUPO A'!X12</f>
        <v>1</v>
      </c>
      <c r="T9" s="238">
        <f>+'GRUPO A'!Y12</f>
        <v>0</v>
      </c>
    </row>
    <row r="10" spans="1:32" s="196" customFormat="1" ht="46.2" customHeight="1" x14ac:dyDescent="0.3">
      <c r="A10" s="254">
        <v>45635</v>
      </c>
      <c r="B10" s="253" t="s">
        <v>155</v>
      </c>
      <c r="C10" s="245">
        <v>0.69444444444444442</v>
      </c>
      <c r="D10" s="238" t="str">
        <f>+'GRUPO A'!E26</f>
        <v>ASTON HUILA</v>
      </c>
      <c r="E10" s="238">
        <f>+'GRUPO A'!G26</f>
        <v>3</v>
      </c>
      <c r="F10" s="238">
        <f>+'GRUPO A'!I26</f>
        <v>0</v>
      </c>
      <c r="G10" s="238" t="str">
        <f>+'GRUPO A'!K26</f>
        <v>ATHLETIC MELGAR</v>
      </c>
      <c r="H10" s="237" t="str">
        <f>+'GRUPO A'!B4</f>
        <v>GRUPO A</v>
      </c>
      <c r="I10" s="238" t="str">
        <f>+$A$4</f>
        <v>NACIDOS 2017 2018</v>
      </c>
      <c r="K10" s="242" t="str">
        <f>+'GRUPO A'!P14</f>
        <v xml:space="preserve">  3)  INTER F. C.</v>
      </c>
      <c r="L10" s="238">
        <f>+'GRUPO A'!Q14</f>
        <v>2</v>
      </c>
      <c r="M10" s="238">
        <f>+'GRUPO A'!R14</f>
        <v>3</v>
      </c>
      <c r="N10" s="238">
        <f>+'GRUPO A'!S14</f>
        <v>0</v>
      </c>
      <c r="O10" s="238">
        <f>+'GRUPO A'!T14</f>
        <v>2</v>
      </c>
      <c r="P10" s="238">
        <f>+'GRUPO A'!U14</f>
        <v>1</v>
      </c>
      <c r="Q10" s="238">
        <f>+'GRUPO A'!V14</f>
        <v>3</v>
      </c>
      <c r="R10" s="238">
        <f>+'GRUPO A'!W14</f>
        <v>4</v>
      </c>
      <c r="S10" s="238">
        <f>+'GRUPO A'!X14</f>
        <v>-1</v>
      </c>
      <c r="T10" s="238">
        <f>+'GRUPO A'!Y14</f>
        <v>0</v>
      </c>
    </row>
    <row r="11" spans="1:32" s="196" customFormat="1" ht="36" customHeight="1" thickBot="1" x14ac:dyDescent="0.35">
      <c r="K11" s="242" t="str">
        <f>+'GRUPO A'!P16</f>
        <v xml:space="preserve">  4)  ATHLETIC MELGAR</v>
      </c>
      <c r="L11" s="238">
        <f>+'GRUPO A'!Q16</f>
        <v>1</v>
      </c>
      <c r="M11" s="238">
        <f>+'GRUPO A'!R16</f>
        <v>3</v>
      </c>
      <c r="N11" s="238">
        <f>+'GRUPO A'!S16</f>
        <v>0</v>
      </c>
      <c r="O11" s="238">
        <f>+'GRUPO A'!T16</f>
        <v>1</v>
      </c>
      <c r="P11" s="238">
        <f>+'GRUPO A'!U16</f>
        <v>2</v>
      </c>
      <c r="Q11" s="238">
        <f>+'GRUPO A'!V16</f>
        <v>1</v>
      </c>
      <c r="R11" s="238">
        <f>+'GRUPO A'!W16</f>
        <v>5</v>
      </c>
      <c r="S11" s="238">
        <f>+'GRUPO A'!X16</f>
        <v>-4</v>
      </c>
      <c r="T11" s="238">
        <f>+'GRUPO A'!Y16</f>
        <v>0</v>
      </c>
    </row>
    <row r="12" spans="1:32" s="241" customFormat="1" ht="28.8" customHeight="1" thickBot="1" x14ac:dyDescent="0.65">
      <c r="B12" s="485" t="str">
        <f>+'IMPRIMIR 2'!A14</f>
        <v>PARTIDOS                 fecha 2</v>
      </c>
      <c r="C12" s="486"/>
      <c r="D12" s="486"/>
      <c r="E12" s="486"/>
      <c r="F12" s="486"/>
      <c r="G12" s="486"/>
      <c r="H12" s="486"/>
      <c r="I12" s="487"/>
    </row>
    <row r="13" spans="1:32" s="196" customFormat="1" ht="30" customHeight="1" x14ac:dyDescent="0.3">
      <c r="B13" s="234" t="s">
        <v>69</v>
      </c>
      <c r="C13" s="234" t="s">
        <v>70</v>
      </c>
      <c r="D13" s="234" t="s">
        <v>71</v>
      </c>
      <c r="E13" s="489" t="s">
        <v>72</v>
      </c>
      <c r="F13" s="490"/>
      <c r="G13" s="234" t="s">
        <v>71</v>
      </c>
      <c r="H13" s="234" t="s">
        <v>73</v>
      </c>
      <c r="I13" s="234" t="str">
        <f>+I8</f>
        <v>CATEGORIA</v>
      </c>
    </row>
    <row r="14" spans="1:32" s="196" customFormat="1" ht="46.2" customHeight="1" x14ac:dyDescent="0.3">
      <c r="A14" s="237">
        <v>45636</v>
      </c>
      <c r="B14" s="253" t="s">
        <v>155</v>
      </c>
      <c r="C14" s="250">
        <v>0.3125</v>
      </c>
      <c r="D14" s="238" t="str">
        <f>+'GRUPO A'!E23</f>
        <v>ATHLETIC MELGAR</v>
      </c>
      <c r="E14" s="238">
        <f>+'GRUPO A'!G23</f>
        <v>1</v>
      </c>
      <c r="F14" s="238">
        <f>+'GRUPO A'!I23</f>
        <v>2</v>
      </c>
      <c r="G14" s="238" t="str">
        <f>+'GRUPO A'!K23</f>
        <v>CLUB DEPORTIVO NUEVAS GENERACIONES</v>
      </c>
      <c r="H14" s="238" t="str">
        <f>+'GRUPO A'!B4</f>
        <v>GRUPO A</v>
      </c>
      <c r="I14" s="238" t="str">
        <f t="shared" ref="I14:I15" si="0">+$A$4</f>
        <v>NACIDOS 2017 2018</v>
      </c>
      <c r="W14" s="225" t="e">
        <f>+'GRUPO B'!P10</f>
        <v>#REF!</v>
      </c>
      <c r="X14" s="211">
        <f>+'GRUPO B'!Q10</f>
        <v>0</v>
      </c>
      <c r="Y14" s="211">
        <f>+'GRUPO B'!R10</f>
        <v>0</v>
      </c>
      <c r="Z14" s="211">
        <f>+'GRUPO B'!S10</f>
        <v>0</v>
      </c>
      <c r="AA14" s="211">
        <f>+'GRUPO B'!T10</f>
        <v>0</v>
      </c>
      <c r="AB14" s="211">
        <f>+'GRUPO B'!U10</f>
        <v>0</v>
      </c>
      <c r="AC14" s="211">
        <f>+'GRUPO B'!V10</f>
        <v>0</v>
      </c>
      <c r="AD14" s="211">
        <f>+'GRUPO B'!W10</f>
        <v>0</v>
      </c>
      <c r="AE14" s="211">
        <f>+'GRUPO B'!X10</f>
        <v>0</v>
      </c>
      <c r="AF14" s="211">
        <f>+'GRUPO B'!Y10</f>
        <v>0</v>
      </c>
    </row>
    <row r="15" spans="1:32" s="196" customFormat="1" ht="46.2" customHeight="1" x14ac:dyDescent="0.3">
      <c r="A15" s="237">
        <v>45636</v>
      </c>
      <c r="B15" s="253" t="s">
        <v>155</v>
      </c>
      <c r="C15" s="250">
        <v>0.3611111111111111</v>
      </c>
      <c r="D15" s="238" t="str">
        <f>+'GRUPO A'!E20</f>
        <v>ASTON HUILA</v>
      </c>
      <c r="E15" s="238">
        <f>+'GRUPO A'!G20</f>
        <v>7</v>
      </c>
      <c r="F15" s="238">
        <f>+'GRUPO A'!I20</f>
        <v>0</v>
      </c>
      <c r="G15" s="238" t="str">
        <f>+'GRUPO A'!K20</f>
        <v>INTER F. C.</v>
      </c>
      <c r="H15" s="238" t="str">
        <f>+'GRUPO A'!B4</f>
        <v>GRUPO A</v>
      </c>
      <c r="I15" s="238" t="str">
        <f t="shared" si="0"/>
        <v>NACIDOS 2017 2018</v>
      </c>
      <c r="W15" s="225" t="str">
        <f>+'GRUPO B'!P12</f>
        <v xml:space="preserve">  2)  CLUB PROMOTOR DEPORTIVO SCORPION</v>
      </c>
      <c r="X15" s="211">
        <f>+'GRUPO B'!Q12</f>
        <v>0</v>
      </c>
      <c r="Y15" s="211">
        <f>+'GRUPO B'!R12</f>
        <v>0</v>
      </c>
      <c r="Z15" s="211">
        <f>+'GRUPO B'!S12</f>
        <v>0</v>
      </c>
      <c r="AA15" s="211">
        <f>+'GRUPO B'!T12</f>
        <v>0</v>
      </c>
      <c r="AB15" s="211">
        <f>+'GRUPO B'!U12</f>
        <v>0</v>
      </c>
      <c r="AC15" s="211">
        <f>+'GRUPO B'!V12</f>
        <v>0</v>
      </c>
      <c r="AD15" s="211">
        <f>+'GRUPO B'!W12</f>
        <v>0</v>
      </c>
      <c r="AE15" s="211">
        <f>+'GRUPO B'!X12</f>
        <v>0</v>
      </c>
      <c r="AF15" s="211">
        <f>+'GRUPO B'!Y12</f>
        <v>0</v>
      </c>
    </row>
    <row r="16" spans="1:32" s="196" customFormat="1" ht="10.8" customHeight="1" thickBot="1" x14ac:dyDescent="0.35"/>
    <row r="17" spans="1:20" s="241" customFormat="1" ht="28.8" customHeight="1" thickBot="1" x14ac:dyDescent="0.65">
      <c r="A17" s="246"/>
      <c r="B17" s="496" t="s">
        <v>86</v>
      </c>
      <c r="C17" s="497"/>
      <c r="D17" s="497"/>
      <c r="E17" s="497"/>
      <c r="F17" s="497"/>
      <c r="G17" s="497"/>
      <c r="H17" s="497"/>
      <c r="I17" s="498"/>
    </row>
    <row r="18" spans="1:20" s="196" customFormat="1" ht="30" customHeight="1" x14ac:dyDescent="0.3">
      <c r="B18" s="234" t="s">
        <v>69</v>
      </c>
      <c r="C18" s="234" t="s">
        <v>70</v>
      </c>
      <c r="D18" s="234" t="s">
        <v>71</v>
      </c>
      <c r="E18" s="489" t="s">
        <v>72</v>
      </c>
      <c r="F18" s="490"/>
      <c r="G18" s="234" t="s">
        <v>71</v>
      </c>
      <c r="H18" s="234" t="s">
        <v>73</v>
      </c>
      <c r="I18" s="234" t="str">
        <f>+I13</f>
        <v>CATEGORIA</v>
      </c>
    </row>
    <row r="19" spans="1:20" s="196" customFormat="1" ht="46.2" customHeight="1" x14ac:dyDescent="0.6">
      <c r="A19" s="237">
        <v>45636</v>
      </c>
      <c r="B19" s="253" t="s">
        <v>155</v>
      </c>
      <c r="C19" s="250">
        <v>0.14583333333333334</v>
      </c>
      <c r="D19" s="238" t="str">
        <f>+'GRUPO A'!E32</f>
        <v>INTER F. C.</v>
      </c>
      <c r="E19" s="238">
        <f>+'GRUPO A'!G32</f>
        <v>0</v>
      </c>
      <c r="F19" s="238">
        <f>+'GRUPO A'!I32</f>
        <v>0</v>
      </c>
      <c r="G19" s="238" t="str">
        <f>+'GRUPO A'!K32</f>
        <v>ATHLETIC MELGAR</v>
      </c>
      <c r="H19" s="238" t="str">
        <f>+'GRUPO A'!B4</f>
        <v>GRUPO A</v>
      </c>
      <c r="I19" s="238" t="str">
        <f t="shared" ref="I19:I20" si="1">+$A$4</f>
        <v>NACIDOS 2017 2018</v>
      </c>
      <c r="K19" s="241"/>
    </row>
    <row r="20" spans="1:20" s="196" customFormat="1" ht="46.2" customHeight="1" x14ac:dyDescent="0.3">
      <c r="A20" s="237">
        <v>45636</v>
      </c>
      <c r="B20" s="253" t="s">
        <v>155</v>
      </c>
      <c r="C20" s="245">
        <v>0.69444444444444442</v>
      </c>
      <c r="D20" s="238" t="str">
        <f>+'GRUPO A'!E35</f>
        <v>ASTON HUILA</v>
      </c>
      <c r="E20" s="238">
        <f>+'GRUPO A'!G35</f>
        <v>2</v>
      </c>
      <c r="F20" s="238">
        <f>+'GRUPO A'!I35</f>
        <v>2</v>
      </c>
      <c r="G20" s="238" t="str">
        <f>+'GRUPO A'!K35</f>
        <v>CLUB DEPORTIVO NUEVAS GENERACIONES</v>
      </c>
      <c r="H20" s="238" t="str">
        <f>+'GRUPO A'!B4</f>
        <v>GRUPO A</v>
      </c>
      <c r="I20" s="238" t="str">
        <f t="shared" si="1"/>
        <v>NACIDOS 2017 2018</v>
      </c>
    </row>
    <row r="21" spans="1:20" s="196" customFormat="1" ht="10.8" customHeight="1" thickBot="1" x14ac:dyDescent="0.35"/>
    <row r="22" spans="1:20" s="241" customFormat="1" ht="28.8" customHeight="1" thickBot="1" x14ac:dyDescent="0.65">
      <c r="A22" s="240"/>
      <c r="B22" s="481" t="s">
        <v>58</v>
      </c>
      <c r="C22" s="482"/>
      <c r="D22" s="482"/>
      <c r="E22" s="482"/>
      <c r="F22" s="482"/>
      <c r="G22" s="482"/>
      <c r="H22" s="482"/>
      <c r="I22" s="483"/>
    </row>
    <row r="23" spans="1:20" s="196" customFormat="1" ht="30" customHeight="1" x14ac:dyDescent="0.3">
      <c r="A23" s="3"/>
      <c r="B23" s="236" t="s">
        <v>69</v>
      </c>
      <c r="C23" s="236" t="s">
        <v>70</v>
      </c>
      <c r="D23" s="236" t="s">
        <v>71</v>
      </c>
      <c r="E23" s="484" t="s">
        <v>72</v>
      </c>
      <c r="F23" s="484"/>
      <c r="G23" s="236" t="s">
        <v>71</v>
      </c>
      <c r="H23" s="236" t="s">
        <v>73</v>
      </c>
      <c r="I23" s="236" t="s">
        <v>141</v>
      </c>
    </row>
    <row r="24" spans="1:20" s="196" customFormat="1" ht="46.2" customHeight="1" x14ac:dyDescent="0.3">
      <c r="A24" s="254">
        <v>45637</v>
      </c>
      <c r="B24" s="253" t="s">
        <v>155</v>
      </c>
      <c r="C24" s="245">
        <v>0.3125</v>
      </c>
      <c r="D24" s="238" t="str">
        <f>+K8</f>
        <v xml:space="preserve">  1)  ASTON HUILA</v>
      </c>
      <c r="E24" s="238">
        <f>+'[1]GRUPO A'!G53</f>
        <v>0</v>
      </c>
      <c r="F24" s="238">
        <f>+'[1]GRUPO A'!I53</f>
        <v>0</v>
      </c>
      <c r="G24" s="238" t="str">
        <f>+K11</f>
        <v xml:space="preserve">  4)  ATHLETIC MELGAR</v>
      </c>
      <c r="H24" s="238" t="s">
        <v>147</v>
      </c>
      <c r="I24" s="238" t="str">
        <f t="shared" ref="I24:I25" si="2">+$A$4</f>
        <v>NACIDOS 2017 2018</v>
      </c>
    </row>
    <row r="25" spans="1:20" s="196" customFormat="1" ht="46.2" customHeight="1" x14ac:dyDescent="0.3">
      <c r="A25" s="254">
        <v>45637</v>
      </c>
      <c r="B25" s="253" t="s">
        <v>155</v>
      </c>
      <c r="C25" s="250">
        <v>0.3611111111111111</v>
      </c>
      <c r="D25" s="238" t="str">
        <f>+K9</f>
        <v xml:space="preserve">  2)  CLUB DEPORTIVO NUEVAS GENERACIONES</v>
      </c>
      <c r="E25" s="238">
        <f>+'[1]GRUPO A'!G50</f>
        <v>0</v>
      </c>
      <c r="F25" s="238">
        <f>+'[1]GRUPO A'!I50</f>
        <v>0</v>
      </c>
      <c r="G25" s="238" t="str">
        <f>+K10</f>
        <v xml:space="preserve">  3)  INTER F. C.</v>
      </c>
      <c r="H25" s="238" t="s">
        <v>146</v>
      </c>
      <c r="I25" s="238" t="str">
        <f t="shared" si="2"/>
        <v>NACIDOS 2017 2018</v>
      </c>
    </row>
    <row r="26" spans="1:20" s="196" customFormat="1" ht="10.8" customHeight="1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20" s="241" customFormat="1" ht="28.8" customHeight="1" thickBot="1" x14ac:dyDescent="0.65">
      <c r="A27" s="240"/>
      <c r="B27" s="485" t="s">
        <v>63</v>
      </c>
      <c r="C27" s="486"/>
      <c r="D27" s="486"/>
      <c r="E27" s="486"/>
      <c r="F27" s="486"/>
      <c r="G27" s="486"/>
      <c r="H27" s="486"/>
      <c r="I27" s="487"/>
      <c r="J27" s="240"/>
    </row>
    <row r="28" spans="1:20" s="196" customFormat="1" ht="30" customHeight="1" x14ac:dyDescent="0.3">
      <c r="A28" s="3"/>
      <c r="B28" s="236" t="s">
        <v>69</v>
      </c>
      <c r="C28" s="236" t="s">
        <v>70</v>
      </c>
      <c r="D28" s="236" t="s">
        <v>71</v>
      </c>
      <c r="E28" s="484" t="s">
        <v>72</v>
      </c>
      <c r="F28" s="484"/>
      <c r="G28" s="236" t="s">
        <v>71</v>
      </c>
      <c r="H28" s="236" t="s">
        <v>73</v>
      </c>
      <c r="I28" s="236" t="s">
        <v>141</v>
      </c>
      <c r="J28" s="3"/>
    </row>
    <row r="29" spans="1:20" ht="46.2" customHeight="1" x14ac:dyDescent="0.3">
      <c r="A29" s="254">
        <v>45637</v>
      </c>
      <c r="B29" s="253" t="s">
        <v>155</v>
      </c>
      <c r="C29" s="245">
        <v>0.54166666666666663</v>
      </c>
      <c r="D29" s="238" t="s">
        <v>65</v>
      </c>
      <c r="E29" s="238">
        <f>+'[1]GRUPO A'!G57</f>
        <v>0</v>
      </c>
      <c r="F29" s="238">
        <f>+'[1]GRUPO A'!I57</f>
        <v>0</v>
      </c>
      <c r="G29" s="238" t="s">
        <v>66</v>
      </c>
      <c r="H29" s="238" t="s">
        <v>142</v>
      </c>
      <c r="I29" s="238" t="str">
        <f t="shared" ref="I29:I30" si="3">+$A$4</f>
        <v>NACIDOS 2017 2018</v>
      </c>
      <c r="K29" s="196"/>
      <c r="L29" s="196"/>
      <c r="M29" s="196"/>
      <c r="N29" s="196"/>
      <c r="O29" s="196"/>
      <c r="P29" s="196"/>
      <c r="Q29" s="196"/>
      <c r="R29" s="196"/>
      <c r="S29" s="196"/>
      <c r="T29" s="196"/>
    </row>
    <row r="30" spans="1:20" ht="46.2" customHeight="1" x14ac:dyDescent="0.3">
      <c r="A30" s="254">
        <v>45637</v>
      </c>
      <c r="B30" s="253" t="s">
        <v>155</v>
      </c>
      <c r="C30" s="245">
        <v>0.59027777777777779</v>
      </c>
      <c r="D30" s="238" t="s">
        <v>67</v>
      </c>
      <c r="E30" s="238">
        <f>+'[1]GRUPO A'!G54</f>
        <v>0</v>
      </c>
      <c r="F30" s="238">
        <f>+'[1]GRUPO A'!I54</f>
        <v>0</v>
      </c>
      <c r="G30" s="238" t="s">
        <v>68</v>
      </c>
      <c r="H30" s="238" t="s">
        <v>143</v>
      </c>
      <c r="I30" s="238" t="str">
        <f t="shared" si="3"/>
        <v>NACIDOS 2017 2018</v>
      </c>
    </row>
    <row r="31" spans="1:20" ht="30" customHeight="1" x14ac:dyDescent="0.3">
      <c r="A31" s="196"/>
      <c r="B31" s="196"/>
      <c r="C31" s="196"/>
      <c r="D31" s="196"/>
      <c r="E31" s="196"/>
      <c r="F31" s="196"/>
      <c r="G31" s="196"/>
      <c r="H31" s="196"/>
      <c r="I31" s="196"/>
    </row>
    <row r="32" spans="1:20" ht="30" customHeight="1" x14ac:dyDescent="0.3">
      <c r="A32" s="196"/>
      <c r="B32" s="196"/>
      <c r="C32" s="196"/>
      <c r="D32" s="196"/>
      <c r="E32" s="196"/>
      <c r="F32" s="196"/>
      <c r="G32" s="196"/>
      <c r="H32" s="196"/>
      <c r="I32" s="196"/>
    </row>
    <row r="33" spans="1:9" ht="30" customHeight="1" x14ac:dyDescent="0.3">
      <c r="A33" s="196"/>
      <c r="B33" s="196"/>
      <c r="C33" s="196"/>
      <c r="D33" s="196"/>
      <c r="E33" s="196"/>
      <c r="F33" s="196"/>
      <c r="G33" s="196"/>
      <c r="H33" s="196"/>
      <c r="I33" s="196"/>
    </row>
    <row r="34" spans="1:9" ht="30" customHeight="1" x14ac:dyDescent="0.3">
      <c r="A34" s="196"/>
      <c r="B34" s="196"/>
      <c r="C34" s="196"/>
      <c r="D34" s="196"/>
      <c r="E34" s="196"/>
      <c r="F34" s="196"/>
      <c r="G34" s="196"/>
      <c r="H34" s="196"/>
      <c r="I34" s="196"/>
    </row>
    <row r="35" spans="1:9" ht="30" customHeight="1" x14ac:dyDescent="0.3">
      <c r="A35" s="196"/>
      <c r="B35" s="196"/>
      <c r="C35" s="196"/>
      <c r="D35" s="196"/>
      <c r="E35" s="196"/>
      <c r="F35" s="196"/>
      <c r="G35" s="196"/>
      <c r="H35" s="196"/>
      <c r="I35" s="196"/>
    </row>
    <row r="36" spans="1:9" ht="30" customHeight="1" x14ac:dyDescent="0.3">
      <c r="A36" s="196"/>
      <c r="B36" s="196"/>
      <c r="C36" s="196"/>
      <c r="D36" s="196"/>
      <c r="E36" s="196"/>
      <c r="F36" s="196"/>
      <c r="G36" s="196"/>
      <c r="H36" s="196"/>
      <c r="I36" s="196"/>
    </row>
  </sheetData>
  <mergeCells count="16">
    <mergeCell ref="A1:I1"/>
    <mergeCell ref="A2:I2"/>
    <mergeCell ref="A3:I3"/>
    <mergeCell ref="A4:I4"/>
    <mergeCell ref="A5:I5"/>
    <mergeCell ref="B22:I22"/>
    <mergeCell ref="E23:F23"/>
    <mergeCell ref="B27:I27"/>
    <mergeCell ref="E28:F28"/>
    <mergeCell ref="A6:I6"/>
    <mergeCell ref="E18:F18"/>
    <mergeCell ref="B7:I7"/>
    <mergeCell ref="E8:F8"/>
    <mergeCell ref="B12:I12"/>
    <mergeCell ref="E13:F13"/>
    <mergeCell ref="B17:I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1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45"/>
  <sheetViews>
    <sheetView topLeftCell="A13" zoomScale="80" zoomScaleNormal="80" workbookViewId="0">
      <selection activeCell="G32" sqref="G3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33203125" style="3" customWidth="1"/>
    <col min="9" max="9" width="13.33203125" style="3" customWidth="1"/>
    <col min="10" max="10" width="0.6640625" style="3" customWidth="1"/>
    <col min="11" max="11" width="30.5546875" style="3" customWidth="1"/>
    <col min="12" max="12" width="4.33203125" style="3" bestFit="1" customWidth="1"/>
    <col min="13" max="13" width="5" style="3" customWidth="1"/>
    <col min="14" max="14" width="5" style="3" bestFit="1" customWidth="1"/>
    <col min="15" max="20" width="5" style="3" customWidth="1"/>
    <col min="21" max="21" width="3.5546875" style="3" customWidth="1"/>
    <col min="22" max="22" width="11.44140625" style="3"/>
    <col min="23" max="23" width="20.6640625" style="3" bestFit="1" customWidth="1"/>
    <col min="24" max="32" width="5.5546875" style="3" customWidth="1"/>
    <col min="33" max="16384" width="11.44140625" style="3"/>
  </cols>
  <sheetData>
    <row r="1" spans="1:32" ht="30" x14ac:dyDescent="0.5">
      <c r="A1" s="400" t="str">
        <f>+'GRUPOS INFANTIL'!C1</f>
        <v>XVIII Campeonato Nacional de Fútbol Infantil</v>
      </c>
      <c r="B1" s="400"/>
      <c r="C1" s="400"/>
      <c r="D1" s="400"/>
      <c r="E1" s="400"/>
      <c r="F1" s="400"/>
      <c r="G1" s="400"/>
      <c r="H1" s="400"/>
      <c r="I1" s="400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32" ht="31.2" x14ac:dyDescent="0.6">
      <c r="A2" s="520" t="str">
        <f>+'GRUPOS INFANTIL'!C2</f>
        <v>“COPA SOCCER MELGAR”</v>
      </c>
      <c r="B2" s="520"/>
      <c r="C2" s="520"/>
      <c r="D2" s="520"/>
      <c r="E2" s="520"/>
      <c r="F2" s="520"/>
      <c r="G2" s="520"/>
      <c r="H2" s="520"/>
      <c r="I2" s="520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</row>
    <row r="3" spans="1:32" ht="28.8" x14ac:dyDescent="0.55000000000000004">
      <c r="A3" s="521">
        <f>+'GRUPOS INFANTIL'!C3</f>
        <v>0</v>
      </c>
      <c r="B3" s="521"/>
      <c r="C3" s="521"/>
      <c r="D3" s="521"/>
      <c r="E3" s="521"/>
      <c r="F3" s="521"/>
      <c r="G3" s="521"/>
      <c r="H3" s="521"/>
      <c r="I3" s="521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32" ht="21" x14ac:dyDescent="0.4">
      <c r="A4" s="522" t="str">
        <f>+'GRUPOS INFANTIL'!C4</f>
        <v>NACIDOS 2017 2018</v>
      </c>
      <c r="B4" s="522"/>
      <c r="C4" s="522"/>
      <c r="D4" s="522"/>
      <c r="E4" s="522"/>
      <c r="F4" s="522"/>
      <c r="G4" s="522"/>
      <c r="H4" s="522"/>
      <c r="I4" s="522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1:32" ht="28.8" x14ac:dyDescent="0.55000000000000004">
      <c r="A5" s="502" t="str">
        <f>+'GRUPOS INFANTIL'!F10</f>
        <v>DICIEMBRE 09 AL 11 DEL 2024</v>
      </c>
      <c r="B5" s="502"/>
      <c r="C5" s="502"/>
      <c r="D5" s="502"/>
      <c r="E5" s="502"/>
      <c r="F5" s="502"/>
      <c r="G5" s="502"/>
      <c r="H5" s="502"/>
      <c r="I5" s="502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32" ht="21.6" thickBot="1" x14ac:dyDescent="0.45">
      <c r="A6" s="488" t="s">
        <v>74</v>
      </c>
      <c r="B6" s="488"/>
      <c r="C6" s="488"/>
      <c r="D6" s="488"/>
      <c r="E6" s="488"/>
      <c r="F6" s="488"/>
      <c r="G6" s="488"/>
      <c r="H6" s="488"/>
      <c r="I6" s="488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1:32" ht="30" customHeight="1" thickBot="1" x14ac:dyDescent="0.35">
      <c r="A7"/>
      <c r="B7" s="511" t="s">
        <v>87</v>
      </c>
      <c r="C7" s="512"/>
      <c r="D7" s="512"/>
      <c r="E7" s="512"/>
      <c r="F7" s="512"/>
      <c r="G7" s="512"/>
      <c r="H7" s="512"/>
      <c r="I7" s="513"/>
      <c r="K7" s="173" t="str">
        <f>+'GRUPO A'!B4</f>
        <v>GRUPO A</v>
      </c>
      <c r="L7" s="173" t="str">
        <f>+'GRUPO A'!Q8</f>
        <v>Pts.</v>
      </c>
      <c r="M7" s="173" t="str">
        <f>+'GRUPO A'!R8</f>
        <v>PJ</v>
      </c>
      <c r="N7" s="173" t="str">
        <f>+'GRUPO A'!S8</f>
        <v>Gan.</v>
      </c>
      <c r="O7" s="173" t="str">
        <f>+'GRUPO A'!T8</f>
        <v>Emp.</v>
      </c>
      <c r="P7" s="173" t="str">
        <f>+'GRUPO A'!U8</f>
        <v>Per.</v>
      </c>
      <c r="Q7" s="173" t="str">
        <f>+'GRUPO A'!V8</f>
        <v>GF</v>
      </c>
      <c r="R7" s="173" t="str">
        <f>+'GRUPO A'!W8</f>
        <v>GC</v>
      </c>
      <c r="S7" s="173" t="str">
        <f>+'GRUPO A'!X8</f>
        <v>Dif.</v>
      </c>
      <c r="T7" s="173" t="str">
        <f>+'GRUPO A'!Y8</f>
        <v>Tj</v>
      </c>
    </row>
    <row r="8" spans="1:32" ht="30.6" customHeight="1" x14ac:dyDescent="0.3">
      <c r="B8" s="235" t="s">
        <v>69</v>
      </c>
      <c r="C8" s="235" t="s">
        <v>70</v>
      </c>
      <c r="D8" s="235" t="s">
        <v>71</v>
      </c>
      <c r="E8" s="517" t="s">
        <v>72</v>
      </c>
      <c r="F8" s="517"/>
      <c r="G8" s="235" t="s">
        <v>71</v>
      </c>
      <c r="H8" s="235" t="s">
        <v>73</v>
      </c>
      <c r="I8" s="235" t="s">
        <v>112</v>
      </c>
      <c r="K8" s="225" t="str">
        <f>+'GRUPO A'!P10</f>
        <v xml:space="preserve">  1)  ASTON HUILA</v>
      </c>
      <c r="L8" s="226">
        <f>+'GRUPO A'!Q10</f>
        <v>7</v>
      </c>
      <c r="M8" s="226">
        <f>+'GRUPO A'!R10</f>
        <v>3</v>
      </c>
      <c r="N8" s="226">
        <f>+'GRUPO A'!S10</f>
        <v>2</v>
      </c>
      <c r="O8" s="226">
        <f>+'GRUPO A'!T10</f>
        <v>1</v>
      </c>
      <c r="P8" s="226">
        <f>+'GRUPO A'!U10</f>
        <v>0</v>
      </c>
      <c r="Q8" s="226">
        <f>+'GRUPO A'!V10</f>
        <v>12</v>
      </c>
      <c r="R8" s="226">
        <f>+'GRUPO A'!W10</f>
        <v>2</v>
      </c>
      <c r="S8" s="226">
        <f>+'GRUPO A'!X10</f>
        <v>10</v>
      </c>
      <c r="T8" s="226">
        <f>+'GRUPO A'!Y10</f>
        <v>0</v>
      </c>
    </row>
    <row r="9" spans="1:32" s="196" customFormat="1" ht="30" customHeight="1" x14ac:dyDescent="0.3">
      <c r="A9" s="210">
        <v>43087</v>
      </c>
      <c r="B9" s="211" t="s">
        <v>119</v>
      </c>
      <c r="C9" s="211" t="s">
        <v>131</v>
      </c>
      <c r="D9" s="211" t="str">
        <f>+'GRUPO A'!E29</f>
        <v>INTER F. C.</v>
      </c>
      <c r="E9" s="211">
        <f>+'GRUPO A'!G29</f>
        <v>3</v>
      </c>
      <c r="F9" s="211">
        <f>+'GRUPO A'!I29</f>
        <v>3</v>
      </c>
      <c r="G9" s="211" t="str">
        <f>+'GRUPO A'!K29</f>
        <v>CLUB DEPORTIVO NUEVAS GENERACIONES</v>
      </c>
      <c r="H9" s="210" t="str">
        <f>+'GRUPO A'!B4</f>
        <v>GRUPO A</v>
      </c>
      <c r="I9" s="211">
        <f>+A3</f>
        <v>0</v>
      </c>
      <c r="K9" s="225" t="str">
        <f>+'GRUPO A'!P12</f>
        <v xml:space="preserve">  2)  CLUB DEPORTIVO NUEVAS GENERACIONES</v>
      </c>
      <c r="L9" s="211">
        <f>+'GRUPO A'!Q12</f>
        <v>5</v>
      </c>
      <c r="M9" s="211">
        <f>+'GRUPO A'!R14</f>
        <v>3</v>
      </c>
      <c r="N9" s="211">
        <f>+'GRUPO A'!S12</f>
        <v>1</v>
      </c>
      <c r="O9" s="211">
        <f>+'GRUPO A'!T12</f>
        <v>2</v>
      </c>
      <c r="P9" s="211">
        <f>+'GRUPO A'!U12</f>
        <v>0</v>
      </c>
      <c r="Q9" s="211">
        <f>+'GRUPO A'!V12</f>
        <v>7</v>
      </c>
      <c r="R9" s="211">
        <f>+'GRUPO A'!W12</f>
        <v>6</v>
      </c>
      <c r="S9" s="211">
        <f>+'GRUPO A'!X12</f>
        <v>1</v>
      </c>
      <c r="T9" s="211">
        <f>+'GRUPO A'!Y12</f>
        <v>0</v>
      </c>
    </row>
    <row r="10" spans="1:32" s="196" customFormat="1" ht="30" customHeight="1" x14ac:dyDescent="0.3">
      <c r="A10" s="210">
        <v>43087</v>
      </c>
      <c r="B10" s="211" t="s">
        <v>120</v>
      </c>
      <c r="C10" s="211" t="s">
        <v>131</v>
      </c>
      <c r="D10" s="211" t="str">
        <f>+'GRUPO A'!E26</f>
        <v>ASTON HUILA</v>
      </c>
      <c r="E10" s="211">
        <f>+'GRUPO A'!G26</f>
        <v>3</v>
      </c>
      <c r="F10" s="211">
        <f>+'GRUPO A'!I26</f>
        <v>0</v>
      </c>
      <c r="G10" s="211" t="str">
        <f>+'GRUPO A'!K26</f>
        <v>ATHLETIC MELGAR</v>
      </c>
      <c r="H10" s="210" t="str">
        <f>+'GRUPO A'!B4</f>
        <v>GRUPO A</v>
      </c>
      <c r="I10" s="211">
        <f>+A3</f>
        <v>0</v>
      </c>
      <c r="K10" s="225" t="str">
        <f>+'GRUPO A'!P14</f>
        <v xml:space="preserve">  3)  INTER F. C.</v>
      </c>
      <c r="L10" s="211">
        <f>+'GRUPO A'!Q14</f>
        <v>2</v>
      </c>
      <c r="M10" s="211">
        <f>+'GRUPO A'!R14</f>
        <v>3</v>
      </c>
      <c r="N10" s="211">
        <f>+'GRUPO A'!S14</f>
        <v>0</v>
      </c>
      <c r="O10" s="211">
        <f>+'GRUPO A'!T14</f>
        <v>2</v>
      </c>
      <c r="P10" s="211">
        <f>+'GRUPO A'!U14</f>
        <v>1</v>
      </c>
      <c r="Q10" s="211">
        <f>+'GRUPO A'!V14</f>
        <v>3</v>
      </c>
      <c r="R10" s="211">
        <f>+'GRUPO A'!W14</f>
        <v>4</v>
      </c>
      <c r="S10" s="211">
        <f>+'GRUPO A'!X14</f>
        <v>-1</v>
      </c>
      <c r="T10" s="211">
        <f>+'GRUPO A'!Y14</f>
        <v>0</v>
      </c>
    </row>
    <row r="11" spans="1:32" s="196" customFormat="1" ht="30" customHeight="1" thickBot="1" x14ac:dyDescent="0.35">
      <c r="K11" s="225" t="str">
        <f>+'GRUPO A'!P16</f>
        <v xml:space="preserve">  4)  ATHLETIC MELGAR</v>
      </c>
      <c r="L11" s="211">
        <f>+'GRUPO A'!Q16</f>
        <v>1</v>
      </c>
      <c r="M11" s="211">
        <f>+'GRUPO A'!R16</f>
        <v>3</v>
      </c>
      <c r="N11" s="211">
        <f>+'GRUPO A'!S16</f>
        <v>0</v>
      </c>
      <c r="O11" s="211">
        <f>+'GRUPO A'!T16</f>
        <v>1</v>
      </c>
      <c r="P11" s="211">
        <f>+'GRUPO A'!U16</f>
        <v>2</v>
      </c>
      <c r="Q11" s="211">
        <f>+'GRUPO A'!V16</f>
        <v>1</v>
      </c>
      <c r="R11" s="211">
        <f>+'GRUPO A'!W16</f>
        <v>5</v>
      </c>
      <c r="S11" s="211">
        <f>+'GRUPO A'!X16</f>
        <v>-4</v>
      </c>
      <c r="T11" s="211">
        <f>+'GRUPO A'!Y16</f>
        <v>0</v>
      </c>
    </row>
    <row r="12" spans="1:32" s="196" customFormat="1" ht="30" customHeight="1" thickBot="1" x14ac:dyDescent="0.35">
      <c r="B12" s="508" t="str">
        <f>+'IMPRIMIR 2'!A14</f>
        <v>PARTIDOS                 fecha 2</v>
      </c>
      <c r="C12" s="509"/>
      <c r="D12" s="509"/>
      <c r="E12" s="509"/>
      <c r="F12" s="509"/>
      <c r="G12" s="509"/>
      <c r="H12" s="509"/>
      <c r="I12" s="510"/>
    </row>
    <row r="13" spans="1:32" s="196" customFormat="1" ht="30" customHeight="1" x14ac:dyDescent="0.3">
      <c r="B13" s="234" t="s">
        <v>69</v>
      </c>
      <c r="C13" s="234" t="s">
        <v>70</v>
      </c>
      <c r="D13" s="234" t="s">
        <v>71</v>
      </c>
      <c r="E13" s="518" t="s">
        <v>72</v>
      </c>
      <c r="F13" s="519"/>
      <c r="G13" s="234" t="s">
        <v>71</v>
      </c>
      <c r="H13" s="234" t="s">
        <v>73</v>
      </c>
      <c r="I13" s="234" t="str">
        <f>+I8</f>
        <v>CATEGORIA</v>
      </c>
      <c r="K13" s="503" t="s">
        <v>139</v>
      </c>
      <c r="L13" s="503"/>
      <c r="M13" s="503"/>
      <c r="N13" s="503"/>
      <c r="O13" s="503"/>
      <c r="P13" s="503"/>
      <c r="Q13" s="503"/>
      <c r="R13" s="503"/>
      <c r="S13" s="503"/>
      <c r="T13" s="503"/>
    </row>
    <row r="14" spans="1:32" s="196" customFormat="1" ht="30" customHeight="1" x14ac:dyDescent="0.3">
      <c r="A14" s="210">
        <v>43088</v>
      </c>
      <c r="B14" s="211" t="s">
        <v>119</v>
      </c>
      <c r="C14" s="211" t="s">
        <v>132</v>
      </c>
      <c r="D14" s="211" t="str">
        <f>+'GRUPO A'!E20</f>
        <v>ASTON HUILA</v>
      </c>
      <c r="E14" s="211">
        <f>+'GRUPO A'!G20</f>
        <v>7</v>
      </c>
      <c r="F14" s="211">
        <f>+'GRUPO A'!I20</f>
        <v>0</v>
      </c>
      <c r="G14" s="211" t="str">
        <f>+'GRUPO A'!K20</f>
        <v>INTER F. C.</v>
      </c>
      <c r="H14" s="211" t="str">
        <f>+'GRUPO A'!B4</f>
        <v>GRUPO A</v>
      </c>
      <c r="I14" s="211">
        <f>+A3</f>
        <v>0</v>
      </c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W14" s="225" t="e">
        <f>+'GRUPO B'!P10</f>
        <v>#REF!</v>
      </c>
      <c r="X14" s="211">
        <f>+'GRUPO B'!Q10</f>
        <v>0</v>
      </c>
      <c r="Y14" s="211">
        <f>+'GRUPO B'!R10</f>
        <v>0</v>
      </c>
      <c r="Z14" s="211">
        <f>+'GRUPO B'!S10</f>
        <v>0</v>
      </c>
      <c r="AA14" s="211">
        <f>+'GRUPO B'!T10</f>
        <v>0</v>
      </c>
      <c r="AB14" s="211">
        <f>+'GRUPO B'!U10</f>
        <v>0</v>
      </c>
      <c r="AC14" s="211">
        <f>+'GRUPO B'!V10</f>
        <v>0</v>
      </c>
      <c r="AD14" s="211">
        <f>+'GRUPO B'!W10</f>
        <v>0</v>
      </c>
      <c r="AE14" s="211">
        <f>+'GRUPO B'!X10</f>
        <v>0</v>
      </c>
      <c r="AF14" s="211">
        <f>+'GRUPO B'!Y10</f>
        <v>0</v>
      </c>
    </row>
    <row r="15" spans="1:32" s="196" customFormat="1" ht="30" customHeight="1" x14ac:dyDescent="0.3">
      <c r="A15" s="210">
        <v>43088</v>
      </c>
      <c r="B15" s="211" t="s">
        <v>120</v>
      </c>
      <c r="C15" s="211" t="s">
        <v>132</v>
      </c>
      <c r="D15" s="211" t="str">
        <f>+'GRUPO A'!E23</f>
        <v>ATHLETIC MELGAR</v>
      </c>
      <c r="E15" s="211">
        <f>+'GRUPO A'!G23</f>
        <v>1</v>
      </c>
      <c r="F15" s="211">
        <f>+'GRUPO A'!I23</f>
        <v>2</v>
      </c>
      <c r="G15" s="211" t="str">
        <f>+'GRUPO A'!K23</f>
        <v>CLUB DEPORTIVO NUEVAS GENERACIONES</v>
      </c>
      <c r="H15" s="211" t="str">
        <f>+'GRUPO A'!B4</f>
        <v>GRUPO A</v>
      </c>
      <c r="I15" s="211">
        <f>+A3</f>
        <v>0</v>
      </c>
      <c r="W15" s="225" t="str">
        <f>+'GRUPO B'!P12</f>
        <v xml:space="preserve">  2)  CLUB PROMOTOR DEPORTIVO SCORPION</v>
      </c>
      <c r="X15" s="211">
        <f>+'GRUPO B'!Q12</f>
        <v>0</v>
      </c>
      <c r="Y15" s="211">
        <f>+'GRUPO B'!R12</f>
        <v>0</v>
      </c>
      <c r="Z15" s="211">
        <f>+'GRUPO B'!S12</f>
        <v>0</v>
      </c>
      <c r="AA15" s="211">
        <f>+'GRUPO B'!T12</f>
        <v>0</v>
      </c>
      <c r="AB15" s="211">
        <f>+'GRUPO B'!U12</f>
        <v>0</v>
      </c>
      <c r="AC15" s="211">
        <f>+'GRUPO B'!V12</f>
        <v>0</v>
      </c>
      <c r="AD15" s="211">
        <f>+'GRUPO B'!W12</f>
        <v>0</v>
      </c>
      <c r="AE15" s="211">
        <f>+'GRUPO B'!X12</f>
        <v>0</v>
      </c>
      <c r="AF15" s="211">
        <f>+'GRUPO B'!Y12</f>
        <v>0</v>
      </c>
    </row>
    <row r="16" spans="1:32" s="196" customFormat="1" ht="30" customHeight="1" x14ac:dyDescent="0.3">
      <c r="A16" s="210">
        <v>43088</v>
      </c>
      <c r="B16" s="211" t="s">
        <v>119</v>
      </c>
      <c r="C16" s="211" t="s">
        <v>133</v>
      </c>
      <c r="D16" s="211" t="str">
        <f>+'GRUPO B'!E26</f>
        <v>CANUTO F.C.</v>
      </c>
      <c r="E16" s="211">
        <f>+'GRUPO B'!G26</f>
        <v>0</v>
      </c>
      <c r="F16" s="211">
        <f>+'GRUPO B'!I26</f>
        <v>0</v>
      </c>
      <c r="G16" s="211" t="str">
        <f>+'GRUPO B'!K26</f>
        <v>CLUB PROMOTOR DEPORTIVO SCORPION</v>
      </c>
      <c r="H16" s="210" t="str">
        <f>+'GRUPO B'!B4</f>
        <v>GRUPO B</v>
      </c>
      <c r="I16" s="211">
        <f>+I14</f>
        <v>0</v>
      </c>
      <c r="W16" s="225" t="str">
        <f>+'GRUPO B'!P14</f>
        <v xml:space="preserve">  3)  HUITACA FUTBOL CLUB CHIA</v>
      </c>
      <c r="X16" s="211">
        <f>+'GRUPO B'!Q14</f>
        <v>0</v>
      </c>
      <c r="Y16" s="211">
        <f>+'GRUPO B'!R14</f>
        <v>0</v>
      </c>
      <c r="Z16" s="211">
        <f>+'GRUPO B'!S14</f>
        <v>0</v>
      </c>
      <c r="AA16" s="211">
        <f>+'GRUPO B'!T14</f>
        <v>0</v>
      </c>
      <c r="AB16" s="211">
        <f>+'GRUPO B'!U14</f>
        <v>0</v>
      </c>
      <c r="AC16" s="211">
        <f>+'GRUPO B'!V14</f>
        <v>0</v>
      </c>
      <c r="AD16" s="211">
        <f>+'GRUPO B'!W14</f>
        <v>0</v>
      </c>
      <c r="AE16" s="211">
        <f>+'GRUPO B'!X14</f>
        <v>0</v>
      </c>
      <c r="AF16" s="211">
        <f>+'GRUPO B'!Y14</f>
        <v>0</v>
      </c>
    </row>
    <row r="17" spans="1:32" s="196" customFormat="1" ht="30" customHeight="1" x14ac:dyDescent="0.3">
      <c r="A17" s="210">
        <v>43088</v>
      </c>
      <c r="B17" s="211" t="s">
        <v>121</v>
      </c>
      <c r="C17" s="211" t="s">
        <v>133</v>
      </c>
      <c r="D17" s="211" t="str">
        <f>+'GRUPO B'!E29</f>
        <v>HUITACA FUTBOL CLUB CHIA</v>
      </c>
      <c r="E17" s="211">
        <f>+'GRUPO B'!G29</f>
        <v>0</v>
      </c>
      <c r="F17" s="211">
        <f>+'GRUPO B'!I29</f>
        <v>0</v>
      </c>
      <c r="G17" s="211" t="e">
        <f>+'GRUPO B'!K29</f>
        <v>#REF!</v>
      </c>
      <c r="H17" s="210" t="str">
        <f>+'GRUPO B'!B4</f>
        <v>GRUPO B</v>
      </c>
      <c r="I17" s="211">
        <f>+I15</f>
        <v>0</v>
      </c>
      <c r="W17" s="225" t="str">
        <f>+'GRUPO B'!P16</f>
        <v xml:space="preserve">  4)  CANUTO F.C.</v>
      </c>
      <c r="X17" s="211">
        <f>+'GRUPO B'!Q16</f>
        <v>0</v>
      </c>
      <c r="Y17" s="211">
        <f>+'GRUPO B'!R16</f>
        <v>0</v>
      </c>
      <c r="Z17" s="211">
        <f>+'GRUPO B'!S16</f>
        <v>0</v>
      </c>
      <c r="AA17" s="211">
        <f>+'GRUPO B'!T16</f>
        <v>0</v>
      </c>
      <c r="AB17" s="211">
        <f>+'GRUPO B'!U16</f>
        <v>0</v>
      </c>
      <c r="AC17" s="211">
        <f>+'GRUPO B'!V16</f>
        <v>0</v>
      </c>
      <c r="AD17" s="211">
        <f>+'GRUPO B'!W16</f>
        <v>0</v>
      </c>
      <c r="AE17" s="211">
        <f>+'GRUPO B'!X16</f>
        <v>0</v>
      </c>
      <c r="AF17" s="211">
        <f>+'GRUPO B'!Y16</f>
        <v>0</v>
      </c>
    </row>
    <row r="18" spans="1:32" s="196" customFormat="1" ht="30" customHeight="1" thickBot="1" x14ac:dyDescent="0.35"/>
    <row r="19" spans="1:32" s="196" customFormat="1" ht="30" customHeight="1" thickBot="1" x14ac:dyDescent="0.35">
      <c r="B19" s="514" t="s">
        <v>86</v>
      </c>
      <c r="C19" s="515"/>
      <c r="D19" s="515"/>
      <c r="E19" s="515"/>
      <c r="F19" s="515"/>
      <c r="G19" s="515"/>
      <c r="H19" s="515"/>
      <c r="I19" s="516"/>
    </row>
    <row r="20" spans="1:32" s="196" customFormat="1" ht="30" customHeight="1" x14ac:dyDescent="0.3">
      <c r="B20" s="234" t="s">
        <v>69</v>
      </c>
      <c r="C20" s="234" t="s">
        <v>70</v>
      </c>
      <c r="D20" s="234" t="s">
        <v>71</v>
      </c>
      <c r="E20" s="504" t="s">
        <v>72</v>
      </c>
      <c r="F20" s="504"/>
      <c r="G20" s="234" t="s">
        <v>71</v>
      </c>
      <c r="H20" s="234" t="s">
        <v>73</v>
      </c>
      <c r="I20" s="234" t="str">
        <f>+I13</f>
        <v>CATEGORIA</v>
      </c>
    </row>
    <row r="21" spans="1:32" s="196" customFormat="1" ht="30" customHeight="1" x14ac:dyDescent="0.3">
      <c r="A21" s="210">
        <v>43089</v>
      </c>
      <c r="B21" s="211" t="s">
        <v>120</v>
      </c>
      <c r="C21" s="211" t="s">
        <v>134</v>
      </c>
      <c r="D21" s="211" t="str">
        <f>+'GRUPO A'!E32</f>
        <v>INTER F. C.</v>
      </c>
      <c r="E21" s="211">
        <f>+'GRUPO A'!G32</f>
        <v>0</v>
      </c>
      <c r="F21" s="211">
        <f>+'GRUPO A'!I32</f>
        <v>0</v>
      </c>
      <c r="G21" s="211" t="str">
        <f>+'GRUPO A'!K32</f>
        <v>ATHLETIC MELGAR</v>
      </c>
      <c r="H21" s="211" t="str">
        <f>+'GRUPO A'!B4</f>
        <v>GRUPO A</v>
      </c>
      <c r="I21" s="211">
        <f>+I28</f>
        <v>0</v>
      </c>
    </row>
    <row r="22" spans="1:32" s="196" customFormat="1" ht="30" customHeight="1" x14ac:dyDescent="0.3">
      <c r="A22" s="210">
        <v>43089</v>
      </c>
      <c r="B22" s="211" t="s">
        <v>120</v>
      </c>
      <c r="C22" s="211" t="s">
        <v>135</v>
      </c>
      <c r="D22" s="211" t="str">
        <f>+'GRUPO A'!E35</f>
        <v>ASTON HUILA</v>
      </c>
      <c r="E22" s="211">
        <f>+'GRUPO A'!G35</f>
        <v>2</v>
      </c>
      <c r="F22" s="211">
        <f>+'GRUPO A'!I35</f>
        <v>2</v>
      </c>
      <c r="G22" s="211" t="str">
        <f>+'GRUPO A'!K35</f>
        <v>CLUB DEPORTIVO NUEVAS GENERACIONES</v>
      </c>
      <c r="H22" s="211" t="str">
        <f>+'GRUPO A'!B4</f>
        <v>GRUPO A</v>
      </c>
      <c r="I22" s="211">
        <f>+I29</f>
        <v>0</v>
      </c>
    </row>
    <row r="23" spans="1:32" s="196" customFormat="1" ht="30" customHeight="1" thickBot="1" x14ac:dyDescent="0.35"/>
    <row r="24" spans="1:32" s="196" customFormat="1" ht="30" customHeight="1" thickBot="1" x14ac:dyDescent="0.35">
      <c r="B24" s="505" t="s">
        <v>130</v>
      </c>
      <c r="C24" s="506"/>
      <c r="D24" s="506"/>
      <c r="E24" s="506"/>
      <c r="F24" s="506"/>
      <c r="G24" s="506"/>
      <c r="H24" s="506"/>
      <c r="I24" s="507"/>
    </row>
    <row r="25" spans="1:32" s="196" customFormat="1" ht="30" customHeight="1" x14ac:dyDescent="0.3">
      <c r="B25" s="234" t="s">
        <v>69</v>
      </c>
      <c r="C25" s="234" t="s">
        <v>70</v>
      </c>
      <c r="D25" s="234" t="s">
        <v>71</v>
      </c>
      <c r="E25" s="504" t="s">
        <v>72</v>
      </c>
      <c r="F25" s="504"/>
      <c r="G25" s="234" t="s">
        <v>71</v>
      </c>
      <c r="H25" s="234" t="s">
        <v>73</v>
      </c>
      <c r="I25" s="234">
        <f>+I18</f>
        <v>0</v>
      </c>
    </row>
    <row r="26" spans="1:32" s="196" customFormat="1" ht="30" customHeight="1" x14ac:dyDescent="0.3">
      <c r="A26" s="210">
        <v>43090</v>
      </c>
      <c r="B26" s="211" t="s">
        <v>119</v>
      </c>
      <c r="C26" s="211" t="s">
        <v>136</v>
      </c>
      <c r="D26" s="211" t="str">
        <f>+'GRUPO B'!E32</f>
        <v>CANUTO F.C.</v>
      </c>
      <c r="E26" s="211">
        <f>+'GRUPO B'!G32</f>
        <v>0</v>
      </c>
      <c r="F26" s="211">
        <f>+'GRUPO B'!I32</f>
        <v>0</v>
      </c>
      <c r="G26" s="211" t="e">
        <f>+'GRUPO B'!K32</f>
        <v>#REF!</v>
      </c>
      <c r="H26" s="211" t="str">
        <f>+'GRUPO B'!B4</f>
        <v>GRUPO B</v>
      </c>
      <c r="I26" s="211">
        <f>+I10</f>
        <v>0</v>
      </c>
    </row>
    <row r="27" spans="1:32" s="196" customFormat="1" ht="30" customHeight="1" x14ac:dyDescent="0.3">
      <c r="A27" s="210">
        <v>43090</v>
      </c>
      <c r="B27" s="211" t="s">
        <v>121</v>
      </c>
      <c r="C27" s="211" t="s">
        <v>136</v>
      </c>
      <c r="D27" s="211" t="str">
        <f>+'GRUPO B'!E35</f>
        <v>HUITACA FUTBOL CLUB CHIA</v>
      </c>
      <c r="E27" s="211">
        <f>+'GRUPO B'!G35</f>
        <v>0</v>
      </c>
      <c r="F27" s="211">
        <f>+'GRUPO B'!I35</f>
        <v>0</v>
      </c>
      <c r="G27" s="211" t="str">
        <f>+'GRUPO B'!K35</f>
        <v>CLUB PROMOTOR DEPORTIVO SCORPION</v>
      </c>
      <c r="H27" s="211" t="str">
        <f>+'GRUPO B'!B4</f>
        <v>GRUPO B</v>
      </c>
      <c r="I27" s="211">
        <f>+I9</f>
        <v>0</v>
      </c>
    </row>
    <row r="28" spans="1:32" s="196" customFormat="1" ht="30" customHeight="1" x14ac:dyDescent="0.3">
      <c r="A28" s="210">
        <v>43090</v>
      </c>
      <c r="B28" s="211" t="s">
        <v>119</v>
      </c>
      <c r="C28" s="211" t="s">
        <v>137</v>
      </c>
      <c r="D28" s="211" t="str">
        <f>+'GRUPO B'!E20</f>
        <v>CANUTO F.C.</v>
      </c>
      <c r="E28" s="211">
        <f>+'GRUPO B'!G20</f>
        <v>0</v>
      </c>
      <c r="F28" s="211">
        <f>+'GRUPO B'!I20</f>
        <v>0</v>
      </c>
      <c r="G28" s="211" t="str">
        <f>+'GRUPO B'!K20</f>
        <v>INTER F. C.</v>
      </c>
      <c r="H28" s="211" t="str">
        <f>+'GRUPO B'!B4</f>
        <v>GRUPO B</v>
      </c>
      <c r="I28" s="211">
        <f>+A3</f>
        <v>0</v>
      </c>
    </row>
    <row r="29" spans="1:32" s="196" customFormat="1" ht="30" customHeight="1" x14ac:dyDescent="0.3">
      <c r="A29" s="210">
        <v>43090</v>
      </c>
      <c r="B29" s="211" t="s">
        <v>121</v>
      </c>
      <c r="C29" s="211" t="s">
        <v>137</v>
      </c>
      <c r="D29" s="211" t="str">
        <f>+'GRUPO B'!E23</f>
        <v>CLUB PROMOTOR DEPORTIVO SCORPION</v>
      </c>
      <c r="E29" s="211">
        <f>+'GRUPO B'!G23</f>
        <v>0</v>
      </c>
      <c r="F29" s="211">
        <f>+'GRUPO B'!I23</f>
        <v>0</v>
      </c>
      <c r="G29" s="211" t="e">
        <f>+'GRUPO B'!K23</f>
        <v>#REF!</v>
      </c>
      <c r="H29" s="211" t="str">
        <f>+'GRUPO B'!B4</f>
        <v>GRUPO B</v>
      </c>
      <c r="I29" s="211">
        <f>+A3</f>
        <v>0</v>
      </c>
    </row>
    <row r="30" spans="1:32" s="196" customFormat="1" ht="6.6" customHeight="1" x14ac:dyDescent="0.3"/>
    <row r="31" spans="1:32" s="196" customFormat="1" ht="9" customHeight="1" x14ac:dyDescent="0.3"/>
    <row r="32" spans="1:32" s="196" customFormat="1" ht="30" customHeight="1" x14ac:dyDescent="0.3">
      <c r="A32" s="228" t="s">
        <v>122</v>
      </c>
      <c r="B32" s="40"/>
      <c r="C32" s="40"/>
      <c r="D32" s="40"/>
      <c r="E32" s="40"/>
      <c r="F32" s="40"/>
      <c r="G32" s="40"/>
      <c r="H32" s="40"/>
      <c r="I32" s="40"/>
    </row>
    <row r="33" spans="1:10" s="196" customFormat="1" ht="30" customHeight="1" x14ac:dyDescent="0.3">
      <c r="A33" s="228" t="s">
        <v>123</v>
      </c>
      <c r="B33" s="40"/>
      <c r="C33" s="40"/>
      <c r="D33" s="40"/>
      <c r="E33" s="40"/>
      <c r="F33" s="40"/>
      <c r="G33" s="40"/>
      <c r="H33" s="40"/>
      <c r="I33" s="40"/>
    </row>
    <row r="34" spans="1:10" s="196" customFormat="1" ht="30" customHeight="1" x14ac:dyDescent="0.3">
      <c r="A34" s="228" t="s">
        <v>124</v>
      </c>
      <c r="B34" s="40"/>
      <c r="C34" s="40"/>
      <c r="D34" s="40"/>
      <c r="E34" s="40"/>
      <c r="F34" s="40"/>
      <c r="G34" s="40"/>
      <c r="H34" s="40"/>
      <c r="I34" s="40"/>
    </row>
    <row r="35" spans="1:10" s="196" customFormat="1" ht="30" customHeight="1" x14ac:dyDescent="0.3">
      <c r="A35" s="228" t="s">
        <v>126</v>
      </c>
      <c r="B35" s="40"/>
      <c r="C35" s="40"/>
      <c r="D35" s="40"/>
      <c r="E35" s="40"/>
      <c r="F35" s="40"/>
      <c r="G35" s="40"/>
      <c r="H35" s="40"/>
      <c r="I35" s="40"/>
      <c r="J35" s="3"/>
    </row>
    <row r="36" spans="1:10" s="196" customFormat="1" ht="30" customHeight="1" x14ac:dyDescent="0.3">
      <c r="A36" s="228" t="s">
        <v>127</v>
      </c>
      <c r="B36" s="229"/>
      <c r="C36" s="229"/>
      <c r="D36" s="229"/>
      <c r="E36" s="229"/>
      <c r="F36" s="229"/>
      <c r="G36" s="229"/>
      <c r="H36" s="229"/>
      <c r="I36" s="40"/>
      <c r="J36" s="3"/>
    </row>
    <row r="37" spans="1:10" s="196" customFormat="1" ht="30" customHeight="1" x14ac:dyDescent="0.3">
      <c r="A37" s="228" t="s">
        <v>125</v>
      </c>
      <c r="B37" s="229"/>
      <c r="C37" s="229"/>
      <c r="D37" s="229"/>
      <c r="E37" s="229"/>
      <c r="F37" s="229"/>
      <c r="G37" s="229"/>
      <c r="H37" s="229"/>
      <c r="I37" s="40"/>
      <c r="J37" s="3"/>
    </row>
    <row r="38" spans="1:10" ht="30" customHeight="1" x14ac:dyDescent="0.3">
      <c r="A38" s="196"/>
      <c r="B38" s="196"/>
      <c r="C38" s="196"/>
      <c r="D38" s="196"/>
      <c r="E38" s="196"/>
      <c r="F38" s="196"/>
      <c r="G38" s="196"/>
      <c r="H38" s="196"/>
    </row>
    <row r="39" spans="1:10" ht="30" customHeight="1" x14ac:dyDescent="0.3">
      <c r="A39" s="196"/>
      <c r="B39" s="196"/>
      <c r="C39" s="196"/>
      <c r="D39" s="196"/>
      <c r="E39" s="196"/>
      <c r="F39" s="196"/>
      <c r="G39" s="196"/>
      <c r="H39" s="196"/>
    </row>
    <row r="40" spans="1:10" ht="30" customHeight="1" x14ac:dyDescent="0.3">
      <c r="A40" s="196"/>
      <c r="B40" s="196"/>
      <c r="C40" s="196"/>
      <c r="D40" s="196"/>
      <c r="E40" s="196"/>
      <c r="F40" s="196"/>
      <c r="G40" s="196"/>
      <c r="H40" s="196"/>
    </row>
    <row r="41" spans="1:10" ht="30" customHeight="1" x14ac:dyDescent="0.3">
      <c r="A41" s="196"/>
      <c r="B41" s="196"/>
      <c r="C41" s="196"/>
      <c r="D41" s="196"/>
      <c r="E41" s="196"/>
      <c r="F41" s="196"/>
      <c r="G41" s="196"/>
      <c r="H41" s="196"/>
    </row>
    <row r="42" spans="1:10" ht="30" customHeight="1" x14ac:dyDescent="0.3">
      <c r="A42" s="196"/>
      <c r="B42" s="196"/>
      <c r="C42" s="196"/>
      <c r="D42" s="196"/>
      <c r="E42" s="196"/>
      <c r="F42" s="196"/>
      <c r="G42" s="196"/>
      <c r="H42" s="196"/>
    </row>
    <row r="43" spans="1:10" ht="30" customHeight="1" x14ac:dyDescent="0.3">
      <c r="A43" s="196"/>
      <c r="B43" s="196"/>
      <c r="C43" s="196"/>
      <c r="D43" s="196"/>
      <c r="E43" s="196"/>
      <c r="F43" s="196"/>
      <c r="G43" s="196"/>
      <c r="H43" s="196"/>
    </row>
    <row r="44" spans="1:10" ht="30" customHeight="1" x14ac:dyDescent="0.3">
      <c r="A44" s="196"/>
      <c r="B44" s="196"/>
      <c r="C44" s="196"/>
      <c r="D44" s="196"/>
      <c r="E44" s="196"/>
      <c r="F44" s="196"/>
      <c r="G44" s="196"/>
      <c r="H44" s="196"/>
    </row>
    <row r="45" spans="1:10" ht="30" customHeight="1" x14ac:dyDescent="0.3">
      <c r="A45" s="196"/>
      <c r="B45" s="196"/>
      <c r="C45" s="196"/>
      <c r="D45" s="196"/>
      <c r="E45" s="196"/>
      <c r="F45" s="196"/>
      <c r="G45" s="196"/>
      <c r="H45" s="196"/>
    </row>
  </sheetData>
  <mergeCells count="15">
    <mergeCell ref="A1:I1"/>
    <mergeCell ref="A2:I2"/>
    <mergeCell ref="A3:I3"/>
    <mergeCell ref="A4:I4"/>
    <mergeCell ref="A5:I5"/>
    <mergeCell ref="K13:T14"/>
    <mergeCell ref="A6:I6"/>
    <mergeCell ref="E20:F20"/>
    <mergeCell ref="B24:I24"/>
    <mergeCell ref="E25:F25"/>
    <mergeCell ref="B12:I12"/>
    <mergeCell ref="B7:I7"/>
    <mergeCell ref="B19:I19"/>
    <mergeCell ref="E8:F8"/>
    <mergeCell ref="E13:F1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6" t="e">
        <f>+'GRUPOS INFANTIL'!C1:H1</f>
        <v>#VALUE!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</row>
    <row r="2" spans="1:19" ht="28.8" x14ac:dyDescent="0.55000000000000004">
      <c r="A2" s="521" t="e">
        <f>+'GRUPOS INFANTIL'!C2:H2</f>
        <v>#VALUE!</v>
      </c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</row>
    <row r="3" spans="1:19" ht="28.8" x14ac:dyDescent="0.55000000000000004">
      <c r="A3" s="521">
        <f>+'GRUPOS INFANTIL'!C3</f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</row>
    <row r="4" spans="1:19" ht="21" x14ac:dyDescent="0.4">
      <c r="A4" s="488" t="str">
        <f>+'GRUPOS INFANTIL'!C4</f>
        <v>NACIDOS 2017 2018</v>
      </c>
      <c r="B4" s="488"/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</row>
    <row r="5" spans="1:19" ht="21" x14ac:dyDescent="0.4">
      <c r="A5" s="488" t="s">
        <v>74</v>
      </c>
      <c r="B5" s="488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8"/>
      <c r="O5" s="488"/>
      <c r="P5" s="488"/>
      <c r="Q5" s="488"/>
      <c r="R5" s="488"/>
      <c r="S5" s="488"/>
    </row>
    <row r="6" spans="1:19" ht="21" customHeight="1" x14ac:dyDescent="0.3">
      <c r="A6"/>
      <c r="B6" s="523" t="str">
        <f>+IMPRIMIR!A14</f>
        <v>PARTIDOS                 fecha 1</v>
      </c>
      <c r="C6" s="524"/>
      <c r="D6" s="524"/>
      <c r="E6" s="524"/>
      <c r="F6" s="524"/>
      <c r="G6" s="524"/>
      <c r="H6" s="525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x14ac:dyDescent="0.3">
      <c r="B7" s="179" t="s">
        <v>69</v>
      </c>
      <c r="C7" s="179" t="s">
        <v>70</v>
      </c>
      <c r="D7" s="179" t="s">
        <v>71</v>
      </c>
      <c r="E7" s="527" t="s">
        <v>72</v>
      </c>
      <c r="F7" s="527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customHeight="1" x14ac:dyDescent="0.3">
      <c r="A8" s="528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ASTON HUILA</v>
      </c>
      <c r="E8" s="168">
        <f>+'GRUPO A'!G20</f>
        <v>7</v>
      </c>
      <c r="F8" s="168">
        <f>+'GRUPO A'!I20</f>
        <v>0</v>
      </c>
      <c r="G8" s="168" t="str">
        <f>+'GRUPO A'!K20</f>
        <v>INTER F. C.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customHeight="1" x14ac:dyDescent="0.3">
      <c r="A9" s="529"/>
      <c r="B9" s="170" t="str">
        <f>+'GRUPO A'!M23</f>
        <v>LAS VEGAS</v>
      </c>
      <c r="C9" s="170" t="str">
        <f>+'GRUPO A'!C23</f>
        <v>08:20. a.m.</v>
      </c>
      <c r="D9" s="170" t="str">
        <f>+'GRUPO A'!E23</f>
        <v>ATHLETIC MELGAR</v>
      </c>
      <c r="E9" s="170">
        <f>+'GRUPO A'!G23</f>
        <v>1</v>
      </c>
      <c r="F9" s="170">
        <f>+'GRUPO A'!I23</f>
        <v>2</v>
      </c>
      <c r="G9" s="170" t="str">
        <f>+'GRUPO A'!K23</f>
        <v>CLUB DEPORTIVO NUEVAS GENERACIONES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customHeight="1" x14ac:dyDescent="0.3">
      <c r="A10" s="529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INTER F. C.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customHeight="1" x14ac:dyDescent="0.3">
      <c r="A11" s="529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customHeight="1" x14ac:dyDescent="0.3">
      <c r="A12" s="529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customHeight="1" x14ac:dyDescent="0.3">
      <c r="A13" s="529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customHeight="1" x14ac:dyDescent="0.3">
      <c r="A14" s="529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customHeight="1" x14ac:dyDescent="0.3">
      <c r="A15" s="529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customHeight="1" x14ac:dyDescent="0.3">
      <c r="J16" s="182"/>
    </row>
    <row r="17" spans="1:19" ht="21" customHeight="1" x14ac:dyDescent="0.3">
      <c r="B17" s="530" t="str">
        <f>+'IMPRIMIR 2'!A14</f>
        <v>PARTIDOS                 fecha 2</v>
      </c>
      <c r="C17" s="531"/>
      <c r="D17" s="531"/>
      <c r="E17" s="531"/>
      <c r="F17" s="531"/>
      <c r="G17" s="531"/>
      <c r="H17" s="532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customHeight="1" x14ac:dyDescent="0.3">
      <c r="B18" s="179" t="s">
        <v>69</v>
      </c>
      <c r="C18" s="179" t="s">
        <v>70</v>
      </c>
      <c r="D18" s="179" t="s">
        <v>71</v>
      </c>
      <c r="E18" s="527" t="s">
        <v>72</v>
      </c>
      <c r="F18" s="527"/>
      <c r="G18" s="179" t="s">
        <v>71</v>
      </c>
      <c r="H18" s="179" t="s">
        <v>73</v>
      </c>
    </row>
    <row r="19" spans="1:19" ht="21" customHeight="1" x14ac:dyDescent="0.3">
      <c r="A19" s="528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ASTON HUILA</v>
      </c>
      <c r="E19" s="168">
        <f>+'GRUPO A'!G26</f>
        <v>3</v>
      </c>
      <c r="F19" s="168">
        <f>+'GRUPO A'!I26</f>
        <v>0</v>
      </c>
      <c r="G19" s="168" t="str">
        <f>+'GRUPO A'!K26</f>
        <v>ATHLETIC MELGAR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customHeight="1" x14ac:dyDescent="0.3">
      <c r="A20" s="529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INTER F. C.</v>
      </c>
      <c r="E20" s="170">
        <f>+'GRUPO A'!G29</f>
        <v>3</v>
      </c>
      <c r="F20" s="170">
        <f>+'GRUPO A'!I29</f>
        <v>3</v>
      </c>
      <c r="G20" s="170" t="str">
        <f>+'GRUPO A'!K29</f>
        <v>CLUB DEPORTIVO NUEVAS GENERACIONES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customHeight="1" x14ac:dyDescent="0.3">
      <c r="A21" s="529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customHeight="1" x14ac:dyDescent="0.3">
      <c r="A22" s="529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customHeight="1" x14ac:dyDescent="0.3">
      <c r="A23" s="529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customHeight="1" x14ac:dyDescent="0.3">
      <c r="A24" s="529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29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customHeight="1" x14ac:dyDescent="0.3">
      <c r="A26" s="529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23" t="str">
        <f>+'IMPRIMIR 3'!A17</f>
        <v>PARTIDOS                 fecha 3 ULTIMA</v>
      </c>
      <c r="C28" s="524"/>
      <c r="D28" s="524"/>
      <c r="E28" s="524"/>
      <c r="F28" s="524"/>
      <c r="G28" s="524"/>
      <c r="H28" s="525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customHeight="1" x14ac:dyDescent="0.3">
      <c r="B29" s="179" t="s">
        <v>69</v>
      </c>
      <c r="C29" s="179" t="s">
        <v>70</v>
      </c>
      <c r="D29" s="179" t="s">
        <v>71</v>
      </c>
      <c r="E29" s="527" t="s">
        <v>72</v>
      </c>
      <c r="F29" s="527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customHeight="1" x14ac:dyDescent="0.3">
      <c r="A30" s="528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INTER F. C.</v>
      </c>
      <c r="E30" s="168">
        <f>+'GRUPO A'!G32</f>
        <v>0</v>
      </c>
      <c r="F30" s="168">
        <f>+'GRUPO A'!I32</f>
        <v>0</v>
      </c>
      <c r="G30" s="168" t="str">
        <f>+'GRUPO A'!K32</f>
        <v>ATHLETIC MELGAR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customHeight="1" x14ac:dyDescent="0.3">
      <c r="A31" s="529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ASTON HUILA</v>
      </c>
      <c r="E31" s="170">
        <f>+'GRUPO A'!G35</f>
        <v>2</v>
      </c>
      <c r="F31" s="170">
        <f>+'GRUPO A'!I35</f>
        <v>2</v>
      </c>
      <c r="G31" s="170" t="str">
        <f>+'GRUPO A'!K35</f>
        <v>CLUB DEPORTIVO NUEVAS GENERACIONES</v>
      </c>
      <c r="H31" s="171" t="str">
        <f>+'GRUPO A'!B4</f>
        <v>GRUPO A</v>
      </c>
    </row>
    <row r="32" spans="1:19" ht="21" customHeight="1" x14ac:dyDescent="0.3">
      <c r="A32" s="529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customHeight="1" x14ac:dyDescent="0.3">
      <c r="A33" s="529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customHeight="1" x14ac:dyDescent="0.3">
      <c r="A34" s="529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customHeight="1" x14ac:dyDescent="0.3">
      <c r="A35" s="529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customHeight="1" x14ac:dyDescent="0.3">
      <c r="A36" s="529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customHeight="1" x14ac:dyDescent="0.3">
      <c r="A37" s="529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30" t="str">
        <f>+DEFINICION!B5</f>
        <v>SEMIFINALES</v>
      </c>
      <c r="C39" s="531"/>
      <c r="D39" s="531"/>
      <c r="E39" s="531"/>
      <c r="F39" s="531"/>
      <c r="G39" s="531"/>
      <c r="H39" s="532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7" t="s">
        <v>72</v>
      </c>
      <c r="F40" s="527"/>
      <c r="G40" s="179" t="s">
        <v>71</v>
      </c>
      <c r="H40" s="179" t="s">
        <v>76</v>
      </c>
    </row>
    <row r="41" spans="1:8" ht="21" customHeight="1" x14ac:dyDescent="0.3">
      <c r="A41" s="528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>ASTON HUILA</v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8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8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>CLUB DEPORTIVO NUEVAS GENERACIONES</v>
      </c>
      <c r="H43" s="169" t="str">
        <f>+'CUARTOS DE FINAL.'!C12</f>
        <v>LLAVE C</v>
      </c>
    </row>
    <row r="44" spans="1:8" ht="21" customHeight="1" x14ac:dyDescent="0.3">
      <c r="A44" s="528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6" t="e">
        <f>+'GRUPOS INFANTIL'!C1:H1</f>
        <v>#VALUE!</v>
      </c>
      <c r="B1" s="526"/>
      <c r="C1" s="526"/>
      <c r="D1" s="526"/>
      <c r="E1" s="526"/>
      <c r="F1" s="526"/>
      <c r="G1" s="526"/>
      <c r="H1" s="526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28.8" x14ac:dyDescent="0.55000000000000004">
      <c r="A2" s="521" t="e">
        <f>+'GRUPOS INFANTIL'!C2:H2</f>
        <v>#VALUE!</v>
      </c>
      <c r="B2" s="521"/>
      <c r="C2" s="521"/>
      <c r="D2" s="521"/>
      <c r="E2" s="521"/>
      <c r="F2" s="521"/>
      <c r="G2" s="521"/>
      <c r="H2" s="521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21">
        <f>+'GRUPOS INFANTIL'!C3</f>
        <v>0</v>
      </c>
      <c r="B3" s="521"/>
      <c r="C3" s="521"/>
      <c r="D3" s="521"/>
      <c r="E3" s="521"/>
      <c r="F3" s="521"/>
      <c r="G3" s="521"/>
      <c r="H3" s="521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488" t="str">
        <f>+'GRUPOS INFANTIL'!C4</f>
        <v>NACIDOS 2017 2018</v>
      </c>
      <c r="B4" s="488"/>
      <c r="C4" s="488"/>
      <c r="D4" s="488"/>
      <c r="E4" s="488"/>
      <c r="F4" s="488"/>
      <c r="G4" s="488"/>
      <c r="H4" s="488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8" t="s">
        <v>74</v>
      </c>
      <c r="B5" s="488"/>
      <c r="C5" s="488"/>
      <c r="D5" s="488"/>
      <c r="E5" s="488"/>
      <c r="F5" s="488"/>
      <c r="G5" s="488"/>
      <c r="H5" s="488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21" hidden="1" customHeight="1" x14ac:dyDescent="0.3">
      <c r="A6"/>
      <c r="B6" s="523" t="str">
        <f>+IMPRIMIR!A14</f>
        <v>PARTIDOS                 fecha 1</v>
      </c>
      <c r="C6" s="524"/>
      <c r="D6" s="524"/>
      <c r="E6" s="524"/>
      <c r="F6" s="524"/>
      <c r="G6" s="524"/>
      <c r="H6" s="525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hidden="1" x14ac:dyDescent="0.3">
      <c r="B7" s="179" t="s">
        <v>69</v>
      </c>
      <c r="C7" s="179" t="s">
        <v>70</v>
      </c>
      <c r="D7" s="179" t="s">
        <v>71</v>
      </c>
      <c r="E7" s="527" t="s">
        <v>72</v>
      </c>
      <c r="F7" s="527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hidden="1" customHeight="1" x14ac:dyDescent="0.3">
      <c r="A8" s="528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ASTON HUILA</v>
      </c>
      <c r="E8" s="168">
        <f>+'GRUPO A'!G20</f>
        <v>7</v>
      </c>
      <c r="F8" s="168">
        <f>+'GRUPO A'!I20</f>
        <v>0</v>
      </c>
      <c r="G8" s="168" t="str">
        <f>+'GRUPO A'!K20</f>
        <v>INTER F. C.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hidden="1" customHeight="1" x14ac:dyDescent="0.3">
      <c r="A9" s="529"/>
      <c r="B9" s="170" t="str">
        <f>+'GRUPO A'!M23</f>
        <v>LAS VEGAS</v>
      </c>
      <c r="C9" s="170" t="str">
        <f>+'GRUPO A'!C23</f>
        <v>08:20. a.m.</v>
      </c>
      <c r="D9" s="170" t="str">
        <f>+'GRUPO A'!E23</f>
        <v>ATHLETIC MELGAR</v>
      </c>
      <c r="E9" s="170">
        <f>+'GRUPO A'!G23</f>
        <v>1</v>
      </c>
      <c r="F9" s="170">
        <f>+'GRUPO A'!I23</f>
        <v>2</v>
      </c>
      <c r="G9" s="170" t="str">
        <f>+'GRUPO A'!K23</f>
        <v>CLUB DEPORTIVO NUEVAS GENERACIONES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hidden="1" customHeight="1" x14ac:dyDescent="0.3">
      <c r="A10" s="529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INTER F. C.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hidden="1" customHeight="1" x14ac:dyDescent="0.3">
      <c r="A11" s="529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hidden="1" customHeight="1" x14ac:dyDescent="0.3">
      <c r="A12" s="529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hidden="1" customHeight="1" x14ac:dyDescent="0.3">
      <c r="A13" s="529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hidden="1" customHeight="1" x14ac:dyDescent="0.3">
      <c r="A14" s="529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hidden="1" customHeight="1" x14ac:dyDescent="0.3">
      <c r="A15" s="529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hidden="1" customHeight="1" x14ac:dyDescent="0.3">
      <c r="J16" s="182"/>
    </row>
    <row r="17" spans="1:19" ht="21" hidden="1" customHeight="1" x14ac:dyDescent="0.3">
      <c r="B17" s="530" t="str">
        <f>+'IMPRIMIR 2'!A14</f>
        <v>PARTIDOS                 fecha 2</v>
      </c>
      <c r="C17" s="531"/>
      <c r="D17" s="531"/>
      <c r="E17" s="531"/>
      <c r="F17" s="531"/>
      <c r="G17" s="531"/>
      <c r="H17" s="532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hidden="1" customHeight="1" x14ac:dyDescent="0.3">
      <c r="B18" s="179" t="s">
        <v>69</v>
      </c>
      <c r="C18" s="179" t="s">
        <v>70</v>
      </c>
      <c r="D18" s="179" t="s">
        <v>71</v>
      </c>
      <c r="E18" s="527" t="s">
        <v>72</v>
      </c>
      <c r="F18" s="527"/>
      <c r="G18" s="179" t="s">
        <v>71</v>
      </c>
      <c r="H18" s="179" t="s">
        <v>73</v>
      </c>
    </row>
    <row r="19" spans="1:19" ht="21" hidden="1" customHeight="1" x14ac:dyDescent="0.3">
      <c r="A19" s="528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ASTON HUILA</v>
      </c>
      <c r="E19" s="168">
        <f>+'GRUPO A'!G26</f>
        <v>3</v>
      </c>
      <c r="F19" s="168">
        <f>+'GRUPO A'!I26</f>
        <v>0</v>
      </c>
      <c r="G19" s="168" t="str">
        <f>+'GRUPO A'!K26</f>
        <v>ATHLETIC MELGAR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hidden="1" customHeight="1" x14ac:dyDescent="0.3">
      <c r="A20" s="529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INTER F. C.</v>
      </c>
      <c r="E20" s="170">
        <f>+'GRUPO A'!G29</f>
        <v>3</v>
      </c>
      <c r="F20" s="170">
        <f>+'GRUPO A'!I29</f>
        <v>3</v>
      </c>
      <c r="G20" s="170" t="str">
        <f>+'GRUPO A'!K29</f>
        <v>CLUB DEPORTIVO NUEVAS GENERACIONES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hidden="1" customHeight="1" x14ac:dyDescent="0.3">
      <c r="A21" s="529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hidden="1" customHeight="1" x14ac:dyDescent="0.3">
      <c r="A22" s="529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hidden="1" customHeight="1" x14ac:dyDescent="0.3">
      <c r="A23" s="529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hidden="1" customHeight="1" x14ac:dyDescent="0.3">
      <c r="A24" s="529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29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hidden="1" customHeight="1" x14ac:dyDescent="0.3">
      <c r="A26" s="529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23" t="str">
        <f>+'IMPRIMIR 3'!A17</f>
        <v>PARTIDOS                 fecha 3 ULTIMA</v>
      </c>
      <c r="C28" s="524"/>
      <c r="D28" s="524"/>
      <c r="E28" s="524"/>
      <c r="F28" s="524"/>
      <c r="G28" s="524"/>
      <c r="H28" s="525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hidden="1" customHeight="1" x14ac:dyDescent="0.3">
      <c r="B29" s="179" t="s">
        <v>69</v>
      </c>
      <c r="C29" s="179" t="s">
        <v>70</v>
      </c>
      <c r="D29" s="179" t="s">
        <v>71</v>
      </c>
      <c r="E29" s="527" t="s">
        <v>72</v>
      </c>
      <c r="F29" s="527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hidden="1" customHeight="1" x14ac:dyDescent="0.3">
      <c r="A30" s="528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INTER F. C.</v>
      </c>
      <c r="E30" s="168">
        <f>+'GRUPO A'!G32</f>
        <v>0</v>
      </c>
      <c r="F30" s="168">
        <f>+'GRUPO A'!I32</f>
        <v>0</v>
      </c>
      <c r="G30" s="168" t="str">
        <f>+'GRUPO A'!K32</f>
        <v>ATHLETIC MELGAR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hidden="1" customHeight="1" x14ac:dyDescent="0.3">
      <c r="A31" s="529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ASTON HUILA</v>
      </c>
      <c r="E31" s="170">
        <f>+'GRUPO A'!G35</f>
        <v>2</v>
      </c>
      <c r="F31" s="170">
        <f>+'GRUPO A'!I35</f>
        <v>2</v>
      </c>
      <c r="G31" s="170" t="str">
        <f>+'GRUPO A'!K35</f>
        <v>CLUB DEPORTIVO NUEVAS GENERACIONES</v>
      </c>
      <c r="H31" s="171" t="str">
        <f>+'GRUPO A'!B4</f>
        <v>GRUPO A</v>
      </c>
    </row>
    <row r="32" spans="1:19" ht="21" hidden="1" customHeight="1" x14ac:dyDescent="0.3">
      <c r="A32" s="529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hidden="1" customHeight="1" x14ac:dyDescent="0.3">
      <c r="A33" s="529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hidden="1" customHeight="1" x14ac:dyDescent="0.3">
      <c r="A34" s="529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hidden="1" customHeight="1" x14ac:dyDescent="0.3">
      <c r="A35" s="529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hidden="1" customHeight="1" x14ac:dyDescent="0.3">
      <c r="A36" s="529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hidden="1" customHeight="1" x14ac:dyDescent="0.3">
      <c r="A37" s="529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39" t="str">
        <f>+'CUARTOS DE FINAL.'!B2</f>
        <v>CUARTOS DE FINAL</v>
      </c>
      <c r="C39" s="540"/>
      <c r="D39" s="540"/>
      <c r="E39" s="540"/>
      <c r="F39" s="540"/>
      <c r="G39" s="540"/>
      <c r="H39" s="541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7" t="s">
        <v>72</v>
      </c>
      <c r="F40" s="527"/>
      <c r="G40" s="179" t="s">
        <v>71</v>
      </c>
      <c r="H40" s="179" t="s">
        <v>76</v>
      </c>
    </row>
    <row r="41" spans="1:8" ht="21" customHeight="1" x14ac:dyDescent="0.3">
      <c r="A41" s="528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>ASTON HUILA</v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8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8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>CLUB DEPORTIVO NUEVAS GENERACIONES</v>
      </c>
      <c r="H43" s="169" t="str">
        <f>+'CUARTOS DE FINAL.'!C12</f>
        <v>LLAVE C</v>
      </c>
    </row>
    <row r="44" spans="1:8" ht="21" customHeight="1" x14ac:dyDescent="0.3">
      <c r="A44" s="528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42" t="str">
        <f>+DEFINICION!B5</f>
        <v>SEMIFINALES</v>
      </c>
      <c r="C46" s="543"/>
      <c r="D46" s="543"/>
      <c r="E46" s="543"/>
      <c r="F46" s="543"/>
      <c r="G46" s="543"/>
      <c r="H46" s="544"/>
    </row>
    <row r="47" spans="1:8" ht="27.9" customHeight="1" x14ac:dyDescent="0.3">
      <c r="B47" s="179" t="s">
        <v>69</v>
      </c>
      <c r="C47" s="179" t="s">
        <v>70</v>
      </c>
      <c r="D47" s="179" t="s">
        <v>71</v>
      </c>
      <c r="E47" s="527" t="s">
        <v>72</v>
      </c>
      <c r="F47" s="527"/>
      <c r="G47" s="179" t="s">
        <v>71</v>
      </c>
      <c r="H47" s="179" t="s">
        <v>76</v>
      </c>
    </row>
    <row r="48" spans="1:8" ht="27.9" customHeight="1" x14ac:dyDescent="0.3">
      <c r="A48" s="528">
        <f>+DEFINICION!B9</f>
        <v>42814</v>
      </c>
      <c r="B48" s="169" t="str">
        <f>+DEFINICION!Q9</f>
        <v>CANCHA 2</v>
      </c>
      <c r="C48" s="168" t="str">
        <f>+DEFINICION!D9</f>
        <v>07:00. a.m.</v>
      </c>
      <c r="D48" s="168" t="s">
        <v>56</v>
      </c>
      <c r="E48" s="168">
        <f>+'CUARTOS DE FINAL.'!H13</f>
        <v>0</v>
      </c>
      <c r="F48" s="168">
        <f>+'CUARTOS DE FINAL.'!J13</f>
        <v>0</v>
      </c>
      <c r="G48" s="168" t="s">
        <v>57</v>
      </c>
      <c r="H48" s="169" t="str">
        <f>+DEFINICION!C9</f>
        <v>LLAVE 1</v>
      </c>
    </row>
    <row r="49" spans="1:8" ht="27.9" customHeight="1" x14ac:dyDescent="0.3">
      <c r="A49" s="528"/>
      <c r="B49" s="171" t="str">
        <f>+DEFINICION!Q12</f>
        <v>CANCHA 2</v>
      </c>
      <c r="C49" s="170" t="str">
        <f>+DEFINICION!D12</f>
        <v>08:00. a.m.</v>
      </c>
      <c r="D49" s="170" t="s">
        <v>61</v>
      </c>
      <c r="E49" s="170">
        <f>+'CUARTOS DE FINAL.'!H16</f>
        <v>0</v>
      </c>
      <c r="F49" s="170">
        <f>+'CUARTOS DE FINAL.'!J16</f>
        <v>0</v>
      </c>
      <c r="G49" s="170" t="s">
        <v>62</v>
      </c>
      <c r="H49" s="171" t="str">
        <f>+DEFINICION!C12</f>
        <v>LLAVE 2</v>
      </c>
    </row>
    <row r="50" spans="1:8" ht="27.9" customHeight="1" x14ac:dyDescent="0.3">
      <c r="A50" s="187"/>
      <c r="B50" s="183"/>
      <c r="C50" s="1"/>
      <c r="D50" s="1"/>
      <c r="E50" s="1"/>
      <c r="F50" s="1"/>
      <c r="G50" s="1"/>
      <c r="H50" s="183"/>
    </row>
    <row r="51" spans="1:8" ht="27.9" customHeight="1" x14ac:dyDescent="0.3">
      <c r="B51" s="536" t="str">
        <f>+FINAL!B7</f>
        <v>Partido por el TERCER PUESTO</v>
      </c>
      <c r="C51" s="537"/>
      <c r="D51" s="537"/>
      <c r="E51" s="537"/>
      <c r="F51" s="537"/>
      <c r="G51" s="537"/>
      <c r="H51" s="538"/>
    </row>
    <row r="52" spans="1:8" ht="27.9" customHeight="1" x14ac:dyDescent="0.3">
      <c r="B52" s="179" t="s">
        <v>69</v>
      </c>
      <c r="C52" s="179" t="s">
        <v>70</v>
      </c>
      <c r="D52" s="179" t="s">
        <v>71</v>
      </c>
      <c r="E52" s="527" t="s">
        <v>72</v>
      </c>
      <c r="F52" s="527"/>
      <c r="G52" s="179" t="s">
        <v>71</v>
      </c>
      <c r="H52" s="179"/>
    </row>
    <row r="53" spans="1:8" ht="27.9" customHeight="1" x14ac:dyDescent="0.3">
      <c r="A53" s="184">
        <f>+DEFINICION!B14</f>
        <v>0</v>
      </c>
      <c r="B53" s="169" t="str">
        <f>+FINAL!O9</f>
        <v>CANCHA 2</v>
      </c>
      <c r="C53" s="168">
        <f>+DEFINICION!D14</f>
        <v>0</v>
      </c>
      <c r="D53" s="168" t="s">
        <v>65</v>
      </c>
      <c r="E53" s="168">
        <f>+'CUARTOS DE FINAL.'!H18</f>
        <v>0</v>
      </c>
      <c r="F53" s="168">
        <f>+'CUARTOS DE FINAL.'!J18</f>
        <v>0</v>
      </c>
      <c r="G53" s="168" t="s">
        <v>66</v>
      </c>
      <c r="H53" s="169"/>
    </row>
    <row r="54" spans="1:8" ht="10.5" customHeight="1" x14ac:dyDescent="0.3">
      <c r="A54" s="185"/>
      <c r="B54" s="188"/>
      <c r="C54" s="189"/>
      <c r="D54" s="189"/>
      <c r="E54" s="189"/>
      <c r="F54" s="189"/>
      <c r="G54" s="189"/>
      <c r="H54" s="190"/>
    </row>
    <row r="55" spans="1:8" ht="27.9" customHeight="1" x14ac:dyDescent="0.3">
      <c r="A55" s="185"/>
      <c r="B55" s="533" t="str">
        <f>+FINAL!B13</f>
        <v>FINAL DEL CAMPEONATO</v>
      </c>
      <c r="C55" s="534"/>
      <c r="D55" s="534"/>
      <c r="E55" s="534"/>
      <c r="F55" s="534"/>
      <c r="G55" s="534"/>
      <c r="H55" s="535"/>
    </row>
    <row r="56" spans="1:8" ht="27.9" customHeight="1" x14ac:dyDescent="0.3">
      <c r="A56" s="185"/>
      <c r="B56" s="179" t="s">
        <v>69</v>
      </c>
      <c r="C56" s="179" t="s">
        <v>70</v>
      </c>
      <c r="D56" s="179" t="s">
        <v>71</v>
      </c>
      <c r="E56" s="527" t="s">
        <v>72</v>
      </c>
      <c r="F56" s="527"/>
      <c r="G56" s="179" t="s">
        <v>71</v>
      </c>
      <c r="H56" s="179"/>
    </row>
    <row r="57" spans="1:8" ht="27.9" customHeight="1" x14ac:dyDescent="0.3">
      <c r="A57" s="186"/>
      <c r="B57" s="171" t="str">
        <f>+FINAL!O15</f>
        <v>CANCHA 2</v>
      </c>
      <c r="C57" s="170">
        <f>+DEFINICION!C4</f>
        <v>0</v>
      </c>
      <c r="D57" s="170" t="s">
        <v>67</v>
      </c>
      <c r="E57" s="170">
        <f>+'CUARTOS DE FINAL.'!H21</f>
        <v>0</v>
      </c>
      <c r="F57" s="170">
        <f>+'CUARTOS DE FINAL.'!J21</f>
        <v>0</v>
      </c>
      <c r="G57" s="170" t="s">
        <v>68</v>
      </c>
      <c r="H57" s="171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6" t="e">
        <f>+'GRUPOS INFANTIL'!C1:H1</f>
        <v>#VALUE!</v>
      </c>
      <c r="B1" s="526"/>
      <c r="C1" s="526"/>
      <c r="D1" s="526"/>
      <c r="E1" s="526"/>
      <c r="F1" s="526"/>
      <c r="G1" s="526"/>
      <c r="H1" s="526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28.8" x14ac:dyDescent="0.55000000000000004">
      <c r="A2" s="521" t="e">
        <f>+'GRUPOS INFANTIL'!C2:H2</f>
        <v>#VALUE!</v>
      </c>
      <c r="B2" s="521"/>
      <c r="C2" s="521"/>
      <c r="D2" s="521"/>
      <c r="E2" s="521"/>
      <c r="F2" s="521"/>
      <c r="G2" s="521"/>
      <c r="H2" s="521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21">
        <f>+'GRUPOS INFANTIL'!C3</f>
        <v>0</v>
      </c>
      <c r="B3" s="521"/>
      <c r="C3" s="521"/>
      <c r="D3" s="521"/>
      <c r="E3" s="521"/>
      <c r="F3" s="521"/>
      <c r="G3" s="521"/>
      <c r="H3" s="521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488" t="str">
        <f>+'GRUPOS INFANTIL'!C4</f>
        <v>NACIDOS 2017 2018</v>
      </c>
      <c r="B4" s="488"/>
      <c r="C4" s="488"/>
      <c r="D4" s="488"/>
      <c r="E4" s="488"/>
      <c r="F4" s="488"/>
      <c r="G4" s="488"/>
      <c r="H4" s="488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8" t="s">
        <v>74</v>
      </c>
      <c r="B5" s="488"/>
      <c r="C5" s="488"/>
      <c r="D5" s="488"/>
      <c r="E5" s="488"/>
      <c r="F5" s="488"/>
      <c r="G5" s="488"/>
      <c r="H5" s="488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21" hidden="1" customHeight="1" x14ac:dyDescent="0.3">
      <c r="A6"/>
      <c r="B6" s="523" t="str">
        <f>+IMPRIMIR!A14</f>
        <v>PARTIDOS                 fecha 1</v>
      </c>
      <c r="C6" s="524"/>
      <c r="D6" s="524"/>
      <c r="E6" s="524"/>
      <c r="F6" s="524"/>
      <c r="G6" s="524"/>
      <c r="H6" s="525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hidden="1" x14ac:dyDescent="0.3">
      <c r="B7" s="179" t="s">
        <v>69</v>
      </c>
      <c r="C7" s="179" t="s">
        <v>70</v>
      </c>
      <c r="D7" s="179" t="s">
        <v>71</v>
      </c>
      <c r="E7" s="527" t="s">
        <v>72</v>
      </c>
      <c r="F7" s="527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hidden="1" customHeight="1" x14ac:dyDescent="0.3">
      <c r="A8" s="528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ASTON HUILA</v>
      </c>
      <c r="E8" s="168">
        <f>+'GRUPO A'!G20</f>
        <v>7</v>
      </c>
      <c r="F8" s="168">
        <f>+'GRUPO A'!I20</f>
        <v>0</v>
      </c>
      <c r="G8" s="168" t="str">
        <f>+'GRUPO A'!K20</f>
        <v>INTER F. C.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hidden="1" customHeight="1" x14ac:dyDescent="0.3">
      <c r="A9" s="529"/>
      <c r="B9" s="170" t="str">
        <f>+'GRUPO A'!M23</f>
        <v>LAS VEGAS</v>
      </c>
      <c r="C9" s="170" t="str">
        <f>+'GRUPO A'!C23</f>
        <v>08:20. a.m.</v>
      </c>
      <c r="D9" s="170" t="str">
        <f>+'GRUPO A'!E23</f>
        <v>ATHLETIC MELGAR</v>
      </c>
      <c r="E9" s="170">
        <f>+'GRUPO A'!G23</f>
        <v>1</v>
      </c>
      <c r="F9" s="170">
        <f>+'GRUPO A'!I23</f>
        <v>2</v>
      </c>
      <c r="G9" s="170" t="str">
        <f>+'GRUPO A'!K23</f>
        <v>CLUB DEPORTIVO NUEVAS GENERACIONES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hidden="1" customHeight="1" x14ac:dyDescent="0.3">
      <c r="A10" s="529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INTER F. C.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hidden="1" customHeight="1" x14ac:dyDescent="0.3">
      <c r="A11" s="529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hidden="1" customHeight="1" x14ac:dyDescent="0.3">
      <c r="A12" s="529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hidden="1" customHeight="1" x14ac:dyDescent="0.3">
      <c r="A13" s="529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hidden="1" customHeight="1" x14ac:dyDescent="0.3">
      <c r="A14" s="529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hidden="1" customHeight="1" x14ac:dyDescent="0.3">
      <c r="A15" s="529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hidden="1" customHeight="1" x14ac:dyDescent="0.3">
      <c r="J16" s="182"/>
    </row>
    <row r="17" spans="1:19" ht="21" hidden="1" customHeight="1" x14ac:dyDescent="0.3">
      <c r="B17" s="530" t="str">
        <f>+'IMPRIMIR 2'!A14</f>
        <v>PARTIDOS                 fecha 2</v>
      </c>
      <c r="C17" s="531"/>
      <c r="D17" s="531"/>
      <c r="E17" s="531"/>
      <c r="F17" s="531"/>
      <c r="G17" s="531"/>
      <c r="H17" s="532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hidden="1" customHeight="1" x14ac:dyDescent="0.3">
      <c r="B18" s="179" t="s">
        <v>69</v>
      </c>
      <c r="C18" s="179" t="s">
        <v>70</v>
      </c>
      <c r="D18" s="179" t="s">
        <v>71</v>
      </c>
      <c r="E18" s="527" t="s">
        <v>72</v>
      </c>
      <c r="F18" s="527"/>
      <c r="G18" s="179" t="s">
        <v>71</v>
      </c>
      <c r="H18" s="179" t="s">
        <v>73</v>
      </c>
    </row>
    <row r="19" spans="1:19" ht="21" hidden="1" customHeight="1" x14ac:dyDescent="0.3">
      <c r="A19" s="528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ASTON HUILA</v>
      </c>
      <c r="E19" s="168">
        <f>+'GRUPO A'!G26</f>
        <v>3</v>
      </c>
      <c r="F19" s="168">
        <f>+'GRUPO A'!I26</f>
        <v>0</v>
      </c>
      <c r="G19" s="168" t="str">
        <f>+'GRUPO A'!K26</f>
        <v>ATHLETIC MELGAR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hidden="1" customHeight="1" x14ac:dyDescent="0.3">
      <c r="A20" s="529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INTER F. C.</v>
      </c>
      <c r="E20" s="170">
        <f>+'GRUPO A'!G29</f>
        <v>3</v>
      </c>
      <c r="F20" s="170">
        <f>+'GRUPO A'!I29</f>
        <v>3</v>
      </c>
      <c r="G20" s="170" t="str">
        <f>+'GRUPO A'!K29</f>
        <v>CLUB DEPORTIVO NUEVAS GENERACIONES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hidden="1" customHeight="1" x14ac:dyDescent="0.3">
      <c r="A21" s="529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hidden="1" customHeight="1" x14ac:dyDescent="0.3">
      <c r="A22" s="529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hidden="1" customHeight="1" x14ac:dyDescent="0.3">
      <c r="A23" s="529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hidden="1" customHeight="1" x14ac:dyDescent="0.3">
      <c r="A24" s="529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29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hidden="1" customHeight="1" x14ac:dyDescent="0.3">
      <c r="A26" s="529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23" t="str">
        <f>+'IMPRIMIR 3'!A17</f>
        <v>PARTIDOS                 fecha 3 ULTIMA</v>
      </c>
      <c r="C28" s="524"/>
      <c r="D28" s="524"/>
      <c r="E28" s="524"/>
      <c r="F28" s="524"/>
      <c r="G28" s="524"/>
      <c r="H28" s="525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hidden="1" customHeight="1" x14ac:dyDescent="0.3">
      <c r="B29" s="179" t="s">
        <v>69</v>
      </c>
      <c r="C29" s="179" t="s">
        <v>70</v>
      </c>
      <c r="D29" s="179" t="s">
        <v>71</v>
      </c>
      <c r="E29" s="527" t="s">
        <v>72</v>
      </c>
      <c r="F29" s="527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hidden="1" customHeight="1" x14ac:dyDescent="0.3">
      <c r="A30" s="528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INTER F. C.</v>
      </c>
      <c r="E30" s="168">
        <f>+'GRUPO A'!G32</f>
        <v>0</v>
      </c>
      <c r="F30" s="168">
        <f>+'GRUPO A'!I32</f>
        <v>0</v>
      </c>
      <c r="G30" s="168" t="str">
        <f>+'GRUPO A'!K32</f>
        <v>ATHLETIC MELGAR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hidden="1" customHeight="1" x14ac:dyDescent="0.3">
      <c r="A31" s="529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ASTON HUILA</v>
      </c>
      <c r="E31" s="170">
        <f>+'GRUPO A'!G35</f>
        <v>2</v>
      </c>
      <c r="F31" s="170">
        <f>+'GRUPO A'!I35</f>
        <v>2</v>
      </c>
      <c r="G31" s="170" t="str">
        <f>+'GRUPO A'!K35</f>
        <v>CLUB DEPORTIVO NUEVAS GENERACIONES</v>
      </c>
      <c r="H31" s="171" t="str">
        <f>+'GRUPO A'!B4</f>
        <v>GRUPO A</v>
      </c>
    </row>
    <row r="32" spans="1:19" ht="21" hidden="1" customHeight="1" x14ac:dyDescent="0.3">
      <c r="A32" s="529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hidden="1" customHeight="1" x14ac:dyDescent="0.3">
      <c r="A33" s="529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hidden="1" customHeight="1" x14ac:dyDescent="0.3">
      <c r="A34" s="529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hidden="1" customHeight="1" x14ac:dyDescent="0.3">
      <c r="A35" s="529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hidden="1" customHeight="1" x14ac:dyDescent="0.3">
      <c r="A36" s="529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hidden="1" customHeight="1" x14ac:dyDescent="0.3">
      <c r="A37" s="529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39" t="str">
        <f>+'CUARTOS DE FINAL.'!B2</f>
        <v>CUARTOS DE FINAL</v>
      </c>
      <c r="C39" s="540"/>
      <c r="D39" s="540"/>
      <c r="E39" s="540"/>
      <c r="F39" s="540"/>
      <c r="G39" s="540"/>
      <c r="H39" s="541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7" t="s">
        <v>72</v>
      </c>
      <c r="F40" s="527"/>
      <c r="G40" s="179" t="s">
        <v>71</v>
      </c>
      <c r="H40" s="179" t="s">
        <v>76</v>
      </c>
    </row>
    <row r="41" spans="1:8" ht="21" customHeight="1" x14ac:dyDescent="0.3">
      <c r="A41" s="528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>ASTON HUILA</v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8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8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>CLUB DEPORTIVO NUEVAS GENERACIONES</v>
      </c>
      <c r="H43" s="169" t="str">
        <f>+'CUARTOS DE FINAL.'!C12</f>
        <v>LLAVE C</v>
      </c>
    </row>
    <row r="44" spans="1:8" ht="21" customHeight="1" x14ac:dyDescent="0.3">
      <c r="A44" s="528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42" t="str">
        <f>+DEFINICION!B5</f>
        <v>SEMIFINALES</v>
      </c>
      <c r="C46" s="543"/>
      <c r="D46" s="543"/>
      <c r="E46" s="543"/>
      <c r="F46" s="543"/>
      <c r="G46" s="543"/>
      <c r="H46" s="544"/>
    </row>
    <row r="47" spans="1:8" ht="27.9" customHeight="1" x14ac:dyDescent="0.3">
      <c r="B47" s="179" t="s">
        <v>69</v>
      </c>
      <c r="C47" s="179" t="s">
        <v>70</v>
      </c>
      <c r="D47" s="179" t="s">
        <v>71</v>
      </c>
      <c r="E47" s="527" t="s">
        <v>72</v>
      </c>
      <c r="F47" s="527"/>
      <c r="G47" s="179" t="s">
        <v>71</v>
      </c>
      <c r="H47" s="179" t="s">
        <v>76</v>
      </c>
    </row>
    <row r="48" spans="1:8" ht="27.9" customHeight="1" x14ac:dyDescent="0.3">
      <c r="A48" s="528">
        <f>+DEFINICION!B9</f>
        <v>42814</v>
      </c>
      <c r="B48" s="169" t="str">
        <f>+DEFINICION!Q9</f>
        <v>CANCHA 2</v>
      </c>
      <c r="C48" s="168" t="str">
        <f>+DEFINICION!D9</f>
        <v>07:00. a.m.</v>
      </c>
      <c r="D48" s="168" t="e">
        <f>+'CUARTOS DE FINAL.'!P6</f>
        <v>#REF!</v>
      </c>
      <c r="E48" s="168">
        <f>+DEFINICION!J9</f>
        <v>2</v>
      </c>
      <c r="F48" s="168">
        <f>+DEFINICION!L9</f>
        <v>0</v>
      </c>
      <c r="G48" s="168" t="str">
        <f>+'CUARTOS DE FINAL.'!P12</f>
        <v>CLUB DEPORTIVO NUEVAS GENERACIONES</v>
      </c>
      <c r="H48" s="169" t="str">
        <f>+DEFINICION!C9</f>
        <v>LLAVE 1</v>
      </c>
    </row>
    <row r="49" spans="1:8" ht="27.9" customHeight="1" x14ac:dyDescent="0.3">
      <c r="A49" s="528"/>
      <c r="B49" s="171" t="str">
        <f>+DEFINICION!Q12</f>
        <v>CANCHA 2</v>
      </c>
      <c r="C49" s="170" t="str">
        <f>+DEFINICION!D12</f>
        <v>08:00. a.m.</v>
      </c>
      <c r="D49" s="170" t="str">
        <f>+'CUARTOS DE FINAL.'!P9</f>
        <v/>
      </c>
      <c r="E49" s="170">
        <f>+DEFINICION!J12</f>
        <v>1</v>
      </c>
      <c r="F49" s="170">
        <f>+DEFINICION!L12</f>
        <v>0</v>
      </c>
      <c r="G49" s="170" t="e">
        <f>+'CUARTOS DE FINAL.'!P15</f>
        <v>#REF!</v>
      </c>
      <c r="H49" s="171" t="str">
        <f>+DEFINICION!C12</f>
        <v>LLAVE 2</v>
      </c>
    </row>
    <row r="50" spans="1:8" ht="27.9" customHeight="1" x14ac:dyDescent="0.3">
      <c r="A50" s="187"/>
      <c r="B50" s="183"/>
      <c r="C50" s="1"/>
      <c r="D50" s="1"/>
      <c r="E50" s="1"/>
      <c r="F50" s="1"/>
      <c r="G50" s="1"/>
      <c r="H50" s="183"/>
    </row>
    <row r="51" spans="1:8" ht="27.9" customHeight="1" x14ac:dyDescent="0.3">
      <c r="B51" s="536" t="str">
        <f>+FINAL!B7</f>
        <v>Partido por el TERCER PUESTO</v>
      </c>
      <c r="C51" s="537"/>
      <c r="D51" s="537"/>
      <c r="E51" s="537"/>
      <c r="F51" s="537"/>
      <c r="G51" s="537"/>
      <c r="H51" s="538"/>
    </row>
    <row r="52" spans="1:8" ht="27.9" customHeight="1" x14ac:dyDescent="0.3">
      <c r="B52" s="179" t="s">
        <v>69</v>
      </c>
      <c r="C52" s="179" t="s">
        <v>70</v>
      </c>
      <c r="D52" s="179" t="s">
        <v>71</v>
      </c>
      <c r="E52" s="527" t="s">
        <v>72</v>
      </c>
      <c r="F52" s="527"/>
      <c r="G52" s="179" t="s">
        <v>71</v>
      </c>
      <c r="H52" s="179"/>
    </row>
    <row r="53" spans="1:8" ht="27.9" customHeight="1" x14ac:dyDescent="0.3">
      <c r="A53" s="191">
        <f>+FINAL!B9</f>
        <v>42814</v>
      </c>
      <c r="B53" s="169" t="str">
        <f>+FINAL!O9</f>
        <v>CANCHA 2</v>
      </c>
      <c r="C53" s="168">
        <f>+DEFINICION!D14</f>
        <v>0</v>
      </c>
      <c r="D53" s="168" t="str">
        <f>+FINAL!H9</f>
        <v/>
      </c>
      <c r="E53" s="168" t="str">
        <f>+FINAL!I9</f>
        <v>.</v>
      </c>
      <c r="F53" s="168" t="str">
        <f>+FINAL!K9</f>
        <v>.</v>
      </c>
      <c r="G53" s="168" t="str">
        <f>+FINAL!M9</f>
        <v>CLUB DEPORTIVO NUEVAS GENERACIONES</v>
      </c>
      <c r="H53" s="169"/>
    </row>
    <row r="54" spans="1:8" ht="10.5" customHeight="1" x14ac:dyDescent="0.3">
      <c r="A54" s="185"/>
      <c r="B54" s="188"/>
      <c r="C54" s="189"/>
      <c r="D54" s="189"/>
      <c r="E54" s="189"/>
      <c r="F54" s="189"/>
      <c r="G54" s="189"/>
      <c r="H54" s="190"/>
    </row>
    <row r="55" spans="1:8" ht="27.9" customHeight="1" x14ac:dyDescent="0.3">
      <c r="A55" s="185"/>
      <c r="B55" s="533" t="str">
        <f>+FINAL!B13</f>
        <v>FINAL DEL CAMPEONATO</v>
      </c>
      <c r="C55" s="534"/>
      <c r="D55" s="534"/>
      <c r="E55" s="534"/>
      <c r="F55" s="534"/>
      <c r="G55" s="534"/>
      <c r="H55" s="535"/>
    </row>
    <row r="56" spans="1:8" ht="27.9" customHeight="1" x14ac:dyDescent="0.3">
      <c r="A56" s="185"/>
      <c r="B56" s="179" t="s">
        <v>69</v>
      </c>
      <c r="C56" s="179" t="s">
        <v>70</v>
      </c>
      <c r="D56" s="179" t="s">
        <v>71</v>
      </c>
      <c r="E56" s="527" t="s">
        <v>72</v>
      </c>
      <c r="F56" s="527"/>
      <c r="G56" s="179" t="s">
        <v>71</v>
      </c>
      <c r="H56" s="179"/>
    </row>
    <row r="57" spans="1:8" ht="27.9" customHeight="1" x14ac:dyDescent="0.3">
      <c r="A57" s="191">
        <f>+FINAL!B15</f>
        <v>42814</v>
      </c>
      <c r="B57" s="171" t="str">
        <f>+FINAL!O15</f>
        <v>CANCHA 2</v>
      </c>
      <c r="C57" s="170">
        <f>+DEFINICION!C4</f>
        <v>0</v>
      </c>
      <c r="D57" s="170" t="str">
        <f>+FINAL!H15</f>
        <v>ASTON HUILA</v>
      </c>
      <c r="E57" s="170" t="str">
        <f>+FINAL!I15</f>
        <v>,</v>
      </c>
      <c r="F57" s="170" t="str">
        <f>+FINAL!K15</f>
        <v>,</v>
      </c>
      <c r="G57" s="170" t="str">
        <f>+FINAL!M15</f>
        <v/>
      </c>
      <c r="H57" s="171"/>
    </row>
    <row r="59" spans="1:8" ht="37.5" customHeight="1" x14ac:dyDescent="0.3">
      <c r="B59" s="547" t="str">
        <f>+FINAL!C19</f>
        <v>CAMPEÓN “COPA FUTURO TALENTO”</v>
      </c>
      <c r="C59" s="548"/>
      <c r="D59" s="548"/>
      <c r="E59" s="548"/>
      <c r="F59" s="548"/>
      <c r="G59" s="548"/>
      <c r="H59" s="549"/>
    </row>
    <row r="60" spans="1:8" x14ac:dyDescent="0.3">
      <c r="B60" s="545" t="str">
        <f>+FINAL!C21</f>
        <v/>
      </c>
      <c r="C60" s="545"/>
      <c r="D60" s="545"/>
      <c r="E60" s="545"/>
      <c r="F60" s="545"/>
      <c r="G60" s="545"/>
      <c r="H60" s="545"/>
    </row>
    <row r="61" spans="1:8" x14ac:dyDescent="0.3">
      <c r="B61" s="546"/>
      <c r="C61" s="546"/>
      <c r="D61" s="546"/>
      <c r="E61" s="546"/>
      <c r="F61" s="546"/>
      <c r="G61" s="546"/>
      <c r="H61" s="546"/>
    </row>
    <row r="62" spans="1:8" x14ac:dyDescent="0.3">
      <c r="B62" s="546"/>
      <c r="C62" s="546"/>
      <c r="D62" s="546"/>
      <c r="E62" s="546"/>
      <c r="F62" s="546"/>
      <c r="G62" s="546"/>
      <c r="H62" s="546"/>
    </row>
    <row r="64" spans="1:8" ht="38.25" customHeight="1" x14ac:dyDescent="0.3">
      <c r="B64" s="550" t="str">
        <f>+FINAL!Q13</f>
        <v>SEGUNDO PUESTO</v>
      </c>
      <c r="C64" s="551"/>
      <c r="D64" s="551"/>
      <c r="E64" s="551"/>
      <c r="F64" s="551"/>
      <c r="G64" s="551"/>
      <c r="H64" s="552"/>
    </row>
    <row r="65" spans="2:8" x14ac:dyDescent="0.3">
      <c r="B65" s="545" t="str">
        <f>+FINAL!Q14</f>
        <v/>
      </c>
      <c r="C65" s="545"/>
      <c r="D65" s="545"/>
      <c r="E65" s="545"/>
      <c r="F65" s="545"/>
      <c r="G65" s="545"/>
      <c r="H65" s="545"/>
    </row>
    <row r="66" spans="2:8" x14ac:dyDescent="0.3">
      <c r="B66" s="546"/>
      <c r="C66" s="546"/>
      <c r="D66" s="546"/>
      <c r="E66" s="546"/>
      <c r="F66" s="546"/>
      <c r="G66" s="546"/>
      <c r="H66" s="546"/>
    </row>
    <row r="67" spans="2:8" x14ac:dyDescent="0.3">
      <c r="B67" s="546"/>
      <c r="C67" s="546"/>
      <c r="D67" s="546"/>
      <c r="E67" s="546"/>
      <c r="F67" s="546"/>
      <c r="G67" s="546"/>
      <c r="H67" s="546"/>
    </row>
    <row r="69" spans="2:8" ht="38.4" x14ac:dyDescent="0.3">
      <c r="B69" s="553" t="str">
        <f>+FINAL!Q7</f>
        <v>TERCER PUESTO</v>
      </c>
      <c r="C69" s="554"/>
      <c r="D69" s="554"/>
      <c r="E69" s="554"/>
      <c r="F69" s="554"/>
      <c r="G69" s="554"/>
      <c r="H69" s="555"/>
    </row>
    <row r="70" spans="2:8" x14ac:dyDescent="0.3">
      <c r="B70" s="545" t="str">
        <f>+FINAL!Q8</f>
        <v/>
      </c>
      <c r="C70" s="545"/>
      <c r="D70" s="545"/>
      <c r="E70" s="545"/>
      <c r="F70" s="545"/>
      <c r="G70" s="545"/>
      <c r="H70" s="545"/>
    </row>
    <row r="71" spans="2:8" x14ac:dyDescent="0.3">
      <c r="B71" s="546"/>
      <c r="C71" s="546"/>
      <c r="D71" s="546"/>
      <c r="E71" s="546"/>
      <c r="F71" s="546"/>
      <c r="G71" s="546"/>
      <c r="H71" s="546"/>
    </row>
    <row r="72" spans="2:8" x14ac:dyDescent="0.3">
      <c r="B72" s="546"/>
      <c r="C72" s="546"/>
      <c r="D72" s="546"/>
      <c r="E72" s="546"/>
      <c r="F72" s="546"/>
      <c r="G72" s="546"/>
      <c r="H72" s="546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45"/>
  <sheetViews>
    <sheetView zoomScale="80" zoomScaleNormal="80" workbookViewId="0">
      <selection activeCell="G19" sqref="G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33203125" style="3" bestFit="1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30" x14ac:dyDescent="0.5">
      <c r="A1" s="400" t="str">
        <f>+'GRUPOS INFANTIL'!C1</f>
        <v>XVIII Campeonato Nacional de Fútbol Infantil</v>
      </c>
      <c r="B1" s="400"/>
      <c r="C1" s="400"/>
      <c r="D1" s="400"/>
      <c r="E1" s="400"/>
      <c r="F1" s="400"/>
      <c r="G1" s="400"/>
      <c r="H1" s="400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31.2" x14ac:dyDescent="0.6">
      <c r="A2" s="520" t="str">
        <f>+'GRUPOS INFANTIL'!C2</f>
        <v>“COPA SOCCER MELGAR”</v>
      </c>
      <c r="B2" s="520"/>
      <c r="C2" s="520"/>
      <c r="D2" s="520"/>
      <c r="E2" s="520"/>
      <c r="F2" s="520"/>
      <c r="G2" s="520"/>
      <c r="H2" s="520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21">
        <f>+'GRUPOS INFANTIL'!C3</f>
        <v>0</v>
      </c>
      <c r="B3" s="521"/>
      <c r="C3" s="521"/>
      <c r="D3" s="521"/>
      <c r="E3" s="521"/>
      <c r="F3" s="521"/>
      <c r="G3" s="521"/>
      <c r="H3" s="521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522" t="str">
        <f>+'GRUPOS INFANTIL'!C4</f>
        <v>NACIDOS 2017 2018</v>
      </c>
      <c r="B4" s="522"/>
      <c r="C4" s="522"/>
      <c r="D4" s="522"/>
      <c r="E4" s="522"/>
      <c r="F4" s="522"/>
      <c r="G4" s="522"/>
      <c r="H4" s="522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8" t="s">
        <v>74</v>
      </c>
      <c r="B5" s="488"/>
      <c r="C5" s="488"/>
      <c r="D5" s="488"/>
      <c r="E5" s="488"/>
      <c r="F5" s="488"/>
      <c r="G5" s="488"/>
      <c r="H5" s="488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30" customHeight="1" x14ac:dyDescent="0.3">
      <c r="A6"/>
      <c r="B6" s="523" t="s">
        <v>87</v>
      </c>
      <c r="C6" s="524"/>
      <c r="D6" s="524"/>
      <c r="E6" s="524"/>
      <c r="F6" s="524"/>
      <c r="G6" s="524"/>
      <c r="H6" s="525"/>
      <c r="J6" s="173" t="str">
        <f>+'GRUPO A'!B4</f>
        <v>GRUPO A</v>
      </c>
      <c r="K6" s="173" t="str">
        <f>+'GRUPO A'!Q8</f>
        <v>Pts.</v>
      </c>
      <c r="L6" s="173" t="str">
        <f>+'GRUPO A'!R8</f>
        <v>PJ</v>
      </c>
      <c r="M6" s="173" t="str">
        <f>+'GRUPO A'!S8</f>
        <v>Gan.</v>
      </c>
      <c r="N6" s="173" t="str">
        <f>+'GRUPO A'!T8</f>
        <v>Emp.</v>
      </c>
      <c r="O6" s="173" t="str">
        <f>+'GRUPO A'!U8</f>
        <v>Per.</v>
      </c>
      <c r="P6" s="173" t="str">
        <f>+'GRUPO A'!V8</f>
        <v>GF</v>
      </c>
      <c r="Q6" s="173" t="str">
        <f>+'GRUPO A'!W8</f>
        <v>GC</v>
      </c>
      <c r="R6" s="173" t="str">
        <f>+'GRUPO A'!X8</f>
        <v>Dif.</v>
      </c>
      <c r="S6" s="173" t="str">
        <f>+'GRUPO A'!Y8</f>
        <v>Tj</v>
      </c>
    </row>
    <row r="7" spans="1:19" ht="30.6" customHeight="1" x14ac:dyDescent="0.3">
      <c r="B7" s="179" t="s">
        <v>69</v>
      </c>
      <c r="C7" s="179" t="s">
        <v>70</v>
      </c>
      <c r="D7" s="179" t="s">
        <v>71</v>
      </c>
      <c r="E7" s="527" t="s">
        <v>72</v>
      </c>
      <c r="F7" s="527"/>
      <c r="G7" s="179" t="s">
        <v>71</v>
      </c>
      <c r="H7" s="179" t="s">
        <v>73</v>
      </c>
      <c r="J7" s="216" t="str">
        <f>+'GRUPO A'!P10</f>
        <v xml:space="preserve">  1)  ASTON HUILA</v>
      </c>
      <c r="K7" s="217">
        <f>+'GRUPO A'!Q10</f>
        <v>7</v>
      </c>
      <c r="L7" s="217">
        <f>+'GRUPO A'!R10</f>
        <v>3</v>
      </c>
      <c r="M7" s="217">
        <f>+'GRUPO A'!S10</f>
        <v>2</v>
      </c>
      <c r="N7" s="217">
        <f>+'GRUPO A'!T10</f>
        <v>1</v>
      </c>
      <c r="O7" s="217">
        <f>+'GRUPO A'!U10</f>
        <v>0</v>
      </c>
      <c r="P7" s="217">
        <f>+'GRUPO A'!V10</f>
        <v>12</v>
      </c>
      <c r="Q7" s="217">
        <f>+'GRUPO A'!W10</f>
        <v>2</v>
      </c>
      <c r="R7" s="217">
        <f>+'GRUPO A'!X10</f>
        <v>10</v>
      </c>
      <c r="S7" s="217">
        <f>+'GRUPO A'!Y10</f>
        <v>0</v>
      </c>
    </row>
    <row r="8" spans="1:19" s="196" customFormat="1" ht="30" customHeight="1" x14ac:dyDescent="0.3">
      <c r="A8" s="210">
        <f>+'GRUPO A'!B20</f>
        <v>42812</v>
      </c>
      <c r="B8" s="211">
        <f>+'GRUPO A'!M8</f>
        <v>0</v>
      </c>
      <c r="C8" s="211">
        <f>+'GRUPO A'!C8</f>
        <v>0</v>
      </c>
      <c r="D8" s="211">
        <f>+'GRUPO A'!E8:E9</f>
        <v>0</v>
      </c>
      <c r="E8" s="211">
        <f>+'GRUPO A'!G8:G9</f>
        <v>0</v>
      </c>
      <c r="F8" s="211">
        <f>+'GRUPO A'!I8:I9</f>
        <v>0</v>
      </c>
      <c r="G8" s="211">
        <f>+'GRUPO A'!K8:K9</f>
        <v>0</v>
      </c>
      <c r="H8" s="211" t="s">
        <v>85</v>
      </c>
      <c r="J8" s="216" t="str">
        <f>+'GRUPO A'!P12</f>
        <v xml:space="preserve">  2)  CLUB DEPORTIVO NUEVAS GENERACIONES</v>
      </c>
      <c r="K8" s="218">
        <f>+'GRUPO A'!Q12</f>
        <v>5</v>
      </c>
      <c r="L8" s="218">
        <f>+'GRUPO A'!R14</f>
        <v>3</v>
      </c>
      <c r="M8" s="218">
        <f>+'GRUPO A'!S12</f>
        <v>1</v>
      </c>
      <c r="N8" s="218">
        <f>+'GRUPO A'!T12</f>
        <v>2</v>
      </c>
      <c r="O8" s="218">
        <f>+'GRUPO A'!U12</f>
        <v>0</v>
      </c>
      <c r="P8" s="218">
        <f>+'GRUPO A'!V12</f>
        <v>7</v>
      </c>
      <c r="Q8" s="218">
        <f>+'GRUPO A'!W12</f>
        <v>6</v>
      </c>
      <c r="R8" s="218">
        <f>+'GRUPO A'!X12</f>
        <v>1</v>
      </c>
      <c r="S8" s="218">
        <f>+'GRUPO A'!Y12</f>
        <v>0</v>
      </c>
    </row>
    <row r="9" spans="1:19" s="196" customFormat="1" ht="30" customHeight="1" x14ac:dyDescent="0.3">
      <c r="A9" s="210">
        <f>+A8</f>
        <v>42812</v>
      </c>
      <c r="B9" s="211">
        <f>+'GRUPO A'!M11</f>
        <v>0</v>
      </c>
      <c r="C9" s="211">
        <f>+'GRUPO A'!C11</f>
        <v>0</v>
      </c>
      <c r="D9" s="211">
        <f>+'GRUPO A'!E11</f>
        <v>0</v>
      </c>
      <c r="E9" s="211">
        <f>+'GRUPO A'!G11</f>
        <v>0</v>
      </c>
      <c r="F9" s="211">
        <f>+'GRUPO A'!I11</f>
        <v>0</v>
      </c>
      <c r="G9" s="211">
        <f>+'GRUPO A'!K11</f>
        <v>0</v>
      </c>
      <c r="H9" s="211" t="s">
        <v>85</v>
      </c>
      <c r="J9" s="216" t="str">
        <f>+'GRUPO A'!P14</f>
        <v xml:space="preserve">  3)  INTER F. C.</v>
      </c>
      <c r="K9" s="218">
        <f>+'GRUPO A'!Q14</f>
        <v>2</v>
      </c>
      <c r="L9" s="218">
        <f>+'GRUPO A'!R14</f>
        <v>3</v>
      </c>
      <c r="M9" s="218">
        <f>+'GRUPO A'!S14</f>
        <v>0</v>
      </c>
      <c r="N9" s="218">
        <f>+'GRUPO A'!T14</f>
        <v>2</v>
      </c>
      <c r="O9" s="218">
        <f>+'GRUPO A'!U14</f>
        <v>1</v>
      </c>
      <c r="P9" s="218">
        <f>+'GRUPO A'!V14</f>
        <v>3</v>
      </c>
      <c r="Q9" s="218">
        <f>+'GRUPO A'!W14</f>
        <v>4</v>
      </c>
      <c r="R9" s="218">
        <f>+'GRUPO A'!X14</f>
        <v>-1</v>
      </c>
      <c r="S9" s="218">
        <f>+'GRUPO A'!Y14</f>
        <v>0</v>
      </c>
    </row>
    <row r="10" spans="1:19" s="196" customFormat="1" ht="30" customHeight="1" x14ac:dyDescent="0.3">
      <c r="A10" s="210">
        <f t="shared" ref="A10:A11" si="0">+A9</f>
        <v>42812</v>
      </c>
      <c r="B10" s="211">
        <f>+'GRUPO A'!M14</f>
        <v>0</v>
      </c>
      <c r="C10" s="211">
        <f>+'GRUPO A'!C14</f>
        <v>0</v>
      </c>
      <c r="D10" s="211">
        <f>+'GRUPO A'!E14</f>
        <v>0</v>
      </c>
      <c r="E10" s="211">
        <f>+'GRUPO A'!G14</f>
        <v>0</v>
      </c>
      <c r="F10" s="211">
        <f>+'GRUPO A'!I14</f>
        <v>0</v>
      </c>
      <c r="G10" s="211">
        <f>+'GRUPO A'!K14</f>
        <v>0</v>
      </c>
      <c r="H10" s="211" t="s">
        <v>85</v>
      </c>
      <c r="J10" s="216" t="str">
        <f>+'GRUPO A'!P16</f>
        <v xml:space="preserve">  4)  ATHLETIC MELGAR</v>
      </c>
      <c r="K10" s="218">
        <f>+'GRUPO A'!Q16</f>
        <v>1</v>
      </c>
      <c r="L10" s="218">
        <f>+'GRUPO A'!R16</f>
        <v>3</v>
      </c>
      <c r="M10" s="218">
        <f>+'GRUPO A'!S16</f>
        <v>0</v>
      </c>
      <c r="N10" s="218">
        <f>+'GRUPO A'!T16</f>
        <v>1</v>
      </c>
      <c r="O10" s="218">
        <f>+'GRUPO A'!U16</f>
        <v>2</v>
      </c>
      <c r="P10" s="218">
        <f>+'GRUPO A'!V16</f>
        <v>1</v>
      </c>
      <c r="Q10" s="218">
        <f>+'GRUPO A'!W16</f>
        <v>5</v>
      </c>
      <c r="R10" s="218">
        <f>+'GRUPO A'!X16</f>
        <v>-4</v>
      </c>
      <c r="S10" s="218">
        <f>+'GRUPO A'!Y16</f>
        <v>0</v>
      </c>
    </row>
    <row r="11" spans="1:19" s="196" customFormat="1" ht="30" customHeight="1" x14ac:dyDescent="0.3">
      <c r="A11" s="210">
        <f t="shared" si="0"/>
        <v>42812</v>
      </c>
      <c r="B11" s="211">
        <f>+'GRUPO A'!M17</f>
        <v>0</v>
      </c>
      <c r="C11" s="211">
        <f>+'GRUPO A'!C17</f>
        <v>0</v>
      </c>
      <c r="D11" s="211">
        <f>+'GRUPO A'!E17</f>
        <v>0</v>
      </c>
      <c r="E11" s="211">
        <f>+'GRUPO A'!G17</f>
        <v>0</v>
      </c>
      <c r="F11" s="211">
        <f>+'GRUPO A'!I17</f>
        <v>0</v>
      </c>
      <c r="G11" s="211">
        <f>+'GRUPO A'!K17</f>
        <v>0</v>
      </c>
      <c r="H11" s="211" t="s">
        <v>85</v>
      </c>
    </row>
    <row r="12" spans="1:19" s="196" customFormat="1" ht="30" customHeight="1" x14ac:dyDescent="0.3">
      <c r="J12" s="197" t="str">
        <f>+'GRUPO B'!B4</f>
        <v>GRUPO B</v>
      </c>
      <c r="K12" s="197" t="str">
        <f>+'GRUPO B'!Q8</f>
        <v>Pts.</v>
      </c>
      <c r="L12" s="197" t="str">
        <f>+'GRUPO B'!R8</f>
        <v>PJ</v>
      </c>
      <c r="M12" s="197" t="str">
        <f>+'GRUPO B'!S8</f>
        <v>Gan.</v>
      </c>
      <c r="N12" s="197" t="str">
        <f>+'GRUPO B'!T8</f>
        <v>Emp.</v>
      </c>
      <c r="O12" s="197" t="str">
        <f>+'GRUPO B'!U8</f>
        <v>Per.</v>
      </c>
      <c r="P12" s="197" t="str">
        <f>+'GRUPO B'!V8</f>
        <v>GF</v>
      </c>
      <c r="Q12" s="197" t="str">
        <f>+'GRUPO B'!W8</f>
        <v>GC</v>
      </c>
      <c r="R12" s="197" t="str">
        <f>+'GRUPO B'!X8</f>
        <v>Dif.</v>
      </c>
      <c r="S12" s="197" t="str">
        <f>+'GRUPO B'!Y8</f>
        <v>Tj</v>
      </c>
    </row>
    <row r="13" spans="1:19" s="196" customFormat="1" ht="30" customHeight="1" x14ac:dyDescent="0.3">
      <c r="B13" s="568" t="str">
        <f>+'IMPRIMIR 2'!A14</f>
        <v>PARTIDOS                 fecha 2</v>
      </c>
      <c r="C13" s="568"/>
      <c r="D13" s="568"/>
      <c r="E13" s="568"/>
      <c r="F13" s="568"/>
      <c r="G13" s="568"/>
      <c r="H13" s="569"/>
      <c r="J13" s="216" t="e">
        <f>+'GRUPO B'!P10</f>
        <v>#REF!</v>
      </c>
      <c r="K13" s="218">
        <f>+'GRUPO B'!Q10</f>
        <v>0</v>
      </c>
      <c r="L13" s="218">
        <f>+'GRUPO B'!R10</f>
        <v>0</v>
      </c>
      <c r="M13" s="218">
        <f>+'GRUPO B'!S10</f>
        <v>0</v>
      </c>
      <c r="N13" s="218">
        <f>+'GRUPO B'!T10</f>
        <v>0</v>
      </c>
      <c r="O13" s="218">
        <f>+'GRUPO B'!U10</f>
        <v>0</v>
      </c>
      <c r="P13" s="218">
        <f>+'GRUPO B'!V10</f>
        <v>0</v>
      </c>
      <c r="Q13" s="218">
        <f>+'GRUPO B'!W10</f>
        <v>0</v>
      </c>
      <c r="R13" s="218">
        <f>+'GRUPO B'!X10</f>
        <v>0</v>
      </c>
      <c r="S13" s="218">
        <f>+'GRUPO B'!Y10</f>
        <v>0</v>
      </c>
    </row>
    <row r="14" spans="1:19" s="196" customFormat="1" ht="30" customHeight="1" x14ac:dyDescent="0.3">
      <c r="A14" s="209"/>
      <c r="B14" s="223" t="s">
        <v>69</v>
      </c>
      <c r="C14" s="198" t="s">
        <v>70</v>
      </c>
      <c r="D14" s="198" t="s">
        <v>71</v>
      </c>
      <c r="E14" s="565" t="s">
        <v>72</v>
      </c>
      <c r="F14" s="566"/>
      <c r="G14" s="198" t="s">
        <v>71</v>
      </c>
      <c r="H14" s="198" t="s">
        <v>73</v>
      </c>
      <c r="J14" s="216" t="str">
        <f>+'GRUPO B'!P12</f>
        <v xml:space="preserve">  2)  CLUB PROMOTOR DEPORTIVO SCORPION</v>
      </c>
      <c r="K14" s="218">
        <f>+'GRUPO B'!Q12</f>
        <v>0</v>
      </c>
      <c r="L14" s="218">
        <f>+'GRUPO B'!R12</f>
        <v>0</v>
      </c>
      <c r="M14" s="218">
        <f>+'GRUPO B'!S12</f>
        <v>0</v>
      </c>
      <c r="N14" s="218">
        <f>+'GRUPO B'!T12</f>
        <v>0</v>
      </c>
      <c r="O14" s="218">
        <f>+'GRUPO B'!U12</f>
        <v>0</v>
      </c>
      <c r="P14" s="218">
        <f>+'GRUPO B'!V12</f>
        <v>0</v>
      </c>
      <c r="Q14" s="218">
        <f>+'GRUPO B'!W12</f>
        <v>0</v>
      </c>
      <c r="R14" s="218">
        <f>+'GRUPO B'!X12</f>
        <v>0</v>
      </c>
      <c r="S14" s="218">
        <f>+'GRUPO B'!Y12</f>
        <v>0</v>
      </c>
    </row>
    <row r="15" spans="1:19" s="196" customFormat="1" ht="30" customHeight="1" x14ac:dyDescent="0.3">
      <c r="A15" s="210">
        <f>+'GRUPO A'!B20</f>
        <v>42812</v>
      </c>
      <c r="B15" s="211" t="str">
        <f>+'GRUPO A'!M20</f>
        <v>CANCHA 2</v>
      </c>
      <c r="C15" s="211" t="str">
        <f>+'GRUPO A'!C20</f>
        <v>07:15. a.m.</v>
      </c>
      <c r="D15" s="211" t="str">
        <f>+'GRUPO A'!E20</f>
        <v>ASTON HUILA</v>
      </c>
      <c r="E15" s="211">
        <f>+'GRUPO A'!G20</f>
        <v>7</v>
      </c>
      <c r="F15" s="211">
        <f>+'GRUPO A'!I20</f>
        <v>0</v>
      </c>
      <c r="G15" s="211" t="str">
        <f>+'GRUPO A'!K20</f>
        <v>INTER F. C.</v>
      </c>
      <c r="H15" s="211" t="str">
        <f>+'GRUPO A'!B4</f>
        <v>GRUPO A</v>
      </c>
      <c r="J15" s="216" t="str">
        <f>+'GRUPO B'!P14</f>
        <v xml:space="preserve">  3)  HUITACA FUTBOL CLUB CHIA</v>
      </c>
      <c r="K15" s="218">
        <f>+'GRUPO B'!Q14</f>
        <v>0</v>
      </c>
      <c r="L15" s="218">
        <f>+'GRUPO B'!R14</f>
        <v>0</v>
      </c>
      <c r="M15" s="218">
        <f>+'GRUPO B'!S14</f>
        <v>0</v>
      </c>
      <c r="N15" s="218">
        <f>+'GRUPO B'!T14</f>
        <v>0</v>
      </c>
      <c r="O15" s="218">
        <f>+'GRUPO B'!U14</f>
        <v>0</v>
      </c>
      <c r="P15" s="218">
        <f>+'GRUPO B'!V14</f>
        <v>0</v>
      </c>
      <c r="Q15" s="218">
        <f>+'GRUPO B'!W14</f>
        <v>0</v>
      </c>
      <c r="R15" s="218">
        <f>+'GRUPO B'!X14</f>
        <v>0</v>
      </c>
      <c r="S15" s="218">
        <f>+'GRUPO B'!Y14</f>
        <v>0</v>
      </c>
    </row>
    <row r="16" spans="1:19" s="196" customFormat="1" ht="30" customHeight="1" x14ac:dyDescent="0.3">
      <c r="A16" s="210">
        <f>+'GRUPO A'!B23</f>
        <v>42812</v>
      </c>
      <c r="B16" s="211" t="str">
        <f>+'GRUPO A'!M23</f>
        <v>LAS VEGAS</v>
      </c>
      <c r="C16" s="211" t="str">
        <f>+'GRUPO A'!C23</f>
        <v>08:20. a.m.</v>
      </c>
      <c r="D16" s="211" t="str">
        <f>+'GRUPO A'!E23</f>
        <v>ATHLETIC MELGAR</v>
      </c>
      <c r="E16" s="211">
        <f>+'GRUPO A'!G23</f>
        <v>1</v>
      </c>
      <c r="F16" s="211">
        <f>+'GRUPO A'!I23</f>
        <v>2</v>
      </c>
      <c r="G16" s="211" t="str">
        <f>+'GRUPO A'!K23</f>
        <v>CLUB DEPORTIVO NUEVAS GENERACIONES</v>
      </c>
      <c r="H16" s="211" t="str">
        <f>+'GRUPO A'!B4</f>
        <v>GRUPO A</v>
      </c>
      <c r="J16" s="216" t="str">
        <f>+'GRUPO B'!P16</f>
        <v xml:space="preserve">  4)  CANUTO F.C.</v>
      </c>
      <c r="K16" s="218">
        <f>+'GRUPO B'!Q16</f>
        <v>0</v>
      </c>
      <c r="L16" s="218">
        <f>+'GRUPO B'!R16</f>
        <v>0</v>
      </c>
      <c r="M16" s="218">
        <f>+'GRUPO B'!S16</f>
        <v>0</v>
      </c>
      <c r="N16" s="218">
        <f>+'GRUPO B'!T16</f>
        <v>0</v>
      </c>
      <c r="O16" s="218">
        <f>+'GRUPO B'!U16</f>
        <v>0</v>
      </c>
      <c r="P16" s="218">
        <f>+'GRUPO B'!V16</f>
        <v>0</v>
      </c>
      <c r="Q16" s="218">
        <f>+'GRUPO B'!W16</f>
        <v>0</v>
      </c>
      <c r="R16" s="218">
        <f>+'GRUPO B'!X16</f>
        <v>0</v>
      </c>
      <c r="S16" s="218">
        <f>+'GRUPO B'!Y16</f>
        <v>0</v>
      </c>
    </row>
    <row r="17" spans="1:19" s="196" customFormat="1" ht="30" customHeight="1" x14ac:dyDescent="0.3">
      <c r="A17" s="210">
        <f>+'GRUPO B'!B20</f>
        <v>42812</v>
      </c>
      <c r="B17" s="211" t="str">
        <f>+'GRUPO B'!M20</f>
        <v>CANCHA 2</v>
      </c>
      <c r="C17" s="211" t="str">
        <f>+'GRUPO B'!C20</f>
        <v>12:00. m.d.</v>
      </c>
      <c r="D17" s="211" t="str">
        <f>+'GRUPO B'!E20</f>
        <v>CANUTO F.C.</v>
      </c>
      <c r="E17" s="211">
        <f>+'GRUPO B'!G20</f>
        <v>0</v>
      </c>
      <c r="F17" s="211">
        <f>+'GRUPO B'!I20</f>
        <v>0</v>
      </c>
      <c r="G17" s="211" t="str">
        <f>+'GRUPO B'!K20</f>
        <v>INTER F. C.</v>
      </c>
      <c r="H17" s="211" t="str">
        <f>+'GRUPO B'!B4</f>
        <v>GRUPO B</v>
      </c>
    </row>
    <row r="18" spans="1:19" s="196" customFormat="1" ht="30" customHeight="1" thickBot="1" x14ac:dyDescent="0.35">
      <c r="A18" s="210">
        <f>+'GRUPO B'!B23</f>
        <v>42812</v>
      </c>
      <c r="B18" s="211" t="str">
        <f>+'GRUPO B'!M23</f>
        <v>CANCHA 2</v>
      </c>
      <c r="C18" s="211" t="str">
        <f>+'GRUPO B'!C23</f>
        <v>01:10. p.m.</v>
      </c>
      <c r="D18" s="211" t="str">
        <f>+'GRUPO B'!E23</f>
        <v>CLUB PROMOTOR DEPORTIVO SCORPION</v>
      </c>
      <c r="E18" s="211">
        <f>+'GRUPO B'!G23</f>
        <v>0</v>
      </c>
      <c r="F18" s="211">
        <f>+'GRUPO B'!I23</f>
        <v>0</v>
      </c>
      <c r="G18" s="211" t="e">
        <f>+'GRUPO B'!K23</f>
        <v>#REF!</v>
      </c>
      <c r="H18" s="211" t="str">
        <f>+'GRUPO B'!B4</f>
        <v>GRUPO B</v>
      </c>
      <c r="J18" s="479" t="s">
        <v>58</v>
      </c>
      <c r="K18" s="479"/>
      <c r="L18" s="479"/>
      <c r="M18" s="479"/>
      <c r="N18" s="479"/>
      <c r="O18" s="479"/>
      <c r="P18" s="479"/>
      <c r="Q18" s="479"/>
      <c r="R18" s="479"/>
      <c r="S18" s="479"/>
    </row>
    <row r="19" spans="1:19" s="196" customFormat="1" ht="30" customHeight="1" thickBot="1" x14ac:dyDescent="0.35">
      <c r="A19" s="213">
        <f>+'GRUPO A'!B26</f>
        <v>42812</v>
      </c>
      <c r="B19" s="211" t="str">
        <f>+'GRUPO A'!M26</f>
        <v>LAS VEGAS</v>
      </c>
      <c r="C19" s="211" t="str">
        <f>+'GRUPO A'!C26</f>
        <v>03:00. p.m.</v>
      </c>
      <c r="D19" s="211" t="str">
        <f>+'GRUPO A'!E26</f>
        <v>ASTON HUILA</v>
      </c>
      <c r="E19" s="211">
        <f>+'GRUPO A'!G26</f>
        <v>3</v>
      </c>
      <c r="F19" s="211">
        <f>+'GRUPO A'!I26</f>
        <v>0</v>
      </c>
      <c r="G19" s="211" t="str">
        <f>+'GRUPO A'!K26</f>
        <v>ATHLETIC MELGAR</v>
      </c>
      <c r="H19" s="210" t="str">
        <f>+'GRUPO A'!B4</f>
        <v>GRUPO A</v>
      </c>
      <c r="J19" s="224" t="s">
        <v>82</v>
      </c>
      <c r="K19" s="166" t="s">
        <v>48</v>
      </c>
      <c r="L19" s="560" t="s">
        <v>97</v>
      </c>
      <c r="M19" s="561"/>
      <c r="N19" s="561"/>
      <c r="O19" s="561"/>
      <c r="P19" s="561"/>
      <c r="Q19" s="222"/>
      <c r="R19" s="557" t="s">
        <v>44</v>
      </c>
      <c r="S19" s="559"/>
    </row>
    <row r="20" spans="1:19" s="196" customFormat="1" ht="30" customHeight="1" thickBot="1" x14ac:dyDescent="0.35">
      <c r="A20" s="213">
        <f>+'GRUPO A'!B29</f>
        <v>42812</v>
      </c>
      <c r="B20" s="198" t="str">
        <f>+'GRUPO A'!M29</f>
        <v>LAS VEGAS</v>
      </c>
      <c r="C20" s="198" t="str">
        <f>+'GRUPO A'!C29</f>
        <v>04:00. p.m.</v>
      </c>
      <c r="D20" s="198" t="str">
        <f>+'GRUPO A'!E29</f>
        <v>INTER F. C.</v>
      </c>
      <c r="E20" s="198">
        <f>+'GRUPO A'!G29</f>
        <v>3</v>
      </c>
      <c r="F20" s="198">
        <f>+'GRUPO A'!I29</f>
        <v>3</v>
      </c>
      <c r="G20" s="198" t="str">
        <f>+'GRUPO A'!K29</f>
        <v>CLUB DEPORTIVO NUEVAS GENERACIONES</v>
      </c>
      <c r="H20" s="214" t="str">
        <f>+'GRUPO A'!B4</f>
        <v>GRUPO A</v>
      </c>
      <c r="J20" s="3"/>
      <c r="K20" s="3"/>
      <c r="L20" s="3"/>
      <c r="M20" s="3"/>
      <c r="N20" s="3"/>
      <c r="R20" s="3"/>
    </row>
    <row r="21" spans="1:19" s="196" customFormat="1" ht="30" customHeight="1" thickBot="1" x14ac:dyDescent="0.35">
      <c r="J21" s="224" t="s">
        <v>83</v>
      </c>
      <c r="K21" s="166" t="s">
        <v>48</v>
      </c>
      <c r="L21" s="560" t="s">
        <v>98</v>
      </c>
      <c r="M21" s="561"/>
      <c r="N21" s="561"/>
      <c r="O21" s="561"/>
      <c r="P21" s="561"/>
      <c r="Q21" s="222"/>
      <c r="R21" s="557" t="s">
        <v>45</v>
      </c>
      <c r="S21" s="559"/>
    </row>
    <row r="22" spans="1:19" s="196" customFormat="1" ht="30" customHeight="1" x14ac:dyDescent="0.3">
      <c r="B22" s="562" t="s">
        <v>86</v>
      </c>
      <c r="C22" s="563"/>
      <c r="D22" s="563"/>
      <c r="E22" s="563"/>
      <c r="F22" s="563"/>
      <c r="G22" s="563"/>
      <c r="H22" s="564"/>
    </row>
    <row r="23" spans="1:19" s="196" customFormat="1" ht="30" customHeight="1" x14ac:dyDescent="0.3">
      <c r="A23" s="212"/>
      <c r="B23" s="198" t="s">
        <v>69</v>
      </c>
      <c r="C23" s="198" t="s">
        <v>70</v>
      </c>
      <c r="D23" s="198" t="s">
        <v>71</v>
      </c>
      <c r="E23" s="565" t="s">
        <v>72</v>
      </c>
      <c r="F23" s="566"/>
      <c r="G23" s="198" t="s">
        <v>71</v>
      </c>
      <c r="H23" s="198" t="s">
        <v>73</v>
      </c>
    </row>
    <row r="24" spans="1:19" s="196" customFormat="1" ht="30" customHeight="1" thickBot="1" x14ac:dyDescent="0.35">
      <c r="A24" s="210">
        <f>+'GRUPO B'!B26</f>
        <v>42813</v>
      </c>
      <c r="B24" s="211" t="str">
        <f>+'GRUPO B'!M26</f>
        <v>CANCHA 1</v>
      </c>
      <c r="C24" s="211" t="str">
        <f>+'GRUPO B'!C26</f>
        <v>09:50. a.m.</v>
      </c>
      <c r="D24" s="211" t="str">
        <f>+'GRUPO B'!E26</f>
        <v>CANUTO F.C.</v>
      </c>
      <c r="E24" s="211">
        <f>+'GRUPO B'!G26</f>
        <v>0</v>
      </c>
      <c r="F24" s="211">
        <f>+'GRUPO B'!I26</f>
        <v>0</v>
      </c>
      <c r="G24" s="211" t="str">
        <f>+'GRUPO B'!K26</f>
        <v>CLUB PROMOTOR DEPORTIVO SCORPION</v>
      </c>
      <c r="H24" s="210" t="str">
        <f>+'GRUPO B'!B4</f>
        <v>GRUPO B</v>
      </c>
      <c r="J24" s="567" t="s">
        <v>64</v>
      </c>
      <c r="K24" s="567"/>
      <c r="L24" s="567"/>
      <c r="M24" s="567"/>
      <c r="N24" s="567"/>
      <c r="O24" s="567"/>
      <c r="P24" s="567"/>
      <c r="Q24" s="567"/>
    </row>
    <row r="25" spans="1:19" s="196" customFormat="1" ht="30" customHeight="1" thickBot="1" x14ac:dyDescent="0.35">
      <c r="A25" s="210">
        <f>+'GRUPO B'!B29</f>
        <v>42813</v>
      </c>
      <c r="B25" s="198" t="str">
        <f>+'GRUPO B'!M29</f>
        <v>CANCHA 1</v>
      </c>
      <c r="C25" s="198" t="str">
        <f>+'GRUPO B'!C29</f>
        <v>10:50. a.m.</v>
      </c>
      <c r="D25" s="198" t="str">
        <f>+'GRUPO B'!E29</f>
        <v>HUITACA FUTBOL CLUB CHIA</v>
      </c>
      <c r="E25" s="198">
        <f>+'GRUPO B'!G29</f>
        <v>0</v>
      </c>
      <c r="F25" s="198">
        <f>+'GRUPO B'!I29</f>
        <v>0</v>
      </c>
      <c r="G25" s="198" t="e">
        <f>+'GRUPO B'!K29</f>
        <v>#REF!</v>
      </c>
      <c r="H25" s="214" t="str">
        <f>+'GRUPO B'!B4</f>
        <v>GRUPO B</v>
      </c>
      <c r="J25" s="215" t="s">
        <v>65</v>
      </c>
      <c r="K25" s="207" t="s">
        <v>48</v>
      </c>
      <c r="L25" s="557" t="s">
        <v>66</v>
      </c>
      <c r="M25" s="558"/>
      <c r="N25" s="558"/>
      <c r="O25" s="558"/>
      <c r="P25" s="558"/>
      <c r="Q25" s="559"/>
    </row>
    <row r="26" spans="1:19" s="196" customFormat="1" ht="30" customHeight="1" x14ac:dyDescent="0.3">
      <c r="A26" s="213">
        <f>+'GRUPO A'!B32</f>
        <v>42813</v>
      </c>
      <c r="B26" s="211" t="str">
        <f>+'GRUPO A'!M32</f>
        <v>CANCHA 2</v>
      </c>
      <c r="C26" s="211" t="str">
        <f>+'GRUPO A'!C32</f>
        <v>01:15. p.m.</v>
      </c>
      <c r="D26" s="211" t="str">
        <f>+'GRUPO A'!E32</f>
        <v>INTER F. C.</v>
      </c>
      <c r="E26" s="211">
        <f>+'GRUPO A'!G32</f>
        <v>0</v>
      </c>
      <c r="F26" s="211">
        <f>+'GRUPO A'!I32</f>
        <v>0</v>
      </c>
      <c r="G26" s="211" t="str">
        <f>+'GRUPO A'!K32</f>
        <v>ATHLETIC MELGAR</v>
      </c>
      <c r="H26" s="211" t="str">
        <f>+'GRUPO A'!B4</f>
        <v>GRUPO A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s="196" customFormat="1" ht="30" customHeight="1" thickBot="1" x14ac:dyDescent="0.35">
      <c r="A27" s="213">
        <f>+'GRUPO A'!B35</f>
        <v>42813</v>
      </c>
      <c r="B27" s="211" t="str">
        <f>+'GRUPO A'!M35</f>
        <v>CANCHA 1</v>
      </c>
      <c r="C27" s="211" t="str">
        <f>+'GRUPO A'!C35</f>
        <v>02:30. p.m.</v>
      </c>
      <c r="D27" s="211" t="str">
        <f>+'GRUPO A'!E35</f>
        <v>ASTON HUILA</v>
      </c>
      <c r="E27" s="211">
        <f>+'GRUPO A'!G35</f>
        <v>2</v>
      </c>
      <c r="F27" s="211">
        <f>+'GRUPO A'!I35</f>
        <v>2</v>
      </c>
      <c r="G27" s="211" t="str">
        <f>+'GRUPO A'!K35</f>
        <v>CLUB DEPORTIVO NUEVAS GENERACIONES</v>
      </c>
      <c r="H27" s="211" t="str">
        <f>+'GRUPO A'!B4</f>
        <v>GRUPO A</v>
      </c>
      <c r="J27" s="556" t="s">
        <v>63</v>
      </c>
      <c r="K27" s="556"/>
      <c r="L27" s="556"/>
      <c r="M27" s="556"/>
      <c r="N27" s="556"/>
      <c r="O27" s="556"/>
      <c r="P27" s="556"/>
      <c r="Q27" s="556"/>
      <c r="R27" s="3"/>
      <c r="S27" s="3"/>
    </row>
    <row r="28" spans="1:19" s="196" customFormat="1" ht="30" customHeight="1" thickBot="1" x14ac:dyDescent="0.35">
      <c r="A28" s="210">
        <f>+'GRUPO B'!B32</f>
        <v>42813</v>
      </c>
      <c r="B28" s="211" t="str">
        <f>+'GRUPO B'!M32</f>
        <v>CANCHA 1</v>
      </c>
      <c r="C28" s="211" t="str">
        <f>+'GRUPO B'!C32</f>
        <v>04:30. p.m.</v>
      </c>
      <c r="D28" s="211" t="str">
        <f>+'GRUPO B'!E32</f>
        <v>CANUTO F.C.</v>
      </c>
      <c r="E28" s="211">
        <f>+'GRUPO B'!G32</f>
        <v>0</v>
      </c>
      <c r="F28" s="211">
        <f>+'GRUPO B'!I32</f>
        <v>0</v>
      </c>
      <c r="G28" s="211" t="e">
        <f>+'GRUPO B'!K32</f>
        <v>#REF!</v>
      </c>
      <c r="H28" s="211" t="str">
        <f>+'GRUPO B'!B4</f>
        <v>GRUPO B</v>
      </c>
      <c r="J28" s="215" t="s">
        <v>67</v>
      </c>
      <c r="K28" s="207" t="s">
        <v>48</v>
      </c>
      <c r="L28" s="557" t="s">
        <v>68</v>
      </c>
      <c r="M28" s="558"/>
      <c r="N28" s="558"/>
      <c r="O28" s="558"/>
      <c r="P28" s="558"/>
      <c r="Q28" s="559"/>
      <c r="R28" s="3"/>
      <c r="S28" s="3"/>
    </row>
    <row r="29" spans="1:19" s="196" customFormat="1" ht="30" customHeight="1" x14ac:dyDescent="0.3">
      <c r="A29" s="210">
        <f>+'GRUPO B'!B35</f>
        <v>42813</v>
      </c>
      <c r="B29" s="211" t="str">
        <f>+'GRUPO B'!M35</f>
        <v>CANCHA 2</v>
      </c>
      <c r="C29" s="211" t="str">
        <f>+'GRUPO B'!C35</f>
        <v>03:25. p.m.</v>
      </c>
      <c r="D29" s="211" t="str">
        <f>+'GRUPO B'!E35</f>
        <v>HUITACA FUTBOL CLUB CHIA</v>
      </c>
      <c r="E29" s="211">
        <f>+'GRUPO B'!G35</f>
        <v>0</v>
      </c>
      <c r="F29" s="211">
        <f>+'GRUPO B'!I35</f>
        <v>0</v>
      </c>
      <c r="G29" s="211" t="str">
        <f>+'GRUPO B'!K35</f>
        <v>CLUB PROMOTOR DEPORTIVO SCORPION</v>
      </c>
      <c r="H29" s="211" t="str">
        <f>+'GRUPO B'!B4</f>
        <v>GRUPO B</v>
      </c>
    </row>
    <row r="30" spans="1:19" s="196" customFormat="1" ht="30" customHeight="1" x14ac:dyDescent="0.3"/>
    <row r="31" spans="1:19" s="196" customFormat="1" ht="30" customHeight="1" x14ac:dyDescent="0.3"/>
    <row r="32" spans="1:19" s="196" customFormat="1" ht="30" customHeight="1" x14ac:dyDescent="0.3"/>
    <row r="33" spans="1:9" s="196" customFormat="1" ht="30" customHeight="1" x14ac:dyDescent="0.3"/>
    <row r="34" spans="1:9" s="196" customFormat="1" ht="30" customHeight="1" x14ac:dyDescent="0.3"/>
    <row r="35" spans="1:9" s="196" customFormat="1" ht="30" customHeight="1" x14ac:dyDescent="0.3">
      <c r="I35" s="3"/>
    </row>
    <row r="36" spans="1:9" s="196" customFormat="1" ht="30" customHeight="1" x14ac:dyDescent="0.3">
      <c r="I36" s="3"/>
    </row>
    <row r="37" spans="1:9" s="196" customFormat="1" ht="30" customHeight="1" x14ac:dyDescent="0.3">
      <c r="I37" s="3"/>
    </row>
    <row r="38" spans="1:9" ht="30" customHeight="1" x14ac:dyDescent="0.3">
      <c r="A38" s="196"/>
      <c r="B38" s="196"/>
      <c r="C38" s="196"/>
      <c r="D38" s="196"/>
      <c r="E38" s="196"/>
      <c r="F38" s="196"/>
      <c r="G38" s="196"/>
      <c r="H38" s="196"/>
    </row>
    <row r="39" spans="1:9" ht="30" customHeight="1" x14ac:dyDescent="0.3">
      <c r="A39" s="196"/>
      <c r="B39" s="196"/>
      <c r="C39" s="196"/>
      <c r="D39" s="196"/>
      <c r="E39" s="196"/>
      <c r="F39" s="196"/>
      <c r="G39" s="196"/>
      <c r="H39" s="196"/>
    </row>
    <row r="40" spans="1:9" ht="30" customHeight="1" x14ac:dyDescent="0.3">
      <c r="A40" s="196"/>
      <c r="B40" s="196"/>
      <c r="C40" s="196"/>
      <c r="D40" s="196"/>
      <c r="E40" s="196"/>
      <c r="F40" s="196"/>
      <c r="G40" s="196"/>
      <c r="H40" s="196"/>
    </row>
    <row r="41" spans="1:9" ht="30" customHeight="1" x14ac:dyDescent="0.3">
      <c r="A41" s="196"/>
      <c r="B41" s="196"/>
      <c r="C41" s="196"/>
      <c r="D41" s="196"/>
      <c r="E41" s="196"/>
      <c r="F41" s="196"/>
      <c r="G41" s="196"/>
      <c r="H41" s="196"/>
    </row>
    <row r="42" spans="1:9" ht="30" customHeight="1" x14ac:dyDescent="0.3">
      <c r="A42" s="196"/>
      <c r="B42" s="196"/>
      <c r="C42" s="196"/>
      <c r="D42" s="196"/>
      <c r="E42" s="196"/>
      <c r="F42" s="196"/>
      <c r="G42" s="196"/>
      <c r="H42" s="196"/>
    </row>
    <row r="43" spans="1:9" ht="30" customHeight="1" x14ac:dyDescent="0.3">
      <c r="A43" s="196"/>
      <c r="B43" s="196"/>
      <c r="C43" s="196"/>
      <c r="D43" s="196"/>
      <c r="E43" s="196"/>
      <c r="F43" s="196"/>
      <c r="G43" s="196"/>
      <c r="H43" s="196"/>
    </row>
    <row r="44" spans="1:9" ht="30" customHeight="1" x14ac:dyDescent="0.3">
      <c r="A44" s="196"/>
      <c r="B44" s="196"/>
      <c r="C44" s="196"/>
      <c r="D44" s="196"/>
      <c r="E44" s="196"/>
      <c r="F44" s="196"/>
      <c r="G44" s="196"/>
      <c r="H44" s="196"/>
    </row>
    <row r="45" spans="1:9" ht="30" customHeight="1" x14ac:dyDescent="0.3">
      <c r="A45" s="196"/>
      <c r="B45" s="196"/>
      <c r="C45" s="196"/>
      <c r="D45" s="196"/>
      <c r="E45" s="196"/>
      <c r="F45" s="196"/>
      <c r="G45" s="196"/>
      <c r="H45" s="196"/>
    </row>
  </sheetData>
  <mergeCells count="20">
    <mergeCell ref="B6:H6"/>
    <mergeCell ref="A1:H1"/>
    <mergeCell ref="A2:H2"/>
    <mergeCell ref="A3:H3"/>
    <mergeCell ref="A4:H4"/>
    <mergeCell ref="A5:H5"/>
    <mergeCell ref="E7:F7"/>
    <mergeCell ref="B13:H13"/>
    <mergeCell ref="E14:F14"/>
    <mergeCell ref="J18:S18"/>
    <mergeCell ref="L19:P19"/>
    <mergeCell ref="R19:S19"/>
    <mergeCell ref="J27:Q27"/>
    <mergeCell ref="L28:Q28"/>
    <mergeCell ref="L21:P21"/>
    <mergeCell ref="R21:S21"/>
    <mergeCell ref="B22:H22"/>
    <mergeCell ref="E23:F23"/>
    <mergeCell ref="J24:Q24"/>
    <mergeCell ref="L25:Q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39"/>
  <sheetViews>
    <sheetView zoomScaleNormal="100" workbookViewId="0">
      <selection activeCell="B26" sqref="B26:I27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6.5546875" style="3" customWidth="1"/>
    <col min="11" max="16384" width="11.44140625" style="3"/>
  </cols>
  <sheetData>
    <row r="1" spans="2:9" ht="22.8" x14ac:dyDescent="0.3">
      <c r="C1" s="475" t="str">
        <f>+'GRUPOS INFANTIL'!C1:H1</f>
        <v>XVIII Campeonato Nacional de Fútbol Infantil</v>
      </c>
      <c r="D1" s="475"/>
      <c r="E1" s="475"/>
      <c r="F1" s="475"/>
      <c r="G1" s="475"/>
      <c r="H1" s="475"/>
      <c r="I1" s="475"/>
    </row>
    <row r="2" spans="2:9" ht="17.399999999999999" x14ac:dyDescent="0.3">
      <c r="C2" s="476" t="s">
        <v>6</v>
      </c>
      <c r="D2" s="476"/>
      <c r="E2" s="476"/>
      <c r="F2" s="476"/>
      <c r="G2" s="476"/>
      <c r="H2" s="476"/>
      <c r="I2" s="476"/>
    </row>
    <row r="4" spans="2:9" ht="20.399999999999999" x14ac:dyDescent="0.3">
      <c r="C4" s="573" t="s">
        <v>117</v>
      </c>
      <c r="D4" s="573"/>
      <c r="E4" s="573"/>
      <c r="F4" s="573"/>
      <c r="G4" s="573"/>
      <c r="H4" s="573"/>
      <c r="I4" s="573"/>
    </row>
    <row r="5" spans="2:9" ht="6" customHeight="1" thickBot="1" x14ac:dyDescent="0.35">
      <c r="C5" s="155"/>
      <c r="D5" s="155"/>
      <c r="E5" s="155"/>
      <c r="F5" s="155"/>
      <c r="G5" s="155"/>
      <c r="H5" s="155"/>
      <c r="I5" s="155"/>
    </row>
    <row r="6" spans="2:9" ht="15.6" x14ac:dyDescent="0.3">
      <c r="D6" s="157"/>
      <c r="E6" s="156" t="s">
        <v>0</v>
      </c>
      <c r="F6" s="159"/>
      <c r="G6" s="158" t="s">
        <v>1</v>
      </c>
      <c r="H6" s="161"/>
    </row>
    <row r="7" spans="2:9" ht="18" x14ac:dyDescent="0.3">
      <c r="D7" s="163"/>
      <c r="E7" s="116">
        <v>1</v>
      </c>
      <c r="G7" s="116">
        <v>5</v>
      </c>
      <c r="H7" s="35"/>
    </row>
    <row r="8" spans="2:9" ht="18" x14ac:dyDescent="0.3">
      <c r="D8" s="163"/>
      <c r="E8" s="116">
        <v>2</v>
      </c>
      <c r="G8" s="116">
        <v>6</v>
      </c>
      <c r="H8" s="35"/>
    </row>
    <row r="9" spans="2:9" ht="18" x14ac:dyDescent="0.3">
      <c r="D9" s="163"/>
      <c r="E9" s="116">
        <v>3</v>
      </c>
      <c r="G9" s="116">
        <v>7</v>
      </c>
      <c r="H9" s="35"/>
    </row>
    <row r="10" spans="2:9" ht="18" x14ac:dyDescent="0.3">
      <c r="D10" s="163"/>
      <c r="E10" s="116">
        <v>4</v>
      </c>
      <c r="G10" s="116">
        <v>8</v>
      </c>
      <c r="H10" s="35"/>
    </row>
    <row r="11" spans="2:9" x14ac:dyDescent="0.3">
      <c r="B11" s="478"/>
      <c r="C11" s="478"/>
      <c r="D11" s="478"/>
      <c r="E11" s="478"/>
      <c r="F11" s="478"/>
      <c r="G11" s="478"/>
      <c r="H11" s="478"/>
      <c r="I11" s="478"/>
    </row>
    <row r="12" spans="2:9" ht="20.399999999999999" x14ac:dyDescent="0.3">
      <c r="C12" s="570" t="s">
        <v>81</v>
      </c>
      <c r="D12" s="570"/>
      <c r="E12" s="570"/>
      <c r="F12" s="570"/>
      <c r="G12" s="570"/>
      <c r="H12" s="570"/>
      <c r="I12" s="570"/>
    </row>
    <row r="13" spans="2:9" ht="3.6" customHeight="1" thickBot="1" x14ac:dyDescent="0.4">
      <c r="B13" s="164"/>
      <c r="C13" s="164"/>
      <c r="D13" s="164"/>
      <c r="E13" s="164"/>
      <c r="F13" s="164"/>
      <c r="G13" s="164"/>
      <c r="H13" s="164"/>
      <c r="I13" s="164"/>
    </row>
    <row r="14" spans="2:9" ht="15" thickBot="1" x14ac:dyDescent="0.35">
      <c r="B14" s="208"/>
      <c r="C14" s="473" t="s">
        <v>89</v>
      </c>
      <c r="D14" s="473"/>
      <c r="E14" s="473"/>
      <c r="F14" s="166" t="s">
        <v>48</v>
      </c>
      <c r="G14" s="472" t="s">
        <v>93</v>
      </c>
      <c r="H14" s="473"/>
      <c r="I14" s="474"/>
    </row>
    <row r="15" spans="2:9" ht="4.2" customHeight="1" thickBot="1" x14ac:dyDescent="0.35">
      <c r="B15" s="167"/>
      <c r="F15" s="167"/>
    </row>
    <row r="16" spans="2:9" ht="15" thickBot="1" x14ac:dyDescent="0.35">
      <c r="B16" s="208"/>
      <c r="C16" s="473" t="s">
        <v>90</v>
      </c>
      <c r="D16" s="473"/>
      <c r="E16" s="473"/>
      <c r="F16" s="166" t="s">
        <v>48</v>
      </c>
      <c r="G16" s="472" t="s">
        <v>94</v>
      </c>
      <c r="H16" s="473"/>
      <c r="I16" s="474"/>
    </row>
    <row r="18" spans="2:9" ht="15" thickBot="1" x14ac:dyDescent="0.35">
      <c r="B18" s="208"/>
      <c r="C18" s="473" t="s">
        <v>91</v>
      </c>
      <c r="D18" s="473"/>
      <c r="E18" s="473"/>
      <c r="F18" s="166" t="s">
        <v>48</v>
      </c>
      <c r="G18" s="472" t="s">
        <v>95</v>
      </c>
      <c r="H18" s="473"/>
      <c r="I18" s="474"/>
    </row>
    <row r="19" spans="2:9" ht="4.2" customHeight="1" thickBot="1" x14ac:dyDescent="0.35">
      <c r="B19" s="167"/>
    </row>
    <row r="20" spans="2:9" ht="15" thickBot="1" x14ac:dyDescent="0.35">
      <c r="B20" s="208"/>
      <c r="C20" s="473" t="s">
        <v>92</v>
      </c>
      <c r="D20" s="473"/>
      <c r="E20" s="473"/>
      <c r="F20" s="166" t="s">
        <v>48</v>
      </c>
      <c r="G20" s="472" t="s">
        <v>96</v>
      </c>
      <c r="H20" s="473"/>
      <c r="I20" s="474"/>
    </row>
    <row r="21" spans="2:9" ht="4.2" customHeight="1" x14ac:dyDescent="0.3">
      <c r="B21" s="205"/>
      <c r="C21" s="206"/>
      <c r="D21" s="206"/>
      <c r="E21" s="206"/>
      <c r="F21" s="207"/>
      <c r="G21" s="206"/>
      <c r="H21" s="206"/>
      <c r="I21" s="206"/>
    </row>
    <row r="22" spans="2:9" x14ac:dyDescent="0.3">
      <c r="B22" s="205"/>
      <c r="C22" s="571" t="s">
        <v>84</v>
      </c>
      <c r="D22" s="571"/>
      <c r="E22" s="571"/>
      <c r="F22" s="571"/>
      <c r="G22" s="571"/>
      <c r="H22" s="571"/>
      <c r="I22" s="571"/>
    </row>
    <row r="23" spans="2:9" x14ac:dyDescent="0.3">
      <c r="B23" s="205"/>
      <c r="C23" s="571"/>
      <c r="D23" s="571"/>
      <c r="E23" s="571"/>
      <c r="F23" s="571"/>
      <c r="G23" s="571"/>
      <c r="H23" s="571"/>
      <c r="I23" s="571"/>
    </row>
    <row r="25" spans="2:9" ht="18" x14ac:dyDescent="0.35">
      <c r="B25" s="480" t="s">
        <v>58</v>
      </c>
      <c r="C25" s="480"/>
      <c r="D25" s="480"/>
      <c r="E25" s="480"/>
      <c r="F25" s="480"/>
      <c r="G25" s="480"/>
      <c r="H25" s="480"/>
      <c r="I25" s="480"/>
    </row>
    <row r="26" spans="2:9" x14ac:dyDescent="0.3">
      <c r="B26" s="572" t="s">
        <v>118</v>
      </c>
      <c r="C26" s="572"/>
      <c r="D26" s="572"/>
      <c r="E26" s="572"/>
      <c r="F26" s="572"/>
      <c r="G26" s="572"/>
      <c r="H26" s="572"/>
      <c r="I26" s="572"/>
    </row>
    <row r="27" spans="2:9" x14ac:dyDescent="0.3">
      <c r="B27" s="572"/>
      <c r="C27" s="572"/>
      <c r="D27" s="572"/>
      <c r="E27" s="572"/>
      <c r="F27" s="572"/>
      <c r="G27" s="572"/>
      <c r="H27" s="572"/>
      <c r="I27" s="572"/>
    </row>
    <row r="28" spans="2:9" ht="3.75" customHeight="1" thickBot="1" x14ac:dyDescent="0.35"/>
    <row r="29" spans="2:9" ht="15" thickBot="1" x14ac:dyDescent="0.35">
      <c r="B29" s="165" t="s">
        <v>44</v>
      </c>
      <c r="C29" s="472" t="s">
        <v>82</v>
      </c>
      <c r="D29" s="473"/>
      <c r="E29" s="474"/>
      <c r="F29" s="166" t="s">
        <v>48</v>
      </c>
      <c r="G29" s="472" t="s">
        <v>97</v>
      </c>
      <c r="H29" s="473"/>
      <c r="I29" s="474"/>
    </row>
    <row r="30" spans="2:9" ht="6.75" customHeight="1" thickBot="1" x14ac:dyDescent="0.35"/>
    <row r="31" spans="2:9" ht="15" thickBot="1" x14ac:dyDescent="0.35">
      <c r="B31" s="165" t="s">
        <v>45</v>
      </c>
      <c r="C31" s="472" t="s">
        <v>83</v>
      </c>
      <c r="D31" s="473"/>
      <c r="E31" s="474"/>
      <c r="F31" s="166" t="s">
        <v>48</v>
      </c>
      <c r="G31" s="472" t="s">
        <v>98</v>
      </c>
      <c r="H31" s="473"/>
      <c r="I31" s="474"/>
    </row>
    <row r="33" spans="3:9" ht="17.399999999999999" customHeight="1" thickBot="1" x14ac:dyDescent="0.35">
      <c r="C33" s="479" t="s">
        <v>64</v>
      </c>
      <c r="D33" s="479"/>
      <c r="E33" s="479"/>
      <c r="F33" s="479"/>
      <c r="G33" s="479"/>
      <c r="H33" s="479"/>
      <c r="I33" s="479"/>
    </row>
    <row r="34" spans="3:9" ht="0.6" hidden="1" customHeight="1" thickBot="1" x14ac:dyDescent="0.35"/>
    <row r="35" spans="3:9" ht="15" thickBot="1" x14ac:dyDescent="0.35">
      <c r="C35" s="472" t="s">
        <v>65</v>
      </c>
      <c r="D35" s="473"/>
      <c r="E35" s="474"/>
      <c r="F35" s="166" t="s">
        <v>48</v>
      </c>
      <c r="G35" s="472" t="s">
        <v>66</v>
      </c>
      <c r="H35" s="473"/>
      <c r="I35" s="474"/>
    </row>
    <row r="37" spans="3:9" ht="16.95" customHeight="1" thickBot="1" x14ac:dyDescent="0.35">
      <c r="C37" s="479" t="s">
        <v>63</v>
      </c>
      <c r="D37" s="479"/>
      <c r="E37" s="479"/>
      <c r="F37" s="479"/>
      <c r="G37" s="479"/>
      <c r="H37" s="479"/>
      <c r="I37" s="479"/>
    </row>
    <row r="38" spans="3:9" ht="7.2" hidden="1" customHeight="1" thickBot="1" x14ac:dyDescent="0.35"/>
    <row r="39" spans="3:9" ht="15" thickBot="1" x14ac:dyDescent="0.35">
      <c r="C39" s="472" t="s">
        <v>67</v>
      </c>
      <c r="D39" s="473"/>
      <c r="E39" s="474"/>
      <c r="F39" s="166" t="s">
        <v>48</v>
      </c>
      <c r="G39" s="472" t="s">
        <v>68</v>
      </c>
      <c r="H39" s="473"/>
      <c r="I39" s="474"/>
    </row>
  </sheetData>
  <mergeCells count="26"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</mergeCells>
  <hyperlinks>
    <hyperlink ref="G6" location="'GRUPO B'!A1" display="GRUPO B" xr:uid="{00000000-0004-0000-1400-000000000000}"/>
    <hyperlink ref="E6" location="'GRUPO B'!A1" display="GRUPO B" xr:uid="{00000000-0004-0000-14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19</vt:i4>
      </vt:variant>
    </vt:vector>
  </HeadingPairs>
  <TitlesOfParts>
    <vt:vector size="40" baseType="lpstr">
      <vt:lpstr>GRUPOS INFANTIL</vt:lpstr>
      <vt:lpstr>GRUPO A</vt:lpstr>
      <vt:lpstr>GRUPO B</vt:lpstr>
      <vt:lpstr>CUARTOS DE FINAL.</vt:lpstr>
      <vt:lpstr>DEFINICION</vt:lpstr>
      <vt:lpstr>FINAL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SOLO IDA</vt:lpstr>
      <vt:lpstr>IMPRIMIR HOJA 1</vt:lpstr>
      <vt:lpstr>Hoja2 (2)</vt:lpstr>
      <vt:lpstr>Hoja2 (3)</vt:lpstr>
      <vt:lpstr>Hoja2 (4)</vt:lpstr>
      <vt:lpstr>IMPRIMIR HOJA 1 (2)</vt:lpstr>
      <vt:lpstr>Hoja1 (2)</vt:lpstr>
      <vt:lpstr>'CUARTOS DE FINAL'!Área_de_impresión</vt:lpstr>
      <vt:lpstr>'CUARTOS DE FINAL.'!Área_de_impresión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1'!Área_de_impresión</vt:lpstr>
      <vt:lpstr>'IMPRIMIR HOJA 1 (2)'!Área_de_impresión</vt:lpstr>
      <vt:lpstr>'SOLO IDA'!Área_de_impresión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2023-12-05T18:37:58Z</cp:lastPrinted>
  <dcterms:created xsi:type="dcterms:W3CDTF">2015-01-09T01:36:28Z</dcterms:created>
  <dcterms:modified xsi:type="dcterms:W3CDTF">2025-04-02T13:15:49Z</dcterms:modified>
</cp:coreProperties>
</file>