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redherber/Desktop/Portfolio/spreadsheets/"/>
    </mc:Choice>
  </mc:AlternateContent>
  <xr:revisionPtr revIDLastSave="0" documentId="13_ncr:1_{8654058B-618C-F543-BEE9-37810837ADB5}" xr6:coauthVersionLast="47" xr6:coauthVersionMax="47" xr10:uidLastSave="{00000000-0000-0000-0000-000000000000}"/>
  <bookViews>
    <workbookView xWindow="1080" yWindow="500" windowWidth="29400" windowHeight="19040" activeTab="1" xr2:uid="{00000000-000D-0000-FFFF-FFFF00000000}"/>
  </bookViews>
  <sheets>
    <sheet name="Comparable Analysis" sheetId="9" r:id="rId1"/>
    <sheet name="Statement Model" sheetId="1" r:id="rId2"/>
    <sheet name="DCF" sheetId="2" r:id="rId3"/>
    <sheet name="Income Statement SEC" sheetId="3" r:id="rId4"/>
    <sheet name="Balance Sheet SEC" sheetId="4" r:id="rId5"/>
    <sheet name="Cash Flow Statement SEC" sheetId="5" r:id="rId6"/>
    <sheet name="Income Statement YFinance" sheetId="7" r:id="rId7"/>
    <sheet name="Balance Sheet YFinance" sheetId="6" r:id="rId8"/>
    <sheet name="Cash Flow Statement YFinance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1" l="1"/>
  <c r="F14" i="2"/>
  <c r="C84" i="1" l="1"/>
  <c r="H105" i="1"/>
  <c r="I105" i="1"/>
  <c r="J105" i="1" s="1"/>
  <c r="H106" i="1"/>
  <c r="J106" i="1" s="1"/>
  <c r="I106" i="1"/>
  <c r="G106" i="1"/>
  <c r="G105" i="1"/>
  <c r="H103" i="1"/>
  <c r="I103" i="1"/>
  <c r="J103" i="1"/>
  <c r="K103" i="1"/>
  <c r="G103" i="1"/>
  <c r="G108" i="1" s="1"/>
  <c r="C17" i="1"/>
  <c r="F9" i="1"/>
  <c r="G9" i="1" s="1"/>
  <c r="H9" i="1" s="1"/>
  <c r="I9" i="1" s="1"/>
  <c r="J9" i="1" s="1"/>
  <c r="K9" i="1" s="1"/>
  <c r="F11" i="1"/>
  <c r="F12" i="1" s="1"/>
  <c r="H86" i="1"/>
  <c r="I86" i="1" s="1"/>
  <c r="J86" i="1" s="1"/>
  <c r="K86" i="1" s="1"/>
  <c r="G86" i="1"/>
  <c r="C16" i="2"/>
  <c r="D41" i="1"/>
  <c r="E41" i="1"/>
  <c r="F41" i="1"/>
  <c r="C41" i="1"/>
  <c r="F9" i="2"/>
  <c r="F15" i="2"/>
  <c r="F17" i="2"/>
  <c r="F13" i="2"/>
  <c r="F6" i="2"/>
  <c r="D117" i="1"/>
  <c r="E117" i="1"/>
  <c r="F117" i="1"/>
  <c r="C117" i="1"/>
  <c r="D115" i="1"/>
  <c r="E115" i="1"/>
  <c r="F115" i="1"/>
  <c r="C115" i="1"/>
  <c r="C113" i="1"/>
  <c r="D112" i="1"/>
  <c r="E113" i="1" s="1"/>
  <c r="E112" i="1"/>
  <c r="F113" i="1" s="1"/>
  <c r="F112" i="1"/>
  <c r="G113" i="1" s="1"/>
  <c r="C112" i="1"/>
  <c r="D113" i="1" s="1"/>
  <c r="D111" i="1"/>
  <c r="E111" i="1"/>
  <c r="F111" i="1"/>
  <c r="C111" i="1"/>
  <c r="D110" i="1"/>
  <c r="E110" i="1"/>
  <c r="F110" i="1"/>
  <c r="C110" i="1"/>
  <c r="C104" i="1"/>
  <c r="C107" i="1" s="1"/>
  <c r="D104" i="1"/>
  <c r="D107" i="1" s="1"/>
  <c r="E104" i="1"/>
  <c r="E107" i="1" s="1"/>
  <c r="F104" i="1"/>
  <c r="F107" i="1" s="1"/>
  <c r="D106" i="1"/>
  <c r="E106" i="1"/>
  <c r="F106" i="1"/>
  <c r="C106" i="1"/>
  <c r="D105" i="1"/>
  <c r="E105" i="1"/>
  <c r="F105" i="1"/>
  <c r="C105" i="1"/>
  <c r="D103" i="1"/>
  <c r="E103" i="1"/>
  <c r="F103" i="1"/>
  <c r="C103" i="1"/>
  <c r="D100" i="1"/>
  <c r="E100" i="1"/>
  <c r="F100" i="1"/>
  <c r="C100" i="1"/>
  <c r="D98" i="1"/>
  <c r="E98" i="1"/>
  <c r="F98" i="1"/>
  <c r="D99" i="1"/>
  <c r="E99" i="1"/>
  <c r="F99" i="1"/>
  <c r="C99" i="1"/>
  <c r="C98" i="1"/>
  <c r="D97" i="1"/>
  <c r="E97" i="1"/>
  <c r="F97" i="1"/>
  <c r="C97" i="1"/>
  <c r="D96" i="1"/>
  <c r="E96" i="1"/>
  <c r="F96" i="1"/>
  <c r="C96" i="1"/>
  <c r="D94" i="1"/>
  <c r="D114" i="1" s="1"/>
  <c r="E94" i="1"/>
  <c r="E114" i="1" s="1"/>
  <c r="F94" i="1"/>
  <c r="F114" i="1" s="1"/>
  <c r="C94" i="1"/>
  <c r="C114" i="1" s="1"/>
  <c r="D93" i="1"/>
  <c r="E93" i="1"/>
  <c r="F93" i="1"/>
  <c r="C93" i="1"/>
  <c r="D92" i="1"/>
  <c r="E92" i="1"/>
  <c r="F92" i="1"/>
  <c r="C92" i="1"/>
  <c r="D91" i="1"/>
  <c r="E91" i="1"/>
  <c r="F91" i="1"/>
  <c r="C91" i="1"/>
  <c r="D90" i="1"/>
  <c r="E90" i="1"/>
  <c r="F90" i="1"/>
  <c r="C90" i="1"/>
  <c r="D89" i="1"/>
  <c r="E89" i="1"/>
  <c r="F89" i="1"/>
  <c r="C89" i="1"/>
  <c r="D88" i="1"/>
  <c r="E88" i="1"/>
  <c r="F88" i="1"/>
  <c r="C88" i="1"/>
  <c r="D87" i="1"/>
  <c r="E87" i="1"/>
  <c r="F87" i="1"/>
  <c r="G87" i="1" s="1"/>
  <c r="H87" i="1" s="1"/>
  <c r="I87" i="1" s="1"/>
  <c r="J87" i="1" s="1"/>
  <c r="K87" i="1" s="1"/>
  <c r="C87" i="1"/>
  <c r="D86" i="1"/>
  <c r="E86" i="1"/>
  <c r="F86" i="1"/>
  <c r="C86" i="1"/>
  <c r="D84" i="1"/>
  <c r="D31" i="1" s="1"/>
  <c r="E84" i="1"/>
  <c r="E31" i="1" s="1"/>
  <c r="F84" i="1"/>
  <c r="F31" i="1" s="1"/>
  <c r="F83" i="1"/>
  <c r="D83" i="1"/>
  <c r="E83" i="1"/>
  <c r="C83" i="1"/>
  <c r="D74" i="1"/>
  <c r="E74" i="1"/>
  <c r="F74" i="1"/>
  <c r="G74" i="1" s="1"/>
  <c r="H74" i="1" s="1"/>
  <c r="J74" i="1" s="1"/>
  <c r="K74" i="1" s="1"/>
  <c r="C74" i="1"/>
  <c r="D73" i="1"/>
  <c r="E73" i="1"/>
  <c r="F73" i="1"/>
  <c r="G73" i="1" s="1"/>
  <c r="H73" i="1" s="1"/>
  <c r="C73" i="1"/>
  <c r="D67" i="1"/>
  <c r="E67" i="1"/>
  <c r="F67" i="1"/>
  <c r="G67" i="1" s="1"/>
  <c r="H67" i="1" s="1"/>
  <c r="I67" i="1" s="1"/>
  <c r="J67" i="1" s="1"/>
  <c r="K67" i="1" s="1"/>
  <c r="C67" i="1"/>
  <c r="D70" i="1"/>
  <c r="E70" i="1"/>
  <c r="F70" i="1"/>
  <c r="C70" i="1"/>
  <c r="D68" i="1"/>
  <c r="E68" i="1"/>
  <c r="F68" i="1"/>
  <c r="C68" i="1"/>
  <c r="D65" i="1"/>
  <c r="E65" i="1"/>
  <c r="F65" i="1"/>
  <c r="C65" i="1"/>
  <c r="D57" i="1"/>
  <c r="E57" i="1"/>
  <c r="F57" i="1"/>
  <c r="G57" i="1" s="1"/>
  <c r="H57" i="1" s="1"/>
  <c r="I57" i="1" s="1"/>
  <c r="J57" i="1" s="1"/>
  <c r="K57" i="1" s="1"/>
  <c r="D58" i="1"/>
  <c r="E58" i="1"/>
  <c r="F58" i="1"/>
  <c r="G58" i="1" s="1"/>
  <c r="H58" i="1" s="1"/>
  <c r="I58" i="1" s="1"/>
  <c r="J58" i="1" s="1"/>
  <c r="K58" i="1" s="1"/>
  <c r="C58" i="1"/>
  <c r="C57" i="1"/>
  <c r="D56" i="1"/>
  <c r="E56" i="1"/>
  <c r="F56" i="1"/>
  <c r="C56" i="1"/>
  <c r="F49" i="1"/>
  <c r="E49" i="1"/>
  <c r="D49" i="1"/>
  <c r="C49" i="1"/>
  <c r="D53" i="1"/>
  <c r="E53" i="1"/>
  <c r="F53" i="1"/>
  <c r="G53" i="1" s="1"/>
  <c r="H53" i="1" s="1"/>
  <c r="I53" i="1" s="1"/>
  <c r="J53" i="1" s="1"/>
  <c r="K53" i="1" s="1"/>
  <c r="C53" i="1"/>
  <c r="C51" i="1"/>
  <c r="D51" i="1"/>
  <c r="E51" i="1"/>
  <c r="F51" i="1"/>
  <c r="D48" i="1"/>
  <c r="E48" i="1"/>
  <c r="F48" i="1"/>
  <c r="C48" i="1"/>
  <c r="D47" i="1"/>
  <c r="E47" i="1"/>
  <c r="F47" i="1"/>
  <c r="C47" i="1"/>
  <c r="H108" i="1" l="1"/>
  <c r="K106" i="1"/>
  <c r="K105" i="1"/>
  <c r="K108" i="1" s="1"/>
  <c r="G11" i="1"/>
  <c r="H11" i="1" s="1"/>
  <c r="I11" i="1" s="1"/>
  <c r="J11" i="1" s="1"/>
  <c r="K11" i="1" s="1"/>
  <c r="G70" i="1"/>
  <c r="H70" i="1" s="1"/>
  <c r="I73" i="1"/>
  <c r="H75" i="1"/>
  <c r="G48" i="1"/>
  <c r="H48" i="1" s="1"/>
  <c r="I48" i="1" s="1"/>
  <c r="J48" i="1" s="1"/>
  <c r="D59" i="1"/>
  <c r="G75" i="1"/>
  <c r="D101" i="1"/>
  <c r="F108" i="1"/>
  <c r="C108" i="1"/>
  <c r="E59" i="1"/>
  <c r="D75" i="1"/>
  <c r="J108" i="1"/>
  <c r="I108" i="1"/>
  <c r="E101" i="1"/>
  <c r="E108" i="1"/>
  <c r="D108" i="1"/>
  <c r="F101" i="1"/>
  <c r="C101" i="1"/>
  <c r="C31" i="1"/>
  <c r="C75" i="1"/>
  <c r="E75" i="1"/>
  <c r="F75" i="1"/>
  <c r="E30" i="1"/>
  <c r="C30" i="1"/>
  <c r="F30" i="1"/>
  <c r="D30" i="1"/>
  <c r="F59" i="1"/>
  <c r="D54" i="1"/>
  <c r="C59" i="1"/>
  <c r="C54" i="1"/>
  <c r="F54" i="1"/>
  <c r="E54" i="1"/>
  <c r="E61" i="1" s="1"/>
  <c r="I70" i="1" l="1"/>
  <c r="J70" i="1"/>
  <c r="J73" i="1"/>
  <c r="I75" i="1"/>
  <c r="D61" i="1"/>
  <c r="K48" i="1"/>
  <c r="F61" i="1"/>
  <c r="C61" i="1"/>
  <c r="K70" i="1" l="1"/>
  <c r="K73" i="1"/>
  <c r="K75" i="1" s="1"/>
  <c r="J75" i="1"/>
  <c r="C7" i="1" l="1"/>
  <c r="F11" i="2" s="1"/>
  <c r="F20" i="2" s="1"/>
  <c r="C3" i="2" s="1"/>
  <c r="F39" i="1"/>
  <c r="D39" i="1"/>
  <c r="E39" i="1"/>
  <c r="C39" i="1"/>
  <c r="D38" i="1"/>
  <c r="E38" i="1"/>
  <c r="F38" i="1"/>
  <c r="C38" i="1"/>
  <c r="D36" i="1"/>
  <c r="E36" i="1"/>
  <c r="F36" i="1"/>
  <c r="C36" i="1"/>
  <c r="D35" i="1"/>
  <c r="E35" i="1"/>
  <c r="F35" i="1"/>
  <c r="C35" i="1"/>
  <c r="D23" i="1"/>
  <c r="E23" i="1"/>
  <c r="F23" i="1"/>
  <c r="C23" i="1"/>
  <c r="D21" i="1"/>
  <c r="E21" i="1"/>
  <c r="F21" i="1"/>
  <c r="C21" i="1"/>
  <c r="D19" i="1"/>
  <c r="E19" i="1"/>
  <c r="F19" i="1"/>
  <c r="C19" i="1"/>
  <c r="D16" i="1"/>
  <c r="E16" i="1"/>
  <c r="F16" i="1"/>
  <c r="C16" i="1"/>
  <c r="D14" i="1"/>
  <c r="D66" i="1" s="1"/>
  <c r="E14" i="1"/>
  <c r="E66" i="1" s="1"/>
  <c r="F14" i="1"/>
  <c r="F66" i="1" s="1"/>
  <c r="C14" i="1"/>
  <c r="C66" i="1" s="1"/>
  <c r="D11" i="1"/>
  <c r="D69" i="1" s="1"/>
  <c r="E11" i="1"/>
  <c r="E69" i="1" s="1"/>
  <c r="F69" i="1"/>
  <c r="C11" i="1"/>
  <c r="C69" i="1" s="1"/>
  <c r="K44" i="1"/>
  <c r="K81" i="1" s="1"/>
  <c r="E9" i="1"/>
  <c r="E44" i="1" s="1"/>
  <c r="E81" i="1" s="1"/>
  <c r="D9" i="1"/>
  <c r="D44" i="1" s="1"/>
  <c r="D81" i="1" s="1"/>
  <c r="C9" i="1"/>
  <c r="C44" i="1" s="1"/>
  <c r="C81" i="1" s="1"/>
  <c r="F71" i="1" l="1"/>
  <c r="E71" i="1"/>
  <c r="E77" i="1" s="1"/>
  <c r="C71" i="1"/>
  <c r="C77" i="1" s="1"/>
  <c r="G66" i="1"/>
  <c r="D71" i="1"/>
  <c r="D77" i="1" s="1"/>
  <c r="J69" i="1"/>
  <c r="G69" i="1"/>
  <c r="K69" i="1"/>
  <c r="H69" i="1"/>
  <c r="I69" i="1"/>
  <c r="C85" i="1"/>
  <c r="C116" i="1"/>
  <c r="F85" i="1"/>
  <c r="F116" i="1"/>
  <c r="E85" i="1"/>
  <c r="E116" i="1"/>
  <c r="F77" i="1"/>
  <c r="D85" i="1"/>
  <c r="D116" i="1"/>
  <c r="F27" i="1"/>
  <c r="F28" i="1" s="1"/>
  <c r="C50" i="1"/>
  <c r="C52" i="1"/>
  <c r="E15" i="1"/>
  <c r="E12" i="1"/>
  <c r="D50" i="1"/>
  <c r="D52" i="1"/>
  <c r="E52" i="1"/>
  <c r="E50" i="1"/>
  <c r="F52" i="1"/>
  <c r="F50" i="1"/>
  <c r="C23" i="2"/>
  <c r="I44" i="1"/>
  <c r="I81" i="1" s="1"/>
  <c r="G23" i="2"/>
  <c r="H44" i="1"/>
  <c r="H81" i="1" s="1"/>
  <c r="F23" i="2"/>
  <c r="G44" i="1"/>
  <c r="G81" i="1" s="1"/>
  <c r="H31" i="1"/>
  <c r="E23" i="2"/>
  <c r="F44" i="1"/>
  <c r="F81" i="1" s="1"/>
  <c r="D23" i="2"/>
  <c r="H30" i="1"/>
  <c r="H29" i="1" s="1"/>
  <c r="J44" i="1"/>
  <c r="J81" i="1" s="1"/>
  <c r="C27" i="1"/>
  <c r="C32" i="1" s="1"/>
  <c r="C33" i="1" s="1"/>
  <c r="G30" i="1"/>
  <c r="G29" i="1" s="1"/>
  <c r="E27" i="1"/>
  <c r="E32" i="1" s="1"/>
  <c r="E33" i="1" s="1"/>
  <c r="G31" i="1"/>
  <c r="K30" i="1"/>
  <c r="K29" i="1" s="1"/>
  <c r="D27" i="1"/>
  <c r="D32" i="1" s="1"/>
  <c r="D33" i="1" s="1"/>
  <c r="K31" i="1"/>
  <c r="J30" i="1"/>
  <c r="J29" i="1" s="1"/>
  <c r="J31" i="1"/>
  <c r="I30" i="1"/>
  <c r="I29" i="1" s="1"/>
  <c r="I31" i="1"/>
  <c r="D37" i="1"/>
  <c r="D20" i="1"/>
  <c r="C37" i="1"/>
  <c r="D15" i="1"/>
  <c r="F17" i="1"/>
  <c r="F37" i="1"/>
  <c r="E37" i="1"/>
  <c r="E17" i="1"/>
  <c r="E22" i="1"/>
  <c r="D17" i="1"/>
  <c r="D22" i="1"/>
  <c r="F20" i="1"/>
  <c r="E20" i="1"/>
  <c r="F26" i="1"/>
  <c r="C26" i="1"/>
  <c r="D26" i="1"/>
  <c r="F22" i="1"/>
  <c r="C15" i="1"/>
  <c r="C20" i="1"/>
  <c r="D12" i="1"/>
  <c r="C22" i="1"/>
  <c r="F15" i="1"/>
  <c r="E26" i="1"/>
  <c r="H66" i="1" l="1"/>
  <c r="I66" i="1" s="1"/>
  <c r="F32" i="1"/>
  <c r="F33" i="1" s="1"/>
  <c r="G68" i="1"/>
  <c r="I52" i="1"/>
  <c r="J52" i="1"/>
  <c r="K52" i="1"/>
  <c r="G52" i="1"/>
  <c r="G51" i="1" s="1"/>
  <c r="H52" i="1"/>
  <c r="H50" i="1"/>
  <c r="J50" i="1"/>
  <c r="K50" i="1"/>
  <c r="I50" i="1"/>
  <c r="G50" i="1"/>
  <c r="G49" i="1" s="1"/>
  <c r="G89" i="1" s="1"/>
  <c r="H89" i="1" s="1"/>
  <c r="I89" i="1" s="1"/>
  <c r="J89" i="1" s="1"/>
  <c r="K89" i="1" s="1"/>
  <c r="K116" i="1"/>
  <c r="G116" i="1"/>
  <c r="G115" i="1" s="1"/>
  <c r="G96" i="1" s="1"/>
  <c r="H116" i="1"/>
  <c r="J116" i="1"/>
  <c r="I116" i="1"/>
  <c r="I85" i="1"/>
  <c r="K85" i="1"/>
  <c r="J85" i="1"/>
  <c r="G85" i="1"/>
  <c r="G84" i="1" s="1"/>
  <c r="H85" i="1"/>
  <c r="C28" i="1"/>
  <c r="E28" i="1"/>
  <c r="D28" i="1"/>
  <c r="J22" i="1"/>
  <c r="K22" i="1"/>
  <c r="G22" i="1"/>
  <c r="G21" i="1" s="1"/>
  <c r="H22" i="1"/>
  <c r="I22" i="1"/>
  <c r="H20" i="1"/>
  <c r="I20" i="1"/>
  <c r="J20" i="1"/>
  <c r="K20" i="1"/>
  <c r="G20" i="1"/>
  <c r="G19" i="1" s="1"/>
  <c r="K15" i="1"/>
  <c r="I15" i="1"/>
  <c r="G15" i="1"/>
  <c r="G14" i="1" s="1"/>
  <c r="G65" i="1" s="1"/>
  <c r="H15" i="1"/>
  <c r="J15" i="1"/>
  <c r="J66" i="1" l="1"/>
  <c r="K66" i="1" s="1"/>
  <c r="H84" i="1"/>
  <c r="H115" i="1"/>
  <c r="H96" i="1" s="1"/>
  <c r="H101" i="1" s="1"/>
  <c r="H51" i="1"/>
  <c r="H49" i="1"/>
  <c r="H68" i="1"/>
  <c r="G71" i="1"/>
  <c r="G77" i="1" s="1"/>
  <c r="G91" i="1"/>
  <c r="G56" i="1"/>
  <c r="G90" i="1"/>
  <c r="G23" i="1"/>
  <c r="G16" i="1"/>
  <c r="G27" i="1" s="1"/>
  <c r="C25" i="2" s="1"/>
  <c r="G26" i="1"/>
  <c r="H21" i="1"/>
  <c r="H14" i="1"/>
  <c r="H65" i="1" s="1"/>
  <c r="H71" i="1" s="1"/>
  <c r="H19" i="1"/>
  <c r="H90" i="1" l="1"/>
  <c r="H77" i="1"/>
  <c r="G59" i="1"/>
  <c r="H56" i="1"/>
  <c r="I68" i="1"/>
  <c r="I51" i="1"/>
  <c r="I90" i="1" s="1"/>
  <c r="I49" i="1"/>
  <c r="H91" i="1"/>
  <c r="I115" i="1"/>
  <c r="I96" i="1" s="1"/>
  <c r="I101" i="1" s="1"/>
  <c r="I84" i="1"/>
  <c r="G32" i="1"/>
  <c r="G36" i="1" s="1"/>
  <c r="G28" i="1"/>
  <c r="H16" i="1"/>
  <c r="H23" i="1"/>
  <c r="H26" i="1" s="1"/>
  <c r="I21" i="1"/>
  <c r="I14" i="1"/>
  <c r="I65" i="1" s="1"/>
  <c r="I71" i="1" s="1"/>
  <c r="I19" i="1"/>
  <c r="I56" i="1" l="1"/>
  <c r="H59" i="1"/>
  <c r="I91" i="1"/>
  <c r="I77" i="1"/>
  <c r="J68" i="1"/>
  <c r="J51" i="1"/>
  <c r="J90" i="1" s="1"/>
  <c r="J49" i="1"/>
  <c r="J115" i="1"/>
  <c r="J96" i="1" s="1"/>
  <c r="J101" i="1" s="1"/>
  <c r="J84" i="1"/>
  <c r="I23" i="1"/>
  <c r="I26" i="1" s="1"/>
  <c r="G38" i="1"/>
  <c r="G39" i="1" s="1"/>
  <c r="G37" i="1"/>
  <c r="G33" i="1"/>
  <c r="H27" i="1"/>
  <c r="D25" i="2" s="1"/>
  <c r="I16" i="1"/>
  <c r="J14" i="1"/>
  <c r="J65" i="1" s="1"/>
  <c r="J21" i="1"/>
  <c r="J19" i="1"/>
  <c r="J91" i="1" l="1"/>
  <c r="J71" i="1"/>
  <c r="J77" i="1" s="1"/>
  <c r="K51" i="1"/>
  <c r="K90" i="1" s="1"/>
  <c r="K49" i="1"/>
  <c r="K68" i="1"/>
  <c r="G83" i="1"/>
  <c r="G94" i="1" s="1"/>
  <c r="G41" i="1"/>
  <c r="I27" i="1"/>
  <c r="E25" i="2" s="1"/>
  <c r="J56" i="1"/>
  <c r="I59" i="1"/>
  <c r="K115" i="1"/>
  <c r="K96" i="1" s="1"/>
  <c r="K101" i="1" s="1"/>
  <c r="K84" i="1"/>
  <c r="G101" i="1"/>
  <c r="J23" i="1"/>
  <c r="J26" i="1" s="1"/>
  <c r="H32" i="1"/>
  <c r="H36" i="1" s="1"/>
  <c r="H28" i="1"/>
  <c r="J16" i="1"/>
  <c r="K14" i="1"/>
  <c r="K19" i="1"/>
  <c r="K21" i="1"/>
  <c r="I28" i="1" l="1"/>
  <c r="I32" i="1"/>
  <c r="I36" i="1" s="1"/>
  <c r="K16" i="1"/>
  <c r="K65" i="1"/>
  <c r="K71" i="1" s="1"/>
  <c r="K56" i="1"/>
  <c r="K59" i="1" s="1"/>
  <c r="J59" i="1"/>
  <c r="J27" i="1"/>
  <c r="F25" i="2" s="1"/>
  <c r="H37" i="1"/>
  <c r="H38" i="1"/>
  <c r="H39" i="1" s="1"/>
  <c r="I38" i="1"/>
  <c r="I39" i="1" s="1"/>
  <c r="I37" i="1"/>
  <c r="H33" i="1"/>
  <c r="K23" i="1"/>
  <c r="K26" i="1" s="1"/>
  <c r="J32" i="1" l="1"/>
  <c r="J36" i="1" s="1"/>
  <c r="J37" i="1" s="1"/>
  <c r="I33" i="1"/>
  <c r="J28" i="1"/>
  <c r="K77" i="1"/>
  <c r="K91" i="1"/>
  <c r="H83" i="1"/>
  <c r="H94" i="1" s="1"/>
  <c r="H41" i="1"/>
  <c r="I83" i="1"/>
  <c r="I94" i="1" s="1"/>
  <c r="I41" i="1"/>
  <c r="J33" i="1"/>
  <c r="K27" i="1"/>
  <c r="G25" i="2" s="1"/>
  <c r="J38" i="1" l="1"/>
  <c r="J39" i="1" s="1"/>
  <c r="I114" i="1"/>
  <c r="I111" i="1"/>
  <c r="H114" i="1"/>
  <c r="H111" i="1"/>
  <c r="J83" i="1"/>
  <c r="J41" i="1"/>
  <c r="K32" i="1"/>
  <c r="K36" i="1" s="1"/>
  <c r="K28" i="1"/>
  <c r="J94" i="1" l="1"/>
  <c r="J111" i="1" s="1"/>
  <c r="K37" i="1"/>
  <c r="K38" i="1"/>
  <c r="K39" i="1" s="1"/>
  <c r="K33" i="1"/>
  <c r="J114" i="1" l="1"/>
  <c r="K83" i="1"/>
  <c r="K94" i="1" s="1"/>
  <c r="K111" i="1" s="1"/>
  <c r="K41" i="1"/>
  <c r="K114" i="1" l="1"/>
  <c r="G114" i="1"/>
  <c r="G117" i="1" s="1"/>
  <c r="C27" i="2" s="1"/>
  <c r="G111" i="1"/>
  <c r="G112" i="1" s="1"/>
  <c r="G47" i="1" l="1"/>
  <c r="G54" i="1" s="1"/>
  <c r="H113" i="1"/>
  <c r="H112" i="1" s="1"/>
  <c r="C28" i="2"/>
  <c r="I113" i="1" l="1"/>
  <c r="I112" i="1" s="1"/>
  <c r="H47" i="1"/>
  <c r="H54" i="1" s="1"/>
  <c r="G88" i="1"/>
  <c r="G61" i="1"/>
  <c r="H61" i="1" l="1"/>
  <c r="H88" i="1"/>
  <c r="H117" i="1" s="1"/>
  <c r="I47" i="1"/>
  <c r="I54" i="1" s="1"/>
  <c r="I61" i="1" s="1"/>
  <c r="J113" i="1"/>
  <c r="J112" i="1" s="1"/>
  <c r="D27" i="2" l="1"/>
  <c r="D28" i="2" s="1"/>
  <c r="I88" i="1"/>
  <c r="I117" i="1" s="1"/>
  <c r="J47" i="1"/>
  <c r="J54" i="1" s="1"/>
  <c r="K113" i="1"/>
  <c r="K112" i="1" s="1"/>
  <c r="K47" i="1" s="1"/>
  <c r="K54" i="1" s="1"/>
  <c r="K61" i="1" s="1"/>
  <c r="E27" i="2" l="1"/>
  <c r="E28" i="2" s="1"/>
  <c r="J88" i="1"/>
  <c r="J117" i="1" s="1"/>
  <c r="K88" i="1"/>
  <c r="K117" i="1" s="1"/>
  <c r="G27" i="2" s="1"/>
  <c r="J61" i="1"/>
  <c r="G28" i="2" l="1"/>
  <c r="C6" i="2"/>
  <c r="C8" i="2" s="1"/>
  <c r="F27" i="2"/>
  <c r="F28" i="2" s="1"/>
  <c r="C9" i="2" s="1"/>
  <c r="C10" i="2" s="1"/>
  <c r="C13" i="2" s="1"/>
  <c r="C15" i="2" s="1"/>
  <c r="C18" i="2" s="1"/>
  <c r="C19" i="2" l="1"/>
  <c r="B19" i="2" s="1"/>
  <c r="B18" i="2"/>
</calcChain>
</file>

<file path=xl/sharedStrings.xml><?xml version="1.0" encoding="utf-8"?>
<sst xmlns="http://schemas.openxmlformats.org/spreadsheetml/2006/main" count="428" uniqueCount="362">
  <si>
    <t>Ticker</t>
  </si>
  <si>
    <t>AAPL</t>
  </si>
  <si>
    <t>Currency</t>
  </si>
  <si>
    <t>USD</t>
  </si>
  <si>
    <t>Current Year</t>
  </si>
  <si>
    <t>Price</t>
  </si>
  <si>
    <t>Shares Outstanding</t>
  </si>
  <si>
    <t>Estimated Tax Rate</t>
  </si>
  <si>
    <t xml:space="preserve">Income Statement </t>
  </si>
  <si>
    <t>Total net sales</t>
  </si>
  <si>
    <t>net sales growth</t>
  </si>
  <si>
    <t>Total cost of sales</t>
  </si>
  <si>
    <t>COGS% of Revenue</t>
  </si>
  <si>
    <t>Gross margin</t>
  </si>
  <si>
    <t>Gross Profit Ratio</t>
  </si>
  <si>
    <t>Research And Development</t>
  </si>
  <si>
    <t>Research and development to revenue</t>
  </si>
  <si>
    <t>Selling, general and administrative</t>
  </si>
  <si>
    <t xml:space="preserve">Sales and Administration to revenue </t>
  </si>
  <si>
    <t>Total operating expenses</t>
  </si>
  <si>
    <t>Costs and Expenses</t>
  </si>
  <si>
    <t>EBITDA</t>
  </si>
  <si>
    <t>EBITDA Ratio</t>
  </si>
  <si>
    <t>interest expense</t>
  </si>
  <si>
    <t>Depreciation And Amortization</t>
  </si>
  <si>
    <t>Operating income</t>
  </si>
  <si>
    <t>Interest Expense</t>
  </si>
  <si>
    <t>Interest Expenses as % of LT Debt</t>
  </si>
  <si>
    <t>Net Income From Continuing Operation Net Minority Interest</t>
  </si>
  <si>
    <t>Net Income</t>
  </si>
  <si>
    <t>Created by EDGAR Online, Inc.</t>
  </si>
  <si>
    <t>APPLE INC.</t>
  </si>
  <si>
    <t>INCOME_STATEMENT</t>
  </si>
  <si>
    <t>Form Type: 10-K</t>
  </si>
  <si>
    <t>Period End: Sep 30, 2023</t>
  </si>
  <si>
    <t>Date Filed: Nov 03, 2023</t>
  </si>
  <si>
    <t>Table Of Contents</t>
  </si>
  <si>
    <t>Apple Inc.</t>
  </si>
  <si>
    <t>CONSOLIDATED STATEMENTS OF OPERATIONS</t>
  </si>
  <si>
    <t>(In millions, except number of shares, which are reflected in thousands, and</t>
  </si>
  <si>
    <t>per-share amounts)</t>
  </si>
  <si>
    <t>Years ended</t>
  </si>
  <si>
    <t>Net sales:</t>
  </si>
  <si>
    <t>Products</t>
  </si>
  <si>
    <t>Services</t>
  </si>
  <si>
    <t>Cost of sales:</t>
  </si>
  <si>
    <t>Operating expenses:</t>
  </si>
  <si>
    <t>Research and development</t>
  </si>
  <si>
    <t>Other income/(expense),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</si>
  <si>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</si>
  <si>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</si>
  <si>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</si>
  <si>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</si>
  <si>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</si>
  <si>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</si>
  <si>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Shares used in computing earnings per share:</t>
  </si>
  <si>
    <t>BALANCE_SHEET</t>
  </si>
  <si>
    <t>CONSOLIDATED BALANCE SHEETS</t>
  </si>
  <si>
    <t>(In millions, except number of shares, which are reflected in thousands, and par</t>
  </si>
  <si>
    <t>value)</t>
  </si>
  <si>
    <t>ASSETS:</t>
  </si>
  <si>
    <t>Current assets:</t>
  </si>
  <si>
    <t>Cash and cash equivalents</t>
  </si>
  <si>
    <t>Marketable securities</t>
  </si>
  <si>
    <t>Accounts receivable, net</t>
  </si>
  <si>
    <t>Vendor non-trade receivables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</si>
  <si>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</si>
  <si>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</si>
  <si>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</si>
  <si>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</si>
  <si>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</si>
  <si>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</si>
  <si>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</si>
  <si>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</si>
  <si>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SHAREHOLDERS'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</si>
  <si>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</si>
  <si>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</si>
  <si>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</si>
  <si>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</si>
  <si>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</si>
  <si>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</si>
  <si>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</si>
  <si>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</si>
  <si>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</si>
  <si>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</si>
  <si>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</si>
  <si>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</si>
  <si>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Shareholders' equity:</t>
  </si>
  <si>
    <t>Common stock and additional paid-in capital, $0.00001 par value:</t>
  </si>
  <si>
    <t>50,400,000 shares authorized; 15,550,061 and 15,943,425 shares</t>
  </si>
  <si>
    <t>issued and outstanding, respectively</t>
  </si>
  <si>
    <t>Retained earnings/(Accumulated deficit)</t>
  </si>
  <si>
    <t>Accumulated other comprehensive income/(loss)</t>
  </si>
  <si>
    <t>Total shareholders' equity</t>
  </si>
  <si>
    <t>Total liabilities and shareholders' equity</t>
  </si>
  <si>
    <t>CASH_FLOW</t>
  </si>
  <si>
    <t>CONSOLIDATED STATEMENTS OF CASH FLOWS</t>
  </si>
  <si>
    <t>(In millions)</t>
  </si>
  <si>
    <t>Cash, cash equivalents and restricted cash, beginning</t>
  </si>
  <si>
    <t>balances</t>
  </si>
  <si>
    <t>Operating activities:</t>
  </si>
  <si>
    <t>Adjustments to reconcile net income to cash generated by</t>
  </si>
  <si>
    <t>operating activities:</t>
  </si>
  <si>
    <t>Depreciation and amortization</t>
  </si>
  <si>
    <t>Share-based compensation expense</t>
  </si>
  <si>
    <t>Other</t>
  </si>
  <si>
    <t>Changes in operating assets and liabilities:</t>
  </si>
  <si>
    <t>Other current and non-current assets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</si>
  <si>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</si>
  <si>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</si>
  <si>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</si>
  <si>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</si>
  <si>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</si>
  <si>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</si>
  <si>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</si>
  <si>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Cash generated by/(used in) investing activities</t>
  </si>
  <si>
    <t>Financing activities:</t>
  </si>
  <si>
    <t>Payments for taxes related to net share settlement of</t>
  </si>
  <si>
    <t>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</si>
  <si>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</si>
  <si>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</si>
  <si>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</si>
  <si>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</si>
  <si>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Proceeds from/(Repayments of) commercial paper, net</t>
  </si>
  <si>
    <t>Cash used in financing activities</t>
  </si>
  <si>
    <t>Increase/(Decrease) in cash, cash equivalents and</t>
  </si>
  <si>
    <t>restricted cash</t>
  </si>
  <si>
    <t>Cash, cash equivalents and restricted cash, ending</t>
  </si>
  <si>
    <t>Supplemental cash flow disclosure:</t>
  </si>
  <si>
    <t>Cash paid for income taxes, net</t>
  </si>
  <si>
    <t>Cash paid for interest</t>
  </si>
  <si>
    <t>Cash Financial</t>
  </si>
  <si>
    <t>Cash Equivalents</t>
  </si>
  <si>
    <t>Cash And Cash Equivalents</t>
  </si>
  <si>
    <t>Other Short Term Investments</t>
  </si>
  <si>
    <t>Cash Cash Equivalents And Short Term Investments</t>
  </si>
  <si>
    <t>Accounts Receivable</t>
  </si>
  <si>
    <t>Other Receivables</t>
  </si>
  <si>
    <t>Receivables</t>
  </si>
  <si>
    <t>Inventory</t>
  </si>
  <si>
    <t>Other Current Assets</t>
  </si>
  <si>
    <t>Current Assets</t>
  </si>
  <si>
    <t>Properties</t>
  </si>
  <si>
    <t>Land And Improvements</t>
  </si>
  <si>
    <t>Machinery Furniture Equipment</t>
  </si>
  <si>
    <t>Other Properties</t>
  </si>
  <si>
    <t>Leases</t>
  </si>
  <si>
    <t>Gross PPE</t>
  </si>
  <si>
    <t>Accumulated Depreciation</t>
  </si>
  <si>
    <t>Net PPE</t>
  </si>
  <si>
    <t>Available For Sale Securities</t>
  </si>
  <si>
    <t>Investmentin Financial Assets</t>
  </si>
  <si>
    <t>Other Investments</t>
  </si>
  <si>
    <t>Investments And Advances</t>
  </si>
  <si>
    <t>Non Current Deferred Taxes Assets</t>
  </si>
  <si>
    <t>Non Current Deferred Assets</t>
  </si>
  <si>
    <t>Other Non Current Assets</t>
  </si>
  <si>
    <t>Total Non Current Assets</t>
  </si>
  <si>
    <t>Total Assets</t>
  </si>
  <si>
    <t>Accounts Payable</t>
  </si>
  <si>
    <t>Income Tax Payable</t>
  </si>
  <si>
    <t>Total Tax Payable</t>
  </si>
  <si>
    <t>Payables</t>
  </si>
  <si>
    <t>Payables And Accrued Expenses</t>
  </si>
  <si>
    <t>Commercial Paper</t>
  </si>
  <si>
    <t>Other Current Borrowings</t>
  </si>
  <si>
    <t>Current Debt</t>
  </si>
  <si>
    <t>Current Capital Lease Obligation</t>
  </si>
  <si>
    <t>Current Debt And Capital Lease Obligation</t>
  </si>
  <si>
    <t>Current Deferred Revenue</t>
  </si>
  <si>
    <t>Current Deferred Liabilities</t>
  </si>
  <si>
    <t>Other Current Liabilities</t>
  </si>
  <si>
    <t>Current Liabilities</t>
  </si>
  <si>
    <t>Long Term Debt</t>
  </si>
  <si>
    <t>Long Term Capital Lease Obligation</t>
  </si>
  <si>
    <t>Long Term Debt And Capital Lease Obligation</t>
  </si>
  <si>
    <t>Tradeand Other Payables Non Current</t>
  </si>
  <si>
    <t>Other Non Current Liabilities</t>
  </si>
  <si>
    <t>Total Non Current Liabilities Net Minority Interest</t>
  </si>
  <si>
    <t>Total Liabilities Net Minority Interest</t>
  </si>
  <si>
    <t>Common Stock</t>
  </si>
  <si>
    <t>Capital Stock</t>
  </si>
  <si>
    <t>Retained Earnings</t>
  </si>
  <si>
    <t>Other Equity Adjustments</t>
  </si>
  <si>
    <t>Gains Losses Not Affecting Retained Earnings</t>
  </si>
  <si>
    <t>Stockholders Equity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</si>
  <si>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</si>
  <si>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</si>
  <si>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</si>
  <si>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</si>
  <si>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</si>
  <si>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</si>
  <si>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</si>
  <si>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</si>
  <si>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</si>
  <si>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</si>
  <si>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</si>
  <si>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</si>
  <si>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</si>
  <si>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Operating Revenue</t>
  </si>
  <si>
    <t>Total Revenue</t>
  </si>
  <si>
    <t>Cost Of Revenue</t>
  </si>
  <si>
    <t>Gross Profit</t>
  </si>
  <si>
    <t>Selling General And Administration</t>
  </si>
  <si>
    <t>Operating Expense</t>
  </si>
  <si>
    <t>Operating Income</t>
  </si>
  <si>
    <t>Interest Income Non Operating</t>
  </si>
  <si>
    <t>Interest Expense Non Operating</t>
  </si>
  <si>
    <t>Net Non Operating Interest Income Expense</t>
  </si>
  <si>
    <t>Other Non Operating Income Expenses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</si>
  <si>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</si>
  <si>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</si>
  <si>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</si>
  <si>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</si>
  <si>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</si>
  <si>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</si>
  <si>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</si>
  <si>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</si>
  <si>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</si>
  <si>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</si>
  <si>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</si>
  <si>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</si>
  <si>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</si>
  <si>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And Discontinued Operation</t>
  </si>
  <si>
    <t>Normalized Income</t>
  </si>
  <si>
    <t>Interest Income</t>
  </si>
  <si>
    <t>Net Interest Income</t>
  </si>
  <si>
    <t>EBIT</t>
  </si>
  <si>
    <t>Reconciled Cost Of Revenue</t>
  </si>
  <si>
    <t>Reconciled Depreciation</t>
  </si>
  <si>
    <t>Normalized EBITDA</t>
  </si>
  <si>
    <t>Tax Rate For Calcs</t>
  </si>
  <si>
    <t>Tax Effect Of Unusual Items</t>
  </si>
  <si>
    <t>Net Income From Continuing Operations</t>
  </si>
  <si>
    <t>Depreciation Amortization Depletion</t>
  </si>
  <si>
    <t>Deferred Income Tax</t>
  </si>
  <si>
    <t>Deferred Tax</t>
  </si>
  <si>
    <t>Stock Based Compensation</t>
  </si>
  <si>
    <t>Other Non Cash Items</t>
  </si>
  <si>
    <t>Changes In Account Receivables</t>
  </si>
  <si>
    <t>Change In Receivables</t>
  </si>
  <si>
    <t>Change In Inventory</t>
  </si>
  <si>
    <t>Change In Account Payable</t>
  </si>
  <si>
    <t>Change In Payable</t>
  </si>
  <si>
    <t>Change In Payables And Accrued Expense</t>
  </si>
  <si>
    <t>Change In Other Current Assets</t>
  </si>
  <si>
    <t>Change In Other Current Liabilities</t>
  </si>
  <si>
    <t>Change In Other Working Capital</t>
  </si>
  <si>
    <t>Change In Working Capital</t>
  </si>
  <si>
    <t>Cash Flow From Continuing Operating Activities</t>
  </si>
  <si>
    <t>Operating Cash Flow</t>
  </si>
  <si>
    <t>Purchase Of PPE</t>
  </si>
  <si>
    <t>Net PPE Purchase And Sale</t>
  </si>
  <si>
    <t>Purchase Of Business</t>
  </si>
  <si>
    <t>Net Business Purchase And Sale</t>
  </si>
  <si>
    <t>Purchase Of Investment</t>
  </si>
  <si>
    <t>Sale Of Investment</t>
  </si>
  <si>
    <t>Net Investment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</si>
  <si>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</si>
  <si>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</si>
  <si>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</si>
  <si>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</si>
  <si>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</si>
  <si>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</si>
  <si>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Short Term Debt Issuance</t>
  </si>
  <si>
    <t>Net Issuance Payments Of Debt</t>
  </si>
  <si>
    <t>Common Stock Issuance</t>
  </si>
  <si>
    <t>Common Stock Payments</t>
  </si>
  <si>
    <t>Net Common Stock Issuance</t>
  </si>
  <si>
    <t>Common Stock Dividend Paid</t>
  </si>
  <si>
    <t>Cash Dividends Paid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</si>
  <si>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</si>
  <si>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</si>
  <si>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</si>
  <si>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</si>
  <si>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</si>
  <si>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</si>
  <si>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</si>
  <si>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</si>
  <si>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</si>
  <si>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</si>
  <si>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</si>
  <si>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</si>
  <si>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</si>
  <si>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</si>
  <si>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income before tax rato</t>
  </si>
  <si>
    <t>EBIT Ratio</t>
  </si>
  <si>
    <t xml:space="preserve">EBITDA </t>
  </si>
  <si>
    <t>Comments</t>
  </si>
  <si>
    <t>avergae previous 4 years</t>
  </si>
  <si>
    <t>average</t>
  </si>
  <si>
    <t>Cash Flow Projections</t>
  </si>
  <si>
    <t>Present Value of Free Cash Flow</t>
  </si>
  <si>
    <t>DFC Assumptions</t>
  </si>
  <si>
    <t>Terminal Growth Rate</t>
  </si>
  <si>
    <t>Discount Rate</t>
  </si>
  <si>
    <t>Terminal Value</t>
  </si>
  <si>
    <t>PV of Terminal Value</t>
  </si>
  <si>
    <t>Sum of PV of Cash Flows</t>
  </si>
  <si>
    <t>Enterprise Value</t>
  </si>
  <si>
    <t>Balance sheet adjustments</t>
  </si>
  <si>
    <t>implied equity value</t>
  </si>
  <si>
    <t>implied price per share</t>
  </si>
  <si>
    <t>current price</t>
  </si>
  <si>
    <t>WACC Calculations</t>
  </si>
  <si>
    <t>US 10y</t>
  </si>
  <si>
    <t>US 5Y</t>
  </si>
  <si>
    <t>Risk Free Rate</t>
  </si>
  <si>
    <t>Beta</t>
  </si>
  <si>
    <t xml:space="preserve">Cost of Equity </t>
  </si>
  <si>
    <t>Tax Rate</t>
  </si>
  <si>
    <t>Market Cap</t>
  </si>
  <si>
    <t xml:space="preserve">cash and Cash equivelants </t>
  </si>
  <si>
    <t>total Debt</t>
  </si>
  <si>
    <t>Value of Equity</t>
  </si>
  <si>
    <t>Value of Debt</t>
  </si>
  <si>
    <t>Cost of Debt</t>
  </si>
  <si>
    <t>WACC</t>
  </si>
  <si>
    <t>Balance Sheet</t>
  </si>
  <si>
    <t>Assets</t>
  </si>
  <si>
    <t>Short Term Investments</t>
  </si>
  <si>
    <t>Net Receivables</t>
  </si>
  <si>
    <t>Net Receivable(% of Revenue)</t>
  </si>
  <si>
    <t>Inventory(% of Revenue)</t>
  </si>
  <si>
    <t>Total Current Assets</t>
  </si>
  <si>
    <t>Property Plant Equipment Net</t>
  </si>
  <si>
    <t>Long Term Investments</t>
  </si>
  <si>
    <t>Liabilities</t>
  </si>
  <si>
    <t>Account Payables</t>
  </si>
  <si>
    <t>AP (% of COGS)</t>
  </si>
  <si>
    <t>Short Term Debt</t>
  </si>
  <si>
    <t>Deferred Revenue</t>
  </si>
  <si>
    <t>Deferred Revenue (% of Revenue)</t>
  </si>
  <si>
    <t>Total Current Liabilities</t>
  </si>
  <si>
    <t>Total Non Current Liabilities</t>
  </si>
  <si>
    <t>Total Liabilities</t>
  </si>
  <si>
    <t>Cash Flows</t>
  </si>
  <si>
    <t>D&amp;A (% of Revenue)</t>
  </si>
  <si>
    <t>Accounts Receivables</t>
  </si>
  <si>
    <t>Accounts Payables</t>
  </si>
  <si>
    <t>Other Working Capital</t>
  </si>
  <si>
    <t>Net Cash Provided By Operating Activities</t>
  </si>
  <si>
    <t>Investments In Property Plant And Equipment</t>
  </si>
  <si>
    <t>Acquisitions Net</t>
  </si>
  <si>
    <t>Purchases Of Investments</t>
  </si>
  <si>
    <t>Sales Maturities Of Investments</t>
  </si>
  <si>
    <t>Other Investing Activites</t>
  </si>
  <si>
    <t>Net 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</si>
  <si>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</si>
  <si>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</si>
  <si>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</si>
  <si>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</si>
  <si>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</si>
  <si>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</si>
  <si>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</si>
  <si>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</si>
  <si>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</si>
  <si>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</si>
  <si>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CapEx (% of Revenue)</t>
  </si>
  <si>
    <t>Market Risk Premium</t>
  </si>
  <si>
    <t>Average Historicals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</si>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</sst>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44" fontId="2" fillId="0" borderId="0"/>
    <xf numFmtId="9" fontId="2" fillId="0" borderId="0"/>
  </cellStyleXfs>
  <cellXfs count="1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44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 shrinkToFit="1"/>
    </xf>
    <xf numFmtId="0" fontId="7" fillId="0" borderId="0" xfId="0" applyFont="1" applyAlignment="1">
      <alignment vertical="top"/>
    </xf>
    <xf numFmtId="42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37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44" fontId="0" fillId="0" borderId="0" xfId="2" applyFont="1" applyAlignment="1">
      <alignment vertical="top"/>
    </xf>
    <xf numFmtId="1" fontId="0" fillId="0" borderId="0" xfId="0" applyNumberFormat="1" applyAlignment="1">
      <alignment vertical="top"/>
    </xf>
    <xf numFmtId="16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43" fontId="2" fillId="0" borderId="0" xfId="1"/>
    <xf numFmtId="9" fontId="2" fillId="0" borderId="0" xfId="3"/>
    <xf numFmtId="42" fontId="0" fillId="0" borderId="0" xfId="0" applyNumberFormat="1" applyAlignment="1">
      <alignment vertical="top"/>
    </xf>
    <xf numFmtId="44" fontId="0" fillId="0" borderId="0" xfId="2" applyFont="1"/>
    <xf numFmtId="9" fontId="0" fillId="0" borderId="0" xfId="3" applyFont="1"/>
    <xf numFmtId="0" fontId="0" fillId="0" borderId="10" xfId="0" applyBorder="1"/>
    <xf numFmtId="0" fontId="7" fillId="0" borderId="8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horizontal="left" indent="3"/>
    </xf>
    <xf numFmtId="0" fontId="3" fillId="0" borderId="8" xfId="0" applyFont="1" applyBorder="1"/>
    <xf numFmtId="43" fontId="2" fillId="0" borderId="1" xfId="1" applyBorder="1"/>
    <xf numFmtId="9" fontId="2" fillId="0" borderId="1" xfId="3" applyBorder="1"/>
    <xf numFmtId="44" fontId="0" fillId="0" borderId="7" xfId="2" applyFont="1" applyBorder="1"/>
    <xf numFmtId="44" fontId="0" fillId="0" borderId="6" xfId="2" applyFont="1" applyBorder="1"/>
    <xf numFmtId="0" fontId="3" fillId="0" borderId="10" xfId="0" applyFont="1" applyBorder="1"/>
    <xf numFmtId="44" fontId="0" fillId="0" borderId="8" xfId="2" applyFont="1" applyBorder="1"/>
    <xf numFmtId="9" fontId="0" fillId="0" borderId="8" xfId="3" applyFont="1" applyBorder="1"/>
    <xf numFmtId="0" fontId="0" fillId="0" borderId="8" xfId="0" applyBorder="1"/>
    <xf numFmtId="9" fontId="2" fillId="0" borderId="8" xfId="3" applyBorder="1"/>
    <xf numFmtId="44" fontId="0" fillId="0" borderId="14" xfId="2" applyFont="1" applyBorder="1"/>
    <xf numFmtId="14" fontId="0" fillId="0" borderId="12" xfId="0" applyNumberFormat="1" applyBorder="1" applyAlignment="1">
      <alignment horizontal="right"/>
    </xf>
    <xf numFmtId="0" fontId="0" fillId="0" borderId="11" xfId="0" applyBorder="1"/>
    <xf numFmtId="9" fontId="0" fillId="2" borderId="0" xfId="0" applyNumberFormat="1" applyFill="1"/>
    <xf numFmtId="8" fontId="0" fillId="0" borderId="10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5" xfId="0" applyBorder="1"/>
    <xf numFmtId="44" fontId="0" fillId="0" borderId="8" xfId="0" applyNumberFormat="1" applyBorder="1"/>
    <xf numFmtId="4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2" borderId="8" xfId="0" applyNumberFormat="1" applyFill="1" applyBorder="1"/>
    <xf numFmtId="0" fontId="0" fillId="0" borderId="9" xfId="0" applyBorder="1"/>
    <xf numFmtId="0" fontId="10" fillId="3" borderId="7" xfId="0" applyFont="1" applyFill="1" applyBorder="1"/>
    <xf numFmtId="0" fontId="10" fillId="3" borderId="6" xfId="0" applyFont="1" applyFill="1" applyBorder="1"/>
    <xf numFmtId="0" fontId="10" fillId="3" borderId="12" xfId="0" applyFont="1" applyFill="1" applyBorder="1" applyAlignment="1">
      <alignment vertical="top"/>
    </xf>
    <xf numFmtId="0" fontId="3" fillId="0" borderId="11" xfId="0" applyFont="1" applyBorder="1"/>
    <xf numFmtId="0" fontId="10" fillId="3" borderId="4" xfId="0" applyFont="1" applyFill="1" applyBorder="1" applyAlignment="1">
      <alignment horizontal="left" vertical="top"/>
    </xf>
    <xf numFmtId="0" fontId="10" fillId="3" borderId="13" xfId="0" applyFont="1" applyFill="1" applyBorder="1"/>
    <xf numFmtId="0" fontId="10" fillId="3" borderId="13" xfId="0" applyFont="1" applyFill="1" applyBorder="1" applyAlignment="1">
      <alignment horizontal="left" vertical="top"/>
    </xf>
    <xf numFmtId="0" fontId="0" fillId="0" borderId="14" xfId="0" applyBorder="1"/>
    <xf numFmtId="0" fontId="0" fillId="4" borderId="8" xfId="0" applyFill="1" applyBorder="1"/>
    <xf numFmtId="39" fontId="0" fillId="4" borderId="8" xfId="0" applyNumberFormat="1" applyFill="1" applyBorder="1"/>
    <xf numFmtId="0" fontId="0" fillId="4" borderId="8" xfId="0" applyFill="1" applyBorder="1" applyAlignment="1">
      <alignment horizontal="left" indent="1"/>
    </xf>
    <xf numFmtId="39" fontId="9" fillId="4" borderId="8" xfId="0" applyNumberFormat="1" applyFont="1" applyFill="1" applyBorder="1"/>
    <xf numFmtId="0" fontId="12" fillId="4" borderId="8" xfId="0" applyFont="1" applyFill="1" applyBorder="1" applyAlignment="1">
      <alignment horizontal="left" indent="1"/>
    </xf>
    <xf numFmtId="42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166" fontId="0" fillId="0" borderId="7" xfId="2" applyNumberFormat="1" applyFont="1" applyBorder="1"/>
    <xf numFmtId="0" fontId="0" fillId="4" borderId="8" xfId="0" applyFill="1" applyBorder="1" applyAlignment="1">
      <alignment horizontal="left" indent="2"/>
    </xf>
    <xf numFmtId="0" fontId="10" fillId="3" borderId="4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9" fillId="4" borderId="8" xfId="0" applyFont="1" applyFill="1" applyBorder="1"/>
    <xf numFmtId="42" fontId="0" fillId="0" borderId="1" xfId="0" applyNumberFormat="1" applyBorder="1"/>
    <xf numFmtId="167" fontId="2" fillId="0" borderId="0" xfId="1" applyNumberFormat="1"/>
    <xf numFmtId="167" fontId="2" fillId="0" borderId="1" xfId="1" applyNumberFormat="1" applyBorder="1"/>
    <xf numFmtId="37" fontId="0" fillId="0" borderId="0" xfId="0" applyNumberFormat="1"/>
    <xf numFmtId="37" fontId="0" fillId="0" borderId="1" xfId="0" applyNumberFormat="1" applyBorder="1"/>
    <xf numFmtId="0" fontId="0" fillId="4" borderId="9" xfId="0" applyFill="1" applyBorder="1"/>
    <xf numFmtId="42" fontId="0" fillId="0" borderId="7" xfId="0" applyNumberFormat="1" applyBorder="1"/>
    <xf numFmtId="42" fontId="0" fillId="0" borderId="6" xfId="0" applyNumberFormat="1" applyBorder="1"/>
    <xf numFmtId="39" fontId="9" fillId="4" borderId="9" xfId="0" applyNumberFormat="1" applyFont="1" applyFill="1" applyBorder="1"/>
    <xf numFmtId="0" fontId="13" fillId="3" borderId="12" xfId="0" applyFont="1" applyFill="1" applyBorder="1" applyAlignment="1">
      <alignment vertical="top"/>
    </xf>
    <xf numFmtId="0" fontId="13" fillId="3" borderId="14" xfId="0" applyFont="1" applyFill="1" applyBorder="1"/>
    <xf numFmtId="0" fontId="13" fillId="3" borderId="7" xfId="0" applyFont="1" applyFill="1" applyBorder="1"/>
    <xf numFmtId="0" fontId="13" fillId="3" borderId="6" xfId="0" applyFont="1" applyFill="1" applyBorder="1"/>
    <xf numFmtId="43" fontId="0" fillId="0" borderId="0" xfId="0" applyNumberFormat="1"/>
    <xf numFmtId="44" fontId="2" fillId="0" borderId="0" xfId="2"/>
    <xf numFmtId="0" fontId="0" fillId="0" borderId="4" xfId="0" applyBorder="1"/>
    <xf numFmtId="0" fontId="0" fillId="0" borderId="5" xfId="0" applyBorder="1"/>
    <xf numFmtId="0" fontId="0" fillId="0" borderId="13" xfId="0" applyBorder="1"/>
    <xf numFmtId="43" fontId="0" fillId="0" borderId="1" xfId="0" applyNumberFormat="1" applyBorder="1"/>
    <xf numFmtId="10" fontId="0" fillId="0" borderId="1" xfId="0" applyNumberFormat="1" applyBorder="1"/>
    <xf numFmtId="10" fontId="2" fillId="0" borderId="0" xfId="3" applyNumberFormat="1"/>
    <xf numFmtId="165" fontId="0" fillId="0" borderId="1" xfId="0" applyNumberFormat="1" applyBorder="1"/>
    <xf numFmtId="10" fontId="0" fillId="4" borderId="6" xfId="0" applyNumberFormat="1" applyFill="1" applyBorder="1"/>
    <xf numFmtId="3" fontId="0" fillId="0" borderId="1" xfId="0" applyNumberFormat="1" applyBorder="1"/>
    <xf numFmtId="44" fontId="0" fillId="0" borderId="6" xfId="0" applyNumberFormat="1" applyBorder="1"/>
    <xf numFmtId="10" fontId="0" fillId="4" borderId="15" xfId="3" applyNumberFormat="1" applyFont="1" applyFill="1" applyBorder="1"/>
    <xf numFmtId="0" fontId="0" fillId="5" borderId="10" xfId="0" applyFill="1" applyBorder="1"/>
    <xf numFmtId="168" fontId="0" fillId="0" borderId="0" xfId="0" applyNumberFormat="1"/>
    <xf numFmtId="43" fontId="2" fillId="0" borderId="7" xfId="1" applyBorder="1"/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indent="2"/>
    </xf>
    <xf numFmtId="0" fontId="4" fillId="0" borderId="8" xfId="0" applyFont="1" applyBorder="1" applyAlignment="1">
      <alignment horizontal="left" vertical="top"/>
    </xf>
    <xf numFmtId="0" fontId="13" fillId="3" borderId="15" xfId="0" applyFont="1" applyFill="1" applyBorder="1"/>
    <xf numFmtId="14" fontId="0" fillId="0" borderId="11" xfId="0" applyNumberFormat="1" applyBorder="1" applyAlignment="1">
      <alignment horizontal="right"/>
    </xf>
    <xf numFmtId="44" fontId="0" fillId="0" borderId="14" xfId="0" applyNumberFormat="1" applyBorder="1"/>
    <xf numFmtId="44" fontId="0" fillId="0" borderId="7" xfId="0" applyNumberFormat="1" applyBorder="1"/>
    <xf numFmtId="6" fontId="0" fillId="4" borderId="1" xfId="0" applyNumberFormat="1" applyFill="1" applyBorder="1"/>
    <xf numFmtId="166" fontId="0" fillId="4" borderId="1" xfId="0" applyNumberFormat="1" applyFill="1" applyBorder="1"/>
    <xf numFmtId="6" fontId="0" fillId="0" borderId="1" xfId="0" applyNumberFormat="1" applyBorder="1"/>
    <xf numFmtId="8" fontId="0" fillId="0" borderId="1" xfId="0" applyNumberFormat="1" applyBorder="1"/>
    <xf numFmtId="44" fontId="0" fillId="4" borderId="1" xfId="0" applyNumberFormat="1" applyFill="1" applyBorder="1"/>
    <xf numFmtId="9" fontId="0" fillId="4" borderId="15" xfId="3" applyFont="1" applyFill="1" applyBorder="1"/>
    <xf numFmtId="166" fontId="0" fillId="0" borderId="7" xfId="0" applyNumberFormat="1" applyBorder="1"/>
    <xf numFmtId="166" fontId="0" fillId="0" borderId="2" xfId="2" applyNumberFormat="1" applyFont="1" applyBorder="1"/>
    <xf numFmtId="0" fontId="13" fillId="3" borderId="14" xfId="0" applyFont="1" applyFill="1" applyBorder="1" applyAlignment="1">
      <alignment vertical="top"/>
    </xf>
    <xf numFmtId="0" fontId="11" fillId="4" borderId="4" xfId="0" applyFont="1" applyFill="1" applyBorder="1" applyAlignment="1">
      <alignment horizontal="left" vertical="center"/>
    </xf>
    <xf numFmtId="44" fontId="2" fillId="0" borderId="7" xfId="2" applyBorder="1"/>
    <xf numFmtId="44" fontId="2" fillId="0" borderId="6" xfId="2" applyBorder="1"/>
    <xf numFmtId="44" fontId="2" fillId="0" borderId="1" xfId="2" applyBorder="1"/>
    <xf numFmtId="44" fontId="2" fillId="0" borderId="14" xfId="2" applyBorder="1"/>
    <xf numFmtId="10" fontId="0" fillId="2" borderId="8" xfId="0" applyNumberFormat="1" applyFill="1" applyBorder="1"/>
    <xf numFmtId="0" fontId="0" fillId="0" borderId="0" xfId="0" applyAlignment="1">
      <alignment horizontal="right"/>
    </xf>
    <xf numFmtId="14" fontId="0" fillId="0" borderId="0" xfId="0" applyNumberFormat="1"/>
    <xf numFmtId="166" fontId="0" fillId="4" borderId="7" xfId="0" applyNumberFormat="1" applyFill="1" applyBorder="1"/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vertical="top"/>
    </xf>
    <xf numFmtId="166" fontId="0" fillId="4" borderId="2" xfId="0" applyNumberFormat="1" applyFill="1" applyBorder="1"/>
    <xf numFmtId="165" fontId="2" fillId="0" borderId="1" xfId="3" applyNumberFormat="1" applyBorder="1"/>
    <xf numFmtId="0" fontId="7" fillId="0" borderId="0" xfId="0" applyFont="1" applyAlignment="1">
      <alignment horizontal="center" vertical="top" shrinkToFi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1F1C5"/>
      <color rgb="FF1F4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DA09-37D4-5944-9F21-8DE660ACF30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showGridLines="0" tabSelected="1" topLeftCell="C4" zoomScale="90" zoomScaleNormal="89" workbookViewId="0">
      <selection activeCell="D4" sqref="D1:D1048576"/>
    </sheetView>
  </sheetViews>
  <sheetFormatPr baseColWidth="10" defaultRowHeight="15" x14ac:dyDescent="0.2"/>
  <cols>
    <col min="1" max="1" width="3" customWidth="1"/>
    <col min="2" max="2" width="38.83203125" customWidth="1"/>
    <col min="3" max="11" width="28.5" customWidth="1"/>
    <col min="12" max="12" width="29.83203125" customWidth="1"/>
  </cols>
  <sheetData>
    <row r="1" spans="1:12" x14ac:dyDescent="0.2">
      <c r="G1" s="127"/>
      <c r="H1" s="127"/>
      <c r="I1" s="127"/>
      <c r="J1" s="127"/>
      <c r="K1" s="127"/>
    </row>
    <row r="2" spans="1:12" x14ac:dyDescent="0.2">
      <c r="A2" s="1"/>
      <c r="B2" s="71" t="s">
        <v>0</v>
      </c>
      <c r="C2" s="3" t="s">
        <v>1</v>
      </c>
    </row>
    <row r="3" spans="1:12" x14ac:dyDescent="0.2">
      <c r="A3" s="1"/>
      <c r="B3" s="72" t="s">
        <v>2</v>
      </c>
      <c r="C3" s="4" t="s">
        <v>3</v>
      </c>
      <c r="G3" s="20"/>
      <c r="H3" s="20"/>
      <c r="I3" s="20"/>
      <c r="J3" s="20"/>
      <c r="K3" s="20"/>
    </row>
    <row r="4" spans="1:12" x14ac:dyDescent="0.2">
      <c r="A4" s="1"/>
      <c r="B4" s="72" t="s">
        <v>4</v>
      </c>
      <c r="C4" s="4">
        <v>2024</v>
      </c>
      <c r="G4" s="20"/>
      <c r="H4" s="20"/>
      <c r="I4" s="20"/>
      <c r="J4" s="20"/>
      <c r="K4" s="20"/>
    </row>
    <row r="5" spans="1:12" x14ac:dyDescent="0.2">
      <c r="A5" s="1"/>
      <c r="B5" s="72" t="s">
        <v>5</v>
      </c>
      <c r="C5" s="43">
        <v>224.72</v>
      </c>
      <c r="G5" s="20"/>
      <c r="H5" s="20"/>
      <c r="I5" s="20"/>
      <c r="J5" s="20"/>
      <c r="K5" s="20"/>
    </row>
    <row r="6" spans="1:12" x14ac:dyDescent="0.2">
      <c r="A6" s="1"/>
      <c r="B6" s="72" t="s">
        <v>6</v>
      </c>
      <c r="C6" s="44">
        <v>15405856000</v>
      </c>
      <c r="D6" s="20"/>
      <c r="G6" s="20"/>
      <c r="H6" s="20"/>
      <c r="I6" s="20"/>
      <c r="J6" s="20"/>
      <c r="K6" s="20"/>
    </row>
    <row r="7" spans="1:12" x14ac:dyDescent="0.2">
      <c r="A7" s="1"/>
      <c r="B7" s="73" t="s">
        <v>7</v>
      </c>
      <c r="C7" s="5">
        <f>'Income Statement YFinance'!E39</f>
        <v>0.14699999999999999</v>
      </c>
      <c r="G7" s="88"/>
      <c r="H7" s="88"/>
      <c r="I7" s="88"/>
      <c r="J7" s="88"/>
      <c r="K7" s="88"/>
    </row>
    <row r="8" spans="1:12" ht="32" customHeight="1" x14ac:dyDescent="0.2">
      <c r="B8" s="91"/>
    </row>
    <row r="9" spans="1:12" ht="32" customHeight="1" x14ac:dyDescent="0.25">
      <c r="A9" s="1"/>
      <c r="B9" s="119" t="s">
        <v>8</v>
      </c>
      <c r="C9" s="86">
        <f>'Income Statement SEC'!C18</f>
        <v>2020</v>
      </c>
      <c r="D9" s="86">
        <f>'Income Statement SEC'!D18</f>
        <v>2021</v>
      </c>
      <c r="E9" s="86">
        <f>'Income Statement SEC'!E18</f>
        <v>2022</v>
      </c>
      <c r="F9" s="86">
        <f>'Income Statement SEC'!F18</f>
        <v>2023</v>
      </c>
      <c r="G9" s="85">
        <f>F9+1</f>
        <v>2024</v>
      </c>
      <c r="H9" s="86">
        <f t="shared" ref="H9:K9" si="0">G9+1</f>
        <v>2025</v>
      </c>
      <c r="I9" s="86">
        <f t="shared" si="0"/>
        <v>2026</v>
      </c>
      <c r="J9" s="86">
        <f t="shared" si="0"/>
        <v>2027</v>
      </c>
      <c r="K9" s="86">
        <f t="shared" si="0"/>
        <v>2028</v>
      </c>
      <c r="L9" s="40" t="s">
        <v>288</v>
      </c>
    </row>
    <row r="10" spans="1:12" x14ac:dyDescent="0.2">
      <c r="B10" s="90"/>
      <c r="C10" s="23"/>
      <c r="D10" s="23"/>
      <c r="E10" s="23"/>
      <c r="F10" s="23"/>
      <c r="G10" s="37"/>
      <c r="L10" s="25"/>
    </row>
    <row r="11" spans="1:12" x14ac:dyDescent="0.2">
      <c r="B11" s="104" t="s">
        <v>9</v>
      </c>
      <c r="C11" s="66">
        <f>_xlfn.XLOOKUP($B11,'Income Statement SEC'!$B:$B,'Income Statement SEC'!C:C,"NA",0,1)*1000000</f>
        <v>274515000000</v>
      </c>
      <c r="D11" s="66">
        <f>_xlfn.XLOOKUP($B11,'Income Statement SEC'!$B:$B,'Income Statement SEC'!D:D,"NA",0,1)*1000000</f>
        <v>365817000000</v>
      </c>
      <c r="E11" s="66">
        <f>_xlfn.XLOOKUP($B11,'Income Statement SEC'!$B:$B,'Income Statement SEC'!E:E,"NA",0,1)*1000000</f>
        <v>394328000000</v>
      </c>
      <c r="F11" s="66">
        <f>_xlfn.XLOOKUP($B11,'Income Statement SEC'!$B:$B,'Income Statement SEC'!F:F,"NA",0,1)*1000000</f>
        <v>383285000000</v>
      </c>
      <c r="G11" s="46">
        <f>F11*(1+G12)</f>
        <v>413947800000</v>
      </c>
      <c r="H11" s="6">
        <f>G11*(1+H12)</f>
        <v>442924146000</v>
      </c>
      <c r="I11" s="6">
        <f>H11*(1+I12)</f>
        <v>469499594760</v>
      </c>
      <c r="J11" s="6">
        <f>I11*(1+J12)</f>
        <v>492974574498</v>
      </c>
      <c r="K11" s="6">
        <f>J11*(1+K12)</f>
        <v>515158430350.40997</v>
      </c>
      <c r="L11" s="25"/>
    </row>
    <row r="12" spans="1:12" x14ac:dyDescent="0.2">
      <c r="B12" s="105" t="s">
        <v>10</v>
      </c>
      <c r="C12" s="21"/>
      <c r="D12" s="21">
        <f>(D11-C11)/C11</f>
        <v>0.33259384733074693</v>
      </c>
      <c r="E12" s="21">
        <f>(E11-D11)/D11</f>
        <v>7.7937876041846058E-2</v>
      </c>
      <c r="F12" s="21">
        <f>(F11-E11)/E11</f>
        <v>-2.8004605303199367E-2</v>
      </c>
      <c r="G12" s="125">
        <v>0.08</v>
      </c>
      <c r="H12" s="125">
        <v>7.0000000000000007E-2</v>
      </c>
      <c r="I12" s="125">
        <v>0.06</v>
      </c>
      <c r="J12" s="125">
        <v>0.05</v>
      </c>
      <c r="K12" s="125">
        <v>4.4999999999999998E-2</v>
      </c>
      <c r="L12" s="101"/>
    </row>
    <row r="13" spans="1:12" x14ac:dyDescent="0.2">
      <c r="B13" s="37"/>
      <c r="C13" s="66"/>
      <c r="D13" s="66"/>
      <c r="E13" s="66"/>
      <c r="F13" s="66"/>
      <c r="G13" s="37"/>
      <c r="L13" s="25"/>
    </row>
    <row r="14" spans="1:12" x14ac:dyDescent="0.2">
      <c r="B14" s="26" t="s">
        <v>11</v>
      </c>
      <c r="C14" s="66">
        <f>_xlfn.XLOOKUP($B14,'Income Statement SEC'!$B:$B,'Income Statement SEC'!C:C,"NA",0,1)*1000000</f>
        <v>169559000000</v>
      </c>
      <c r="D14" s="66">
        <f>_xlfn.XLOOKUP($B14,'Income Statement SEC'!$B:$B,'Income Statement SEC'!D:D,"NA",0,1)*1000000</f>
        <v>212981000000</v>
      </c>
      <c r="E14" s="66">
        <f>_xlfn.XLOOKUP($B14,'Income Statement SEC'!$B:$B,'Income Statement SEC'!E:E,"NA",0,1)*1000000</f>
        <v>223546000000</v>
      </c>
      <c r="F14" s="66">
        <f>_xlfn.XLOOKUP($B14,'Income Statement SEC'!$B:$B,'Income Statement SEC'!F:F,"NA",0,1)*1000000</f>
        <v>214137000000</v>
      </c>
      <c r="G14" s="35">
        <f>G11*G15</f>
        <v>240655417310.70724</v>
      </c>
      <c r="H14" s="23">
        <f>H11*H15</f>
        <v>257501296522.45676</v>
      </c>
      <c r="I14" s="23">
        <f>I11*I15</f>
        <v>272951374313.80414</v>
      </c>
      <c r="J14" s="23">
        <f>J11*J15</f>
        <v>286598943029.49438</v>
      </c>
      <c r="K14" s="23">
        <f>K11*K15</f>
        <v>299495895465.82159</v>
      </c>
      <c r="L14" s="25"/>
    </row>
    <row r="15" spans="1:12" x14ac:dyDescent="0.2">
      <c r="B15" s="105" t="s">
        <v>12</v>
      </c>
      <c r="C15" s="21">
        <f>C14/C11</f>
        <v>0.61766752272189129</v>
      </c>
      <c r="D15" s="21">
        <f>D14/D11</f>
        <v>0.58220640374832222</v>
      </c>
      <c r="E15" s="21">
        <f>E14/E11</f>
        <v>0.56690369438639909</v>
      </c>
      <c r="F15" s="21">
        <f>F14/F11</f>
        <v>0.55868870422792438</v>
      </c>
      <c r="G15" s="50">
        <f>AVERAGE($C$15:$F$15)</f>
        <v>0.58136658127113428</v>
      </c>
      <c r="H15" s="42">
        <f>AVERAGE($C$15:$F$15)</f>
        <v>0.58136658127113428</v>
      </c>
      <c r="I15" s="42">
        <f>AVERAGE($C$15:$F$15)</f>
        <v>0.58136658127113428</v>
      </c>
      <c r="J15" s="42">
        <f>AVERAGE($C$15:$F$15)</f>
        <v>0.58136658127113428</v>
      </c>
      <c r="K15" s="42">
        <f>AVERAGE($C$15:$F$15)</f>
        <v>0.58136658127113428</v>
      </c>
      <c r="L15" s="25" t="s">
        <v>290</v>
      </c>
    </row>
    <row r="16" spans="1:12" ht="16" customHeight="1" x14ac:dyDescent="0.2">
      <c r="B16" s="27" t="s">
        <v>13</v>
      </c>
      <c r="C16" s="69">
        <f>_xlfn.XLOOKUP($B16,'Income Statement SEC'!$B:$B,'Income Statement SEC'!C:C,"NA",0,1)*1000000</f>
        <v>104956000000</v>
      </c>
      <c r="D16" s="69">
        <f>_xlfn.XLOOKUP($B16,'Income Statement SEC'!$B:$B,'Income Statement SEC'!D:D,"NA",0,1)*1000000</f>
        <v>152836000000</v>
      </c>
      <c r="E16" s="69">
        <f>_xlfn.XLOOKUP($B16,'Income Statement SEC'!$B:$B,'Income Statement SEC'!E:E,"NA",0,1)*1000000</f>
        <v>170782000000</v>
      </c>
      <c r="F16" s="69">
        <f>_xlfn.XLOOKUP($B16,'Income Statement SEC'!$B:$B,'Income Statement SEC'!F:F,"NA",0,1)*1000000</f>
        <v>169148000000</v>
      </c>
      <c r="G16" s="109">
        <f>G11-G14</f>
        <v>173292382689.29276</v>
      </c>
      <c r="H16" s="110">
        <f>H11-H14</f>
        <v>185422849477.54324</v>
      </c>
      <c r="I16" s="110">
        <f>I11-I14</f>
        <v>196548220446.19586</v>
      </c>
      <c r="J16" s="110">
        <f>J11-J14</f>
        <v>206375631468.50562</v>
      </c>
      <c r="K16" s="99">
        <f>K11-K14</f>
        <v>215662534884.58838</v>
      </c>
      <c r="L16" s="25"/>
    </row>
    <row r="17" spans="2:12" ht="16" customHeight="1" x14ac:dyDescent="0.2">
      <c r="B17" s="105" t="s">
        <v>14</v>
      </c>
      <c r="C17" s="21">
        <f>C16/C11</f>
        <v>0.38233247727810865</v>
      </c>
      <c r="D17" s="21">
        <f>D16/D11</f>
        <v>0.41779359625167778</v>
      </c>
      <c r="E17" s="21">
        <f>E16/E11</f>
        <v>0.43309630561360085</v>
      </c>
      <c r="F17" s="21">
        <f>F16/F11</f>
        <v>0.44131129577207562</v>
      </c>
      <c r="G17" s="37"/>
      <c r="H17" s="48"/>
      <c r="I17" s="48"/>
      <c r="J17" s="48"/>
      <c r="K17" s="48"/>
      <c r="L17" s="25"/>
    </row>
    <row r="18" spans="2:12" x14ac:dyDescent="0.2">
      <c r="B18" s="37"/>
      <c r="C18" s="66"/>
      <c r="D18" s="66"/>
      <c r="E18" s="66"/>
      <c r="F18" s="66"/>
      <c r="G18" s="37"/>
      <c r="L18" s="25"/>
    </row>
    <row r="19" spans="2:12" x14ac:dyDescent="0.2">
      <c r="B19" s="106" t="s">
        <v>15</v>
      </c>
      <c r="C19" s="66">
        <f>_xlfn.XLOOKUP($B19,'Income Statement SEC'!$B:$B,'Income Statement SEC'!C:C,"NA",0,1)*1000000</f>
        <v>18752000000</v>
      </c>
      <c r="D19" s="66">
        <f>_xlfn.XLOOKUP($B19,'Income Statement SEC'!$B:$B,'Income Statement SEC'!D:D,"NA",0,1)*1000000</f>
        <v>21914000000</v>
      </c>
      <c r="E19" s="66">
        <f>_xlfn.XLOOKUP($B19,'Income Statement SEC'!$B:$B,'Income Statement SEC'!E:E,"NA",0,1)*1000000</f>
        <v>26251000000</v>
      </c>
      <c r="F19" s="66">
        <f>_xlfn.XLOOKUP($B19,'Income Statement SEC'!$B:$B,'Income Statement SEC'!F:F,"NA",0,1)*1000000</f>
        <v>29915000000</v>
      </c>
      <c r="G19" s="46">
        <f>G11*G20</f>
        <v>28234788345.880661</v>
      </c>
      <c r="H19" s="6">
        <f>H11*H20</f>
        <v>30211223530.092308</v>
      </c>
      <c r="I19" s="6">
        <f>I11*I20</f>
        <v>32023896941.897846</v>
      </c>
      <c r="J19" s="6">
        <f>J11*J20</f>
        <v>33625091788.992741</v>
      </c>
      <c r="K19" s="6">
        <f>K11*K20</f>
        <v>35138220919.497414</v>
      </c>
      <c r="L19" s="25"/>
    </row>
    <row r="20" spans="2:12" x14ac:dyDescent="0.2">
      <c r="B20" s="28" t="s">
        <v>16</v>
      </c>
      <c r="C20" s="21">
        <f>C19/C11</f>
        <v>6.8309564140393061E-2</v>
      </c>
      <c r="D20" s="21">
        <f>D19/D11</f>
        <v>5.9904269074427925E-2</v>
      </c>
      <c r="E20" s="21">
        <f>E19/E11</f>
        <v>6.657148363798665E-2</v>
      </c>
      <c r="F20" s="21">
        <f>F19/F11</f>
        <v>7.8048971392045086E-2</v>
      </c>
      <c r="G20" s="50">
        <f>AVERAGE($C$20:$F$20)</f>
        <v>6.8208572061213182E-2</v>
      </c>
      <c r="H20" s="42">
        <f t="shared" ref="H20:K20" si="1">AVERAGE($C$20:$F$20)</f>
        <v>6.8208572061213182E-2</v>
      </c>
      <c r="I20" s="42">
        <f t="shared" si="1"/>
        <v>6.8208572061213182E-2</v>
      </c>
      <c r="J20" s="42">
        <f t="shared" si="1"/>
        <v>6.8208572061213182E-2</v>
      </c>
      <c r="K20" s="42">
        <f t="shared" si="1"/>
        <v>6.8208572061213182E-2</v>
      </c>
      <c r="L20" s="25" t="s">
        <v>290</v>
      </c>
    </row>
    <row r="21" spans="2:12" x14ac:dyDescent="0.2">
      <c r="B21" s="26" t="s">
        <v>17</v>
      </c>
      <c r="C21" s="66">
        <f>_xlfn.XLOOKUP($B21,'Income Statement SEC'!$B:$B,'Income Statement SEC'!C:C,"NA",0,1)*1000000</f>
        <v>19916000000</v>
      </c>
      <c r="D21" s="66">
        <f>_xlfn.XLOOKUP($B21,'Income Statement SEC'!$B:$B,'Income Statement SEC'!D:D,"NA",0,1)*1000000</f>
        <v>21973000000</v>
      </c>
      <c r="E21" s="66">
        <f>_xlfn.XLOOKUP($B21,'Income Statement SEC'!$B:$B,'Income Statement SEC'!E:E,"NA",0,1)*1000000</f>
        <v>25094000000</v>
      </c>
      <c r="F21" s="66">
        <f>_xlfn.XLOOKUP($B21,'Income Statement SEC'!$B:$B,'Income Statement SEC'!F:F,"NA",0,1)*1000000</f>
        <v>24932000000</v>
      </c>
      <c r="G21" s="46">
        <f>G11*G22</f>
        <v>27041233302.13686</v>
      </c>
      <c r="H21" s="6">
        <f>H11*H22</f>
        <v>28934119633.286442</v>
      </c>
      <c r="I21" s="6">
        <f>I11*I22</f>
        <v>30670166811.283627</v>
      </c>
      <c r="J21" s="6">
        <f>J11*J22</f>
        <v>32203675151.847809</v>
      </c>
      <c r="K21" s="6">
        <f>K11*K22</f>
        <v>33652840533.680958</v>
      </c>
      <c r="L21" s="25"/>
    </row>
    <row r="22" spans="2:12" x14ac:dyDescent="0.2">
      <c r="B22" s="28" t="s">
        <v>18</v>
      </c>
      <c r="C22" s="21">
        <f>C21/C11</f>
        <v>7.2549769593646979E-2</v>
      </c>
      <c r="D22" s="21">
        <f>D21/D11</f>
        <v>6.006555190163388E-2</v>
      </c>
      <c r="E22" s="21">
        <f>E21/E11</f>
        <v>6.3637378020328261E-2</v>
      </c>
      <c r="F22" s="21">
        <f>F21/F11</f>
        <v>6.5048201729783317E-2</v>
      </c>
      <c r="G22" s="50">
        <f>AVERAGE($C$22:$F$22)</f>
        <v>6.5325225311348101E-2</v>
      </c>
      <c r="H22" s="42">
        <f t="shared" ref="H22:K22" si="2">AVERAGE($C$22:$F$22)</f>
        <v>6.5325225311348101E-2</v>
      </c>
      <c r="I22" s="42">
        <f t="shared" si="2"/>
        <v>6.5325225311348101E-2</v>
      </c>
      <c r="J22" s="42">
        <f t="shared" si="2"/>
        <v>6.5325225311348101E-2</v>
      </c>
      <c r="K22" s="42">
        <f t="shared" si="2"/>
        <v>6.5325225311348101E-2</v>
      </c>
      <c r="L22" s="25" t="s">
        <v>290</v>
      </c>
    </row>
    <row r="23" spans="2:12" x14ac:dyDescent="0.2">
      <c r="B23" s="27" t="s">
        <v>19</v>
      </c>
      <c r="C23" s="66">
        <f>_xlfn.XLOOKUP($B23,'Income Statement SEC'!$B:$B,'Income Statement SEC'!C:C,"NA",0,1)*1000000</f>
        <v>38668000000</v>
      </c>
      <c r="D23" s="66">
        <f>_xlfn.XLOOKUP($B23,'Income Statement SEC'!$B:$B,'Income Statement SEC'!D:D,"NA",0,1)*1000000</f>
        <v>43887000000</v>
      </c>
      <c r="E23" s="66">
        <f>_xlfn.XLOOKUP($B23,'Income Statement SEC'!$B:$B,'Income Statement SEC'!E:E,"NA",0,1)*1000000</f>
        <v>51345000000</v>
      </c>
      <c r="F23" s="66">
        <f>_xlfn.XLOOKUP($B23,'Income Statement SEC'!$B:$B,'Income Statement SEC'!F:F,"NA",0,1)*1000000</f>
        <v>54847000000</v>
      </c>
      <c r="G23" s="37">
        <f>G19+G21</f>
        <v>55276021648.017517</v>
      </c>
      <c r="H23">
        <f>H19+H21</f>
        <v>59145343163.378754</v>
      </c>
      <c r="I23">
        <f>I19+I21</f>
        <v>62694063753.181473</v>
      </c>
      <c r="J23">
        <f>J19+J21</f>
        <v>65828766940.840546</v>
      </c>
      <c r="K23">
        <f>K19+K21</f>
        <v>68791061453.178375</v>
      </c>
      <c r="L23" s="25"/>
    </row>
    <row r="24" spans="2:12" x14ac:dyDescent="0.2">
      <c r="B24" s="37"/>
      <c r="C24" s="67"/>
      <c r="D24" s="67"/>
      <c r="E24" s="67"/>
      <c r="F24" s="67"/>
      <c r="G24" s="37"/>
      <c r="L24" s="25"/>
    </row>
    <row r="25" spans="2:12" x14ac:dyDescent="0.2">
      <c r="B25" s="37"/>
      <c r="C25" s="67"/>
      <c r="D25" s="67"/>
      <c r="E25" s="67"/>
      <c r="F25" s="67"/>
      <c r="G25" s="46"/>
      <c r="H25" s="6"/>
      <c r="I25" s="6"/>
      <c r="J25" s="6"/>
      <c r="K25" s="6"/>
      <c r="L25" s="25"/>
    </row>
    <row r="26" spans="2:12" x14ac:dyDescent="0.2">
      <c r="B26" s="106" t="s">
        <v>20</v>
      </c>
      <c r="C26" s="118">
        <f t="shared" ref="C26:K26" si="3">C14+C23</f>
        <v>208227000000</v>
      </c>
      <c r="D26" s="66">
        <f t="shared" si="3"/>
        <v>256868000000</v>
      </c>
      <c r="E26" s="66">
        <f t="shared" si="3"/>
        <v>274891000000</v>
      </c>
      <c r="F26" s="66">
        <f t="shared" si="3"/>
        <v>268984000000</v>
      </c>
      <c r="G26" s="35">
        <f t="shared" si="3"/>
        <v>295931438958.72473</v>
      </c>
      <c r="H26" s="23">
        <f t="shared" si="3"/>
        <v>316646639685.83551</v>
      </c>
      <c r="I26" s="23">
        <f t="shared" si="3"/>
        <v>335645438066.9856</v>
      </c>
      <c r="J26" s="23">
        <f t="shared" si="3"/>
        <v>352427709970.33496</v>
      </c>
      <c r="K26" s="23">
        <f t="shared" si="3"/>
        <v>368286956919</v>
      </c>
      <c r="L26" s="25"/>
    </row>
    <row r="27" spans="2:12" ht="16" customHeight="1" x14ac:dyDescent="0.2">
      <c r="B27" s="29" t="s">
        <v>227</v>
      </c>
      <c r="C27" s="69">
        <f>C16-C23</f>
        <v>66288000000</v>
      </c>
      <c r="D27" s="69">
        <f>D16-D23</f>
        <v>108949000000</v>
      </c>
      <c r="E27" s="69">
        <f>E16-E23</f>
        <v>119437000000</v>
      </c>
      <c r="F27" s="69">
        <f>F16-F23</f>
        <v>114301000000</v>
      </c>
      <c r="G27" s="39">
        <f t="shared" ref="G27:K27" si="4">G16-G23</f>
        <v>118016361041.27524</v>
      </c>
      <c r="H27" s="32">
        <f t="shared" si="4"/>
        <v>126277506314.16449</v>
      </c>
      <c r="I27" s="32">
        <f t="shared" si="4"/>
        <v>133854156693.01439</v>
      </c>
      <c r="J27" s="32">
        <f t="shared" si="4"/>
        <v>140546864527.66507</v>
      </c>
      <c r="K27" s="33">
        <f t="shared" si="4"/>
        <v>146871473431.41</v>
      </c>
      <c r="L27" s="25"/>
    </row>
    <row r="28" spans="2:12" ht="16" customHeight="1" x14ac:dyDescent="0.2">
      <c r="B28" s="105" t="s">
        <v>286</v>
      </c>
      <c r="C28" s="21">
        <f>C27/C11</f>
        <v>0.24147314354406862</v>
      </c>
      <c r="D28" s="21">
        <f>D27/D11</f>
        <v>0.29782377527561593</v>
      </c>
      <c r="E28" s="21">
        <f>E27/E11</f>
        <v>0.30288744395528594</v>
      </c>
      <c r="F28" s="21">
        <f>F27/F11</f>
        <v>0.29821412265024722</v>
      </c>
      <c r="G28" s="36">
        <f t="shared" ref="G28:K28" si="5">G27/G11</f>
        <v>0.28509962135630446</v>
      </c>
      <c r="H28" s="24">
        <f t="shared" si="5"/>
        <v>0.2850996213563044</v>
      </c>
      <c r="I28" s="24">
        <f t="shared" si="5"/>
        <v>0.28509962135630446</v>
      </c>
      <c r="J28" s="24">
        <f t="shared" si="5"/>
        <v>0.2850996213563044</v>
      </c>
      <c r="K28" s="24">
        <f t="shared" si="5"/>
        <v>0.2850996213563044</v>
      </c>
      <c r="L28" s="25"/>
    </row>
    <row r="29" spans="2:12" x14ac:dyDescent="0.2">
      <c r="B29" s="37" t="s">
        <v>23</v>
      </c>
      <c r="C29" s="68">
        <v>2873000000</v>
      </c>
      <c r="D29" s="68">
        <v>2645000000</v>
      </c>
      <c r="E29" s="68">
        <v>2931000000</v>
      </c>
      <c r="F29" s="68">
        <v>3933000000</v>
      </c>
      <c r="G29" s="89">
        <f>G73*G30</f>
        <v>2959829368.1155133</v>
      </c>
      <c r="H29" s="89">
        <f t="shared" ref="H29:K29" si="6">H73*H30</f>
        <v>2959829368.1155133</v>
      </c>
      <c r="I29" s="89">
        <f t="shared" si="6"/>
        <v>2959829368.1155133</v>
      </c>
      <c r="J29" s="89">
        <f t="shared" si="6"/>
        <v>2959829368.1155133</v>
      </c>
      <c r="K29" s="89">
        <f t="shared" si="6"/>
        <v>2959829368.1155133</v>
      </c>
      <c r="L29" s="25"/>
    </row>
    <row r="30" spans="2:12" x14ac:dyDescent="0.2">
      <c r="B30" s="105" t="s">
        <v>27</v>
      </c>
      <c r="C30" s="21">
        <f>C29/C73</f>
        <v>2.9118144871132193E-2</v>
      </c>
      <c r="D30" s="21">
        <f t="shared" ref="D30:F30" si="7">D29/D73</f>
        <v>2.4242479790295677E-2</v>
      </c>
      <c r="E30" s="21">
        <f t="shared" si="7"/>
        <v>2.9618326781798522E-2</v>
      </c>
      <c r="F30" s="21">
        <f t="shared" si="7"/>
        <v>4.1277904304110997E-2</v>
      </c>
      <c r="G30" s="50">
        <f>AVERAGE($C$30:$F$30)</f>
        <v>3.1064213936834346E-2</v>
      </c>
      <c r="H30" s="42">
        <f t="shared" ref="H30:K30" si="8">AVERAGE($C$30:$F$30)</f>
        <v>3.1064213936834346E-2</v>
      </c>
      <c r="I30" s="42">
        <f t="shared" si="8"/>
        <v>3.1064213936834346E-2</v>
      </c>
      <c r="J30" s="42">
        <f t="shared" si="8"/>
        <v>3.1064213936834346E-2</v>
      </c>
      <c r="K30" s="42">
        <f t="shared" si="8"/>
        <v>3.1064213936834346E-2</v>
      </c>
      <c r="L30" s="25" t="s">
        <v>290</v>
      </c>
    </row>
    <row r="31" spans="2:12" x14ac:dyDescent="0.2">
      <c r="B31" s="106" t="s">
        <v>24</v>
      </c>
      <c r="C31" s="66">
        <f>C84</f>
        <v>11056000000</v>
      </c>
      <c r="D31" s="66">
        <f t="shared" ref="D31:F31" si="9">D84</f>
        <v>11284000000</v>
      </c>
      <c r="E31" s="66">
        <f t="shared" si="9"/>
        <v>11104000000</v>
      </c>
      <c r="F31" s="66">
        <f t="shared" si="9"/>
        <v>11519000000</v>
      </c>
      <c r="G31" s="46">
        <f>AVERAGE($C$31:$F$31)</f>
        <v>11240750000</v>
      </c>
      <c r="H31" s="6">
        <f t="shared" ref="H31:K31" si="10">AVERAGE($C$31:$F$31)</f>
        <v>11240750000</v>
      </c>
      <c r="I31" s="6">
        <f t="shared" si="10"/>
        <v>11240750000</v>
      </c>
      <c r="J31" s="6">
        <f t="shared" si="10"/>
        <v>11240750000</v>
      </c>
      <c r="K31" s="6">
        <f t="shared" si="10"/>
        <v>11240750000</v>
      </c>
      <c r="L31" s="25" t="s">
        <v>289</v>
      </c>
    </row>
    <row r="32" spans="2:12" x14ac:dyDescent="0.2">
      <c r="B32" s="29" t="s">
        <v>287</v>
      </c>
      <c r="C32" s="117">
        <f>C27+C29+C31</f>
        <v>80217000000</v>
      </c>
      <c r="D32" s="117">
        <f t="shared" ref="D32:F32" si="11">D27+D29+D31</f>
        <v>122878000000</v>
      </c>
      <c r="E32" s="117">
        <f t="shared" si="11"/>
        <v>133472000000</v>
      </c>
      <c r="F32" s="117">
        <f t="shared" si="11"/>
        <v>129753000000</v>
      </c>
      <c r="G32" s="109">
        <f t="shared" ref="G32" si="12">G27+G29+G31</f>
        <v>132216940409.39075</v>
      </c>
      <c r="H32" s="110">
        <f t="shared" ref="H32" si="13">H27+H29+H31</f>
        <v>140478085682.28</v>
      </c>
      <c r="I32" s="110">
        <f t="shared" ref="I32" si="14">I27+I29+I31</f>
        <v>148054736061.12988</v>
      </c>
      <c r="J32" s="110">
        <f t="shared" ref="J32" si="15">J27+J29+J31</f>
        <v>154747443895.78058</v>
      </c>
      <c r="K32" s="99">
        <f t="shared" ref="K32" si="16">K27+K29+K31</f>
        <v>161072052799.52551</v>
      </c>
      <c r="L32" s="25"/>
    </row>
    <row r="33" spans="1:12" x14ac:dyDescent="0.2">
      <c r="B33" s="105" t="s">
        <v>22</v>
      </c>
      <c r="C33" s="21">
        <f>C32/C11</f>
        <v>0.29221354024370255</v>
      </c>
      <c r="D33" s="21">
        <f>D32/D11</f>
        <v>0.3359001905324247</v>
      </c>
      <c r="E33" s="21">
        <f>E32/E11</f>
        <v>0.33847964131383013</v>
      </c>
      <c r="F33" s="21">
        <f>F32/F11</f>
        <v>0.33852877101895457</v>
      </c>
      <c r="G33" s="21">
        <f t="shared" ref="G33:K33" si="17">G32/G11</f>
        <v>0.31940486314793975</v>
      </c>
      <c r="H33" s="21">
        <f t="shared" si="17"/>
        <v>0.31716059499334676</v>
      </c>
      <c r="I33" s="21">
        <f t="shared" si="17"/>
        <v>0.31534582290068403</v>
      </c>
      <c r="J33" s="21">
        <f t="shared" si="17"/>
        <v>0.31390552758904688</v>
      </c>
      <c r="K33" s="21">
        <f t="shared" si="17"/>
        <v>0.31266508186610581</v>
      </c>
      <c r="L33" s="25"/>
    </row>
    <row r="34" spans="1:12" x14ac:dyDescent="0.2">
      <c r="B34" s="27"/>
      <c r="C34" s="66"/>
      <c r="D34" s="66"/>
      <c r="E34" s="66"/>
      <c r="F34" s="66"/>
      <c r="G34" s="37"/>
      <c r="H34" s="102"/>
      <c r="L34" s="25"/>
    </row>
    <row r="35" spans="1:12" x14ac:dyDescent="0.2">
      <c r="B35" s="26" t="s">
        <v>48</v>
      </c>
      <c r="C35" s="66">
        <f>_xlfn.XLOOKUP($B35,'Income Statement SEC'!$B:$B,'Income Statement SEC'!C:C,"NA",0,1)*1000000</f>
        <v>803000000</v>
      </c>
      <c r="D35" s="66">
        <f>_xlfn.XLOOKUP($B35,'Income Statement SEC'!$B:$B,'Income Statement SEC'!D:D,"NA",0,1)*1000000</f>
        <v>258000000</v>
      </c>
      <c r="E35" s="66">
        <f>_xlfn.XLOOKUP($B35,'Income Statement SEC'!$B:$B,'Income Statement SEC'!E:E,"NA",0,1)*1000000</f>
        <v>-334000000</v>
      </c>
      <c r="F35" s="66">
        <f>_xlfn.XLOOKUP($B35,'Income Statement SEC'!$B:$B,'Income Statement SEC'!F:F,"NA",0,1)*1000000</f>
        <v>-565000000</v>
      </c>
      <c r="G35" s="37"/>
      <c r="L35" s="25"/>
    </row>
    <row r="36" spans="1:12" x14ac:dyDescent="0.2">
      <c r="B36" s="26" t="s">
        <v>49</v>
      </c>
      <c r="C36" s="66">
        <f>_xlfn.XLOOKUP($B36,'Income Statement SEC'!$B:$B,'Income Statement SEC'!C:C,"NA",0,1)*1000000</f>
        <v>67091000000</v>
      </c>
      <c r="D36" s="66">
        <f>_xlfn.XLOOKUP($B36,'Income Statement SEC'!$B:$B,'Income Statement SEC'!D:D,"NA",0,1)*1000000</f>
        <v>109207000000</v>
      </c>
      <c r="E36" s="66">
        <f>_xlfn.XLOOKUP($B36,'Income Statement SEC'!$B:$B,'Income Statement SEC'!E:E,"NA",0,1)*1000000</f>
        <v>119103000000</v>
      </c>
      <c r="F36" s="66">
        <f>_xlfn.XLOOKUP($B36,'Income Statement SEC'!$B:$B,'Income Statement SEC'!F:F,"NA",0,1)*1000000</f>
        <v>113736000000</v>
      </c>
      <c r="G36" s="46">
        <f>G32-G35</f>
        <v>132216940409.39075</v>
      </c>
      <c r="H36" s="6">
        <f t="shared" ref="H36:K36" si="18">H32-H35</f>
        <v>140478085682.28</v>
      </c>
      <c r="I36" s="6">
        <f t="shared" si="18"/>
        <v>148054736061.12988</v>
      </c>
      <c r="J36" s="6">
        <f t="shared" si="18"/>
        <v>154747443895.78058</v>
      </c>
      <c r="K36" s="6">
        <f t="shared" si="18"/>
        <v>161072052799.52551</v>
      </c>
      <c r="L36" s="25"/>
    </row>
    <row r="37" spans="1:12" x14ac:dyDescent="0.2">
      <c r="B37" s="105" t="s">
        <v>285</v>
      </c>
      <c r="C37" s="21">
        <f>C36/C11</f>
        <v>0.24439830246070343</v>
      </c>
      <c r="D37" s="21">
        <f>D36/D11</f>
        <v>0.29852904594373691</v>
      </c>
      <c r="E37" s="21">
        <f>E36/E11</f>
        <v>0.30204043334482966</v>
      </c>
      <c r="F37" s="21">
        <f>F36/F11</f>
        <v>0.29674002374212399</v>
      </c>
      <c r="G37" s="38">
        <f>G36/G11</f>
        <v>0.31940486314793975</v>
      </c>
      <c r="H37" s="21">
        <f t="shared" ref="H37:K37" si="19">H36/H11</f>
        <v>0.31716059499334676</v>
      </c>
      <c r="I37" s="21">
        <f t="shared" si="19"/>
        <v>0.31534582290068403</v>
      </c>
      <c r="J37" s="21">
        <f t="shared" si="19"/>
        <v>0.31390552758904688</v>
      </c>
      <c r="K37" s="21">
        <f t="shared" si="19"/>
        <v>0.31266508186610581</v>
      </c>
      <c r="L37" s="25"/>
    </row>
    <row r="38" spans="1:12" ht="16" customHeight="1" x14ac:dyDescent="0.2">
      <c r="B38" s="26" t="s">
        <v>50</v>
      </c>
      <c r="C38" s="66">
        <f>_xlfn.XLOOKUP($B38,'Income Statement SEC'!$B:$B,'Income Statement SEC'!C:C,"NA",0,1)*1000000</f>
        <v>9680000000</v>
      </c>
      <c r="D38" s="66">
        <f>_xlfn.XLOOKUP($B38,'Income Statement SEC'!$B:$B,'Income Statement SEC'!D:D,"NA",0,1)*1000000</f>
        <v>14527000000</v>
      </c>
      <c r="E38" s="66">
        <f>_xlfn.XLOOKUP($B38,'Income Statement SEC'!$B:$B,'Income Statement SEC'!E:E,"NA",0,1)*1000000</f>
        <v>19300000000</v>
      </c>
      <c r="F38" s="66">
        <f>_xlfn.XLOOKUP($B38,'Income Statement SEC'!$B:$B,'Income Statement SEC'!F:F,"NA",0,1)*1000000</f>
        <v>16741000000</v>
      </c>
      <c r="G38" s="46">
        <f>G36*$C$7</f>
        <v>19435890240.180439</v>
      </c>
      <c r="H38" s="6">
        <f t="shared" ref="H38:J38" si="20">H36*$C$7</f>
        <v>20650278595.295158</v>
      </c>
      <c r="I38" s="6">
        <f t="shared" si="20"/>
        <v>21764046200.986092</v>
      </c>
      <c r="J38" s="6">
        <f t="shared" si="20"/>
        <v>22747874252.679745</v>
      </c>
      <c r="K38" s="6">
        <f>K36*$C$7</f>
        <v>23677591761.530251</v>
      </c>
      <c r="L38" s="25"/>
    </row>
    <row r="39" spans="1:12" ht="16" customHeight="1" x14ac:dyDescent="0.2">
      <c r="B39" s="27" t="s">
        <v>51</v>
      </c>
      <c r="C39" s="69">
        <f>_xlfn.XLOOKUP($B39,'Income Statement SEC'!$B:$B,'Income Statement SEC'!C:C,"NA",0,1)*1000000</f>
        <v>57411000000</v>
      </c>
      <c r="D39" s="69">
        <f>_xlfn.XLOOKUP($B39,'Income Statement SEC'!$B:$B,'Income Statement SEC'!D:D,"NA",0,1)*1000000</f>
        <v>94680000000</v>
      </c>
      <c r="E39" s="69">
        <f>_xlfn.XLOOKUP($B39,'Income Statement SEC'!$B:$B,'Income Statement SEC'!E:E,"NA",0,1)*1000000</f>
        <v>99803000000</v>
      </c>
      <c r="F39" s="69">
        <f>_xlfn.XLOOKUP($B39,'Income Statement SEC'!$B:$B,'Income Statement SEC'!F:F,"NA",0,1)*1000000</f>
        <v>96995000000</v>
      </c>
      <c r="G39" s="109">
        <f>G36-G38</f>
        <v>112781050169.21031</v>
      </c>
      <c r="H39" s="110">
        <f t="shared" ref="H39:K39" si="21">H36-H38</f>
        <v>119827807086.98483</v>
      </c>
      <c r="I39" s="110">
        <f t="shared" si="21"/>
        <v>126290689860.1438</v>
      </c>
      <c r="J39" s="110">
        <f t="shared" si="21"/>
        <v>131999569643.10083</v>
      </c>
      <c r="K39" s="99">
        <f t="shared" si="21"/>
        <v>137394461037.99527</v>
      </c>
      <c r="L39" s="25"/>
    </row>
    <row r="40" spans="1:12" x14ac:dyDescent="0.2">
      <c r="B40" s="37"/>
      <c r="L40" s="41"/>
    </row>
    <row r="41" spans="1:12" x14ac:dyDescent="0.2">
      <c r="B41" s="37" t="s">
        <v>361</v>
      </c>
      <c r="C41" s="6">
        <f>'Income Statement SEC'!C42</f>
        <v>3.31</v>
      </c>
      <c r="D41" s="6">
        <f>'Income Statement SEC'!D42</f>
        <v>5.67</v>
      </c>
      <c r="E41" s="6">
        <f>'Income Statement SEC'!E42</f>
        <v>6.15</v>
      </c>
      <c r="F41" s="6">
        <f>'Income Statement SEC'!F42</f>
        <v>6.16</v>
      </c>
      <c r="G41" s="6">
        <f>G39/$C$6</f>
        <v>7.3206610635079485</v>
      </c>
      <c r="H41" s="6">
        <f t="shared" ref="H41:K41" si="22">H39/$C$6</f>
        <v>7.7780687478180264</v>
      </c>
      <c r="I41" s="6">
        <f t="shared" si="22"/>
        <v>8.1975769382852732</v>
      </c>
      <c r="J41" s="6">
        <f t="shared" si="22"/>
        <v>8.5681425065313359</v>
      </c>
      <c r="K41" s="6">
        <f t="shared" si="22"/>
        <v>8.9183269685238695</v>
      </c>
    </row>
    <row r="42" spans="1:12" x14ac:dyDescent="0.2">
      <c r="B42" s="37"/>
      <c r="C42" s="21"/>
      <c r="D42" s="21"/>
      <c r="E42" s="21"/>
      <c r="F42" s="21"/>
      <c r="G42" s="6"/>
      <c r="H42" s="6"/>
      <c r="I42" s="6"/>
      <c r="J42" s="6"/>
      <c r="K42" s="6"/>
    </row>
    <row r="43" spans="1:12" x14ac:dyDescent="0.2">
      <c r="B43" s="51"/>
    </row>
    <row r="44" spans="1:12" ht="32" customHeight="1" x14ac:dyDescent="0.25">
      <c r="A44" s="1"/>
      <c r="B44" s="84" t="s">
        <v>318</v>
      </c>
      <c r="C44" s="85">
        <f>C9</f>
        <v>2020</v>
      </c>
      <c r="D44" s="86">
        <f t="shared" ref="D44:K44" si="23">D9</f>
        <v>2021</v>
      </c>
      <c r="E44" s="86">
        <f t="shared" si="23"/>
        <v>2022</v>
      </c>
      <c r="F44" s="87">
        <f t="shared" si="23"/>
        <v>2023</v>
      </c>
      <c r="G44" s="85">
        <f t="shared" si="23"/>
        <v>2024</v>
      </c>
      <c r="H44" s="86">
        <f t="shared" si="23"/>
        <v>2025</v>
      </c>
      <c r="I44" s="86">
        <f t="shared" si="23"/>
        <v>2026</v>
      </c>
      <c r="J44" s="86">
        <f t="shared" si="23"/>
        <v>2027</v>
      </c>
      <c r="K44" s="107">
        <f t="shared" si="23"/>
        <v>2028</v>
      </c>
      <c r="L44" s="108" t="s">
        <v>288</v>
      </c>
    </row>
    <row r="45" spans="1:12" x14ac:dyDescent="0.2">
      <c r="A45" s="1"/>
      <c r="B45" s="90"/>
      <c r="F45" s="92"/>
      <c r="K45" s="1"/>
      <c r="L45" s="25"/>
    </row>
    <row r="46" spans="1:12" ht="16" x14ac:dyDescent="0.2">
      <c r="A46" s="1"/>
      <c r="B46" s="74" t="s">
        <v>319</v>
      </c>
      <c r="F46" s="1"/>
      <c r="K46" s="1"/>
      <c r="L46" s="25"/>
    </row>
    <row r="47" spans="1:12" x14ac:dyDescent="0.2">
      <c r="A47" s="1"/>
      <c r="B47" s="61" t="s">
        <v>133</v>
      </c>
      <c r="C47" s="89">
        <f>'Balance Sheet SEC'!C20*1000000</f>
        <v>38016000000</v>
      </c>
      <c r="D47" s="89">
        <f>'Balance Sheet SEC'!D20*1000000</f>
        <v>34940000000</v>
      </c>
      <c r="E47" s="89">
        <f>'Balance Sheet SEC'!E20*1000000</f>
        <v>23646000000</v>
      </c>
      <c r="F47" s="123">
        <f>'Balance Sheet SEC'!F20*1000000</f>
        <v>29965000000</v>
      </c>
      <c r="G47" s="89">
        <f>G112</f>
        <v>35859579216.683762</v>
      </c>
      <c r="H47" s="89">
        <f t="shared" ref="H47:K47" si="24">H112</f>
        <v>42123623841.32402</v>
      </c>
      <c r="I47" s="89">
        <f t="shared" si="24"/>
        <v>55891856737.32579</v>
      </c>
      <c r="J47" s="89">
        <f t="shared" si="24"/>
        <v>79271427305.996887</v>
      </c>
      <c r="K47" s="89">
        <f t="shared" si="24"/>
        <v>108020390966.25258</v>
      </c>
      <c r="L47" s="25"/>
    </row>
    <row r="48" spans="1:12" x14ac:dyDescent="0.2">
      <c r="A48" s="1"/>
      <c r="B48" s="61" t="s">
        <v>320</v>
      </c>
      <c r="C48" s="89">
        <f>'Balance Sheet SEC'!C21*1000000</f>
        <v>52927000000</v>
      </c>
      <c r="D48" s="89">
        <f>'Balance Sheet SEC'!D21*1000000</f>
        <v>27699000000</v>
      </c>
      <c r="E48" s="89">
        <f>'Balance Sheet SEC'!E21*1000000</f>
        <v>24658000000</v>
      </c>
      <c r="F48" s="123">
        <f>'Balance Sheet SEC'!F21*1000000</f>
        <v>31590000000</v>
      </c>
      <c r="G48" s="89">
        <f>AVERAGE(C48:F48)</f>
        <v>34218500000</v>
      </c>
      <c r="H48" s="89">
        <f t="shared" ref="H48:K48" si="25">AVERAGE(D48:G48)</f>
        <v>29541375000</v>
      </c>
      <c r="I48" s="89">
        <f t="shared" si="25"/>
        <v>30001968750</v>
      </c>
      <c r="J48" s="89">
        <f t="shared" si="25"/>
        <v>31337960937.5</v>
      </c>
      <c r="K48" s="89">
        <f t="shared" si="25"/>
        <v>31274951171.875</v>
      </c>
      <c r="L48" s="25"/>
    </row>
    <row r="49" spans="1:12" x14ac:dyDescent="0.2">
      <c r="A49" s="1"/>
      <c r="B49" s="61" t="s">
        <v>321</v>
      </c>
      <c r="C49" s="89">
        <f>37445000*1000</f>
        <v>37445000000</v>
      </c>
      <c r="D49" s="89">
        <f>51506000*1000</f>
        <v>51506000000</v>
      </c>
      <c r="E49" s="89">
        <f>60932000*1000</f>
        <v>60932000000</v>
      </c>
      <c r="F49" s="123">
        <f>60985000*1000</f>
        <v>60985000000</v>
      </c>
      <c r="G49" s="89">
        <f>G11*G50</f>
        <v>61143593493.459244</v>
      </c>
      <c r="H49" s="89">
        <f t="shared" ref="H49:K49" si="26">H11*H50</f>
        <v>65423645038.001396</v>
      </c>
      <c r="I49" s="89">
        <f t="shared" si="26"/>
        <v>69349063740.281479</v>
      </c>
      <c r="J49" s="89">
        <f t="shared" si="26"/>
        <v>72816516927.295547</v>
      </c>
      <c r="K49" s="89">
        <f t="shared" si="26"/>
        <v>76093260189.023849</v>
      </c>
      <c r="L49" s="25"/>
    </row>
    <row r="50" spans="1:12" x14ac:dyDescent="0.2">
      <c r="A50" s="1"/>
      <c r="B50" s="70" t="s">
        <v>322</v>
      </c>
      <c r="C50" s="21">
        <f>C49/C11</f>
        <v>0.13640420377757134</v>
      </c>
      <c r="D50" s="21">
        <f t="shared" ref="D50:F50" si="27">D49/D11</f>
        <v>0.14079717454355592</v>
      </c>
      <c r="E50" s="21">
        <f t="shared" si="27"/>
        <v>0.15452110933030372</v>
      </c>
      <c r="F50" s="31">
        <f t="shared" si="27"/>
        <v>0.15911136621574024</v>
      </c>
      <c r="G50" s="42">
        <f>AVERAGE($C$50:$F$50)</f>
        <v>0.14770846346679278</v>
      </c>
      <c r="H50" s="42">
        <f t="shared" ref="H50:K50" si="28">AVERAGE($C$50:$F$50)</f>
        <v>0.14770846346679278</v>
      </c>
      <c r="I50" s="42">
        <f t="shared" si="28"/>
        <v>0.14770846346679278</v>
      </c>
      <c r="J50" s="42">
        <f t="shared" si="28"/>
        <v>0.14770846346679278</v>
      </c>
      <c r="K50" s="42">
        <f t="shared" si="28"/>
        <v>0.14770846346679278</v>
      </c>
      <c r="L50" s="25"/>
    </row>
    <row r="51" spans="1:12" x14ac:dyDescent="0.2">
      <c r="A51" s="1"/>
      <c r="B51" s="61" t="s">
        <v>139</v>
      </c>
      <c r="C51" s="76">
        <f>'Balance Sheet SEC'!C24*1000000</f>
        <v>4061000000</v>
      </c>
      <c r="D51" s="76">
        <f>'Balance Sheet SEC'!D24*1000000</f>
        <v>6580000000</v>
      </c>
      <c r="E51" s="76">
        <f>'Balance Sheet SEC'!E24*1000000</f>
        <v>4946000000</v>
      </c>
      <c r="F51" s="77">
        <f>'Balance Sheet SEC'!F24*1000000</f>
        <v>6331000000</v>
      </c>
      <c r="G51" s="6">
        <f>G11*G52</f>
        <v>6399745897.5998878</v>
      </c>
      <c r="H51" s="6">
        <f t="shared" ref="H51:K51" si="29">H11*H52</f>
        <v>6847728110.43188</v>
      </c>
      <c r="I51" s="6">
        <f t="shared" si="29"/>
        <v>7258591797.0577927</v>
      </c>
      <c r="J51" s="6">
        <f t="shared" si="29"/>
        <v>7621521386.9106827</v>
      </c>
      <c r="K51" s="6">
        <f t="shared" si="29"/>
        <v>7964489849.3216629</v>
      </c>
      <c r="L51" s="25"/>
    </row>
    <row r="52" spans="1:12" x14ac:dyDescent="0.2">
      <c r="A52" s="1"/>
      <c r="B52" s="62" t="s">
        <v>323</v>
      </c>
      <c r="C52" s="21">
        <f>C51/C11</f>
        <v>1.4793362839917673E-2</v>
      </c>
      <c r="D52" s="21">
        <f t="shared" ref="D52:F52" si="30">D51/D11</f>
        <v>1.7987135644324893E-2</v>
      </c>
      <c r="E52" s="21">
        <f t="shared" si="30"/>
        <v>1.2542857722505123E-2</v>
      </c>
      <c r="F52" s="31">
        <f t="shared" si="30"/>
        <v>1.6517734844828262E-2</v>
      </c>
      <c r="G52" s="42">
        <f>AVERAGE($C$52:$F$52)</f>
        <v>1.5460272762893988E-2</v>
      </c>
      <c r="H52" s="42">
        <f t="shared" ref="H52:K52" si="31">AVERAGE($C$52:$F$52)</f>
        <v>1.5460272762893988E-2</v>
      </c>
      <c r="I52" s="42">
        <f t="shared" si="31"/>
        <v>1.5460272762893988E-2</v>
      </c>
      <c r="J52" s="42">
        <f t="shared" si="31"/>
        <v>1.5460272762893988E-2</v>
      </c>
      <c r="K52" s="42">
        <f t="shared" si="31"/>
        <v>1.5460272762893988E-2</v>
      </c>
      <c r="L52" s="25"/>
    </row>
    <row r="53" spans="1:12" x14ac:dyDescent="0.2">
      <c r="A53" s="1"/>
      <c r="B53" s="61" t="s">
        <v>140</v>
      </c>
      <c r="C53" s="89">
        <f>'Balance Sheet SEC'!C25*1000000</f>
        <v>11264000000</v>
      </c>
      <c r="D53" s="89">
        <f>'Balance Sheet SEC'!D25*1000000</f>
        <v>14111000000</v>
      </c>
      <c r="E53" s="89">
        <f>'Balance Sheet SEC'!E25*1000000</f>
        <v>21223000000</v>
      </c>
      <c r="F53" s="123">
        <f>'Balance Sheet SEC'!F25*1000000</f>
        <v>14695000000</v>
      </c>
      <c r="G53" s="89">
        <f>F53</f>
        <v>14695000000</v>
      </c>
      <c r="H53" s="89">
        <f t="shared" ref="H53:K53" si="32">G53</f>
        <v>14695000000</v>
      </c>
      <c r="I53" s="89">
        <f t="shared" si="32"/>
        <v>14695000000</v>
      </c>
      <c r="J53" s="89">
        <f t="shared" si="32"/>
        <v>14695000000</v>
      </c>
      <c r="K53" s="89">
        <f t="shared" si="32"/>
        <v>14695000000</v>
      </c>
      <c r="L53" s="25"/>
    </row>
    <row r="54" spans="1:12" ht="16" x14ac:dyDescent="0.2">
      <c r="A54" s="1"/>
      <c r="B54" s="63" t="s">
        <v>324</v>
      </c>
      <c r="C54" s="81">
        <f>C47+C48+C49+C51+C53</f>
        <v>143713000000</v>
      </c>
      <c r="D54" s="81">
        <f t="shared" ref="D54:F54" si="33">D47+D48+D49+D51+D53</f>
        <v>134836000000</v>
      </c>
      <c r="E54" s="81">
        <f t="shared" si="33"/>
        <v>135405000000</v>
      </c>
      <c r="F54" s="82">
        <f t="shared" si="33"/>
        <v>143566000000</v>
      </c>
      <c r="G54" s="81">
        <f>SUM(G47:G49,G51,G53)</f>
        <v>152316418607.74289</v>
      </c>
      <c r="H54" s="81">
        <f t="shared" ref="H54:K54" si="34">SUM(H47:H49,H51,H53)</f>
        <v>158631371989.75729</v>
      </c>
      <c r="I54" s="81">
        <f t="shared" si="34"/>
        <v>177196481024.66507</v>
      </c>
      <c r="J54" s="81">
        <f t="shared" si="34"/>
        <v>205742426557.70309</v>
      </c>
      <c r="K54" s="82">
        <f t="shared" si="34"/>
        <v>238048092176.47308</v>
      </c>
      <c r="L54" s="25"/>
    </row>
    <row r="55" spans="1:12" x14ac:dyDescent="0.2">
      <c r="A55" s="1"/>
      <c r="B55" s="60"/>
      <c r="C55" s="78"/>
      <c r="D55" s="78"/>
      <c r="E55" s="78"/>
      <c r="F55" s="79"/>
      <c r="K55" s="1"/>
      <c r="L55" s="25"/>
    </row>
    <row r="56" spans="1:12" x14ac:dyDescent="0.2">
      <c r="A56" s="1"/>
      <c r="B56" s="61" t="s">
        <v>325</v>
      </c>
      <c r="C56" s="89">
        <f>'Balance Sheet SEC'!C30*1000000</f>
        <v>36766000000</v>
      </c>
      <c r="D56" s="89">
        <f>'Balance Sheet SEC'!D30*1000000</f>
        <v>39440000000</v>
      </c>
      <c r="E56" s="89">
        <f>'Balance Sheet SEC'!E30*1000000</f>
        <v>42117000000</v>
      </c>
      <c r="F56" s="123">
        <f>'Balance Sheet SEC'!F30*1000000</f>
        <v>43715000000</v>
      </c>
      <c r="G56" s="89">
        <f>F56-G84-G115</f>
        <v>41991030655.695488</v>
      </c>
      <c r="H56" s="89">
        <f t="shared" ref="H56:K56" si="35">G56-H84-H115</f>
        <v>40146383457.289658</v>
      </c>
      <c r="I56" s="89">
        <f t="shared" si="35"/>
        <v>38191057426.979477</v>
      </c>
      <c r="J56" s="89">
        <f t="shared" si="35"/>
        <v>36137965095.153793</v>
      </c>
      <c r="K56" s="89">
        <f t="shared" si="35"/>
        <v>33992483608.39595</v>
      </c>
      <c r="L56" s="25"/>
    </row>
    <row r="57" spans="1:12" x14ac:dyDescent="0.2">
      <c r="A57" s="1"/>
      <c r="B57" s="61" t="s">
        <v>326</v>
      </c>
      <c r="C57" s="89">
        <f>'Balance Sheet SEC'!C29*1000000</f>
        <v>100887000000</v>
      </c>
      <c r="D57" s="89">
        <f>'Balance Sheet SEC'!D29*1000000</f>
        <v>127877000000</v>
      </c>
      <c r="E57" s="89">
        <f>'Balance Sheet SEC'!E29*1000000</f>
        <v>120805000000</v>
      </c>
      <c r="F57" s="123">
        <f>'Balance Sheet SEC'!F29*1000000</f>
        <v>100544000000</v>
      </c>
      <c r="G57" s="89">
        <f>F57</f>
        <v>100544000000</v>
      </c>
      <c r="H57" s="89">
        <f t="shared" ref="H57:K57" si="36">G57</f>
        <v>100544000000</v>
      </c>
      <c r="I57" s="89">
        <f t="shared" si="36"/>
        <v>100544000000</v>
      </c>
      <c r="J57" s="89">
        <f t="shared" si="36"/>
        <v>100544000000</v>
      </c>
      <c r="K57" s="89">
        <f t="shared" si="36"/>
        <v>100544000000</v>
      </c>
      <c r="L57" s="25"/>
    </row>
    <row r="58" spans="1:12" x14ac:dyDescent="0.2">
      <c r="A58" s="1"/>
      <c r="B58" s="61" t="s">
        <v>156</v>
      </c>
      <c r="C58" s="89">
        <f>'Balance Sheet SEC'!C31*1000000</f>
        <v>42522000000</v>
      </c>
      <c r="D58" s="89">
        <f>'Balance Sheet SEC'!D31*1000000</f>
        <v>48849000000</v>
      </c>
      <c r="E58" s="89">
        <f>'Balance Sheet SEC'!E31*1000000</f>
        <v>54428000000</v>
      </c>
      <c r="F58" s="123">
        <f>'Balance Sheet SEC'!F31*1000000</f>
        <v>64758000000</v>
      </c>
      <c r="G58" s="89">
        <f>F58</f>
        <v>64758000000</v>
      </c>
      <c r="H58" s="89">
        <f t="shared" ref="H58:K58" si="37">G58</f>
        <v>64758000000</v>
      </c>
      <c r="I58" s="89">
        <f t="shared" si="37"/>
        <v>64758000000</v>
      </c>
      <c r="J58" s="89">
        <f t="shared" si="37"/>
        <v>64758000000</v>
      </c>
      <c r="K58" s="89">
        <f t="shared" si="37"/>
        <v>64758000000</v>
      </c>
      <c r="L58" s="25"/>
    </row>
    <row r="59" spans="1:12" ht="16" x14ac:dyDescent="0.2">
      <c r="A59" s="1"/>
      <c r="B59" s="63" t="s">
        <v>157</v>
      </c>
      <c r="C59" s="89">
        <f>SUM(C56:C58)</f>
        <v>180175000000</v>
      </c>
      <c r="D59" s="89">
        <f t="shared" ref="D59:F59" si="38">SUM(D56:D58)</f>
        <v>216166000000</v>
      </c>
      <c r="E59" s="89">
        <f t="shared" si="38"/>
        <v>217350000000</v>
      </c>
      <c r="F59" s="123">
        <f t="shared" si="38"/>
        <v>209017000000</v>
      </c>
      <c r="G59" s="89">
        <f>SUM(G56:G58)</f>
        <v>207293030655.6955</v>
      </c>
      <c r="H59" s="89">
        <f t="shared" ref="H59:K59" si="39">SUM(H56:H58)</f>
        <v>205448383457.28967</v>
      </c>
      <c r="I59" s="89">
        <f t="shared" si="39"/>
        <v>203493057426.97949</v>
      </c>
      <c r="J59" s="89">
        <f t="shared" si="39"/>
        <v>201439965095.15381</v>
      </c>
      <c r="K59" s="89">
        <f t="shared" si="39"/>
        <v>199294483608.39594</v>
      </c>
      <c r="L59" s="25"/>
    </row>
    <row r="60" spans="1:12" x14ac:dyDescent="0.2">
      <c r="A60" s="1"/>
      <c r="B60" s="60"/>
      <c r="F60" s="1"/>
      <c r="K60" s="1"/>
      <c r="L60" s="25"/>
    </row>
    <row r="61" spans="1:12" ht="16" x14ac:dyDescent="0.2">
      <c r="A61" s="1"/>
      <c r="B61" s="63" t="s">
        <v>158</v>
      </c>
      <c r="C61" s="81">
        <f>C54+C59</f>
        <v>323888000000</v>
      </c>
      <c r="D61" s="81">
        <f t="shared" ref="D61:F61" si="40">D54+D59</f>
        <v>351002000000</v>
      </c>
      <c r="E61" s="81">
        <f t="shared" si="40"/>
        <v>352755000000</v>
      </c>
      <c r="F61" s="82">
        <f t="shared" si="40"/>
        <v>352583000000</v>
      </c>
      <c r="G61" s="110">
        <f>G54+G59</f>
        <v>359609449263.43835</v>
      </c>
      <c r="H61" s="110">
        <f t="shared" ref="H61:K61" si="41">H54+H59</f>
        <v>364079755447.047</v>
      </c>
      <c r="I61" s="110">
        <f t="shared" si="41"/>
        <v>380689538451.64453</v>
      </c>
      <c r="J61" s="110">
        <f t="shared" si="41"/>
        <v>407182391652.85693</v>
      </c>
      <c r="K61" s="99">
        <f t="shared" si="41"/>
        <v>437342575784.86902</v>
      </c>
      <c r="L61" s="25"/>
    </row>
    <row r="62" spans="1:12" x14ac:dyDescent="0.2">
      <c r="A62" s="1"/>
      <c r="B62" s="37"/>
      <c r="F62" s="1"/>
      <c r="K62" s="1"/>
      <c r="L62" s="25"/>
    </row>
    <row r="63" spans="1:12" x14ac:dyDescent="0.2">
      <c r="A63" s="1"/>
      <c r="B63" s="60"/>
      <c r="D63" s="129"/>
      <c r="E63" s="129"/>
      <c r="F63" s="129"/>
      <c r="K63" s="1"/>
      <c r="L63" s="25"/>
    </row>
    <row r="64" spans="1:12" ht="16" x14ac:dyDescent="0.2">
      <c r="A64" s="1"/>
      <c r="B64" s="74" t="s">
        <v>327</v>
      </c>
      <c r="F64" s="1"/>
      <c r="K64" s="1"/>
      <c r="L64" s="25"/>
    </row>
    <row r="65" spans="1:12" x14ac:dyDescent="0.2">
      <c r="A65" s="1"/>
      <c r="B65" s="61" t="s">
        <v>328</v>
      </c>
      <c r="C65" s="65">
        <f>'Balance Sheet SEC'!C37*1000000</f>
        <v>42296000000</v>
      </c>
      <c r="D65" s="65">
        <f>'Balance Sheet SEC'!D37*1000000</f>
        <v>54763000000</v>
      </c>
      <c r="E65" s="65">
        <f>'Balance Sheet SEC'!E37*1000000</f>
        <v>64115000000</v>
      </c>
      <c r="F65" s="75">
        <f>'Balance Sheet SEC'!F37*1000000</f>
        <v>62611000000</v>
      </c>
      <c r="G65" s="6">
        <f>G14*G66</f>
        <v>65324100905.771942</v>
      </c>
      <c r="H65" s="6">
        <f t="shared" ref="H65:K65" si="42">H14*H66</f>
        <v>71312747360.23111</v>
      </c>
      <c r="I65" s="6">
        <f t="shared" si="42"/>
        <v>76943651299.59816</v>
      </c>
      <c r="J65" s="6">
        <f t="shared" si="42"/>
        <v>80438754778.791428</v>
      </c>
      <c r="K65" s="6">
        <f t="shared" si="42"/>
        <v>83180903132.73114</v>
      </c>
      <c r="L65" s="25"/>
    </row>
    <row r="66" spans="1:12" ht="16" x14ac:dyDescent="0.2">
      <c r="A66" s="1"/>
      <c r="B66" s="64" t="s">
        <v>329</v>
      </c>
      <c r="C66" s="21">
        <f>C65/C14</f>
        <v>0.24944709511143615</v>
      </c>
      <c r="D66" s="21">
        <f t="shared" ref="D66:F66" si="43">D65/D14</f>
        <v>0.25712622252689205</v>
      </c>
      <c r="E66" s="21">
        <f t="shared" si="43"/>
        <v>0.28680897891261753</v>
      </c>
      <c r="F66" s="31">
        <f t="shared" si="43"/>
        <v>0.29238758364971956</v>
      </c>
      <c r="G66" s="42">
        <f>AVERAGE(C66:F66)</f>
        <v>0.27144247005016636</v>
      </c>
      <c r="H66" s="42">
        <f t="shared" ref="H66:K66" si="44">AVERAGE(D66:G66)</f>
        <v>0.27694131378484887</v>
      </c>
      <c r="I66" s="42">
        <f t="shared" si="44"/>
        <v>0.2818950865993381</v>
      </c>
      <c r="J66" s="42">
        <f t="shared" si="44"/>
        <v>0.28066661352101824</v>
      </c>
      <c r="K66" s="42">
        <f t="shared" si="44"/>
        <v>0.27773637098884291</v>
      </c>
      <c r="L66" s="25"/>
    </row>
    <row r="67" spans="1:12" x14ac:dyDescent="0.2">
      <c r="A67" s="1"/>
      <c r="B67" s="61" t="s">
        <v>330</v>
      </c>
      <c r="C67" s="89">
        <f>('Balance Sheet SEC'!C41+'Balance Sheet SEC'!C40)*1000000</f>
        <v>13769000000</v>
      </c>
      <c r="D67" s="89">
        <f>('Balance Sheet SEC'!D41+'Balance Sheet SEC'!D40)*1000000</f>
        <v>15613000000</v>
      </c>
      <c r="E67" s="89">
        <f>('Balance Sheet SEC'!E41+'Balance Sheet SEC'!E40)*1000000</f>
        <v>21110000000</v>
      </c>
      <c r="F67" s="123">
        <f>('Balance Sheet SEC'!F41+'Balance Sheet SEC'!F40)*1000000</f>
        <v>15807000000</v>
      </c>
      <c r="G67" s="89">
        <f>F67</f>
        <v>15807000000</v>
      </c>
      <c r="H67" s="89">
        <f t="shared" ref="H67:K67" si="45">G67</f>
        <v>15807000000</v>
      </c>
      <c r="I67" s="89">
        <f t="shared" si="45"/>
        <v>15807000000</v>
      </c>
      <c r="J67" s="89">
        <f t="shared" si="45"/>
        <v>15807000000</v>
      </c>
      <c r="K67" s="89">
        <f t="shared" si="45"/>
        <v>15807000000</v>
      </c>
      <c r="L67" s="25"/>
    </row>
    <row r="68" spans="1:12" x14ac:dyDescent="0.2">
      <c r="A68" s="1"/>
      <c r="B68" s="61" t="s">
        <v>331</v>
      </c>
      <c r="C68" s="89">
        <f>'Balance Sheet SEC'!C39*1000000</f>
        <v>6643000000</v>
      </c>
      <c r="D68" s="89">
        <f>'Balance Sheet SEC'!D39*1000000</f>
        <v>7612000000</v>
      </c>
      <c r="E68" s="89">
        <f>'Balance Sheet SEC'!E39*1000000</f>
        <v>7912000000</v>
      </c>
      <c r="F68" s="123">
        <f>'Balance Sheet SEC'!F39*1000000</f>
        <v>8061000000</v>
      </c>
      <c r="G68" s="6">
        <f>G11*G69</f>
        <v>8910549534.4944248</v>
      </c>
      <c r="H68" s="6">
        <f t="shared" ref="H68:K68" si="46">H11*H69</f>
        <v>9534288001.9090347</v>
      </c>
      <c r="I68" s="6">
        <f t="shared" si="46"/>
        <v>10106345282.023577</v>
      </c>
      <c r="J68" s="6">
        <f t="shared" si="46"/>
        <v>10611662546.124756</v>
      </c>
      <c r="K68" s="6">
        <f t="shared" si="46"/>
        <v>11089187360.700369</v>
      </c>
      <c r="L68" s="25"/>
    </row>
    <row r="69" spans="1:12" ht="16" x14ac:dyDescent="0.2">
      <c r="A69" s="1"/>
      <c r="B69" s="64" t="s">
        <v>332</v>
      </c>
      <c r="C69" s="21">
        <f>C68/C11</f>
        <v>2.419904194670601E-2</v>
      </c>
      <c r="D69" s="21">
        <f t="shared" ref="D69:F69" si="47">D68/D11</f>
        <v>2.0808218316808676E-2</v>
      </c>
      <c r="E69" s="21">
        <f t="shared" si="47"/>
        <v>2.0064514820149724E-2</v>
      </c>
      <c r="F69" s="31">
        <f t="shared" si="47"/>
        <v>2.1031347430763011E-2</v>
      </c>
      <c r="G69" s="42">
        <f>AVERAGE($C69:$F69)</f>
        <v>2.1525780628606855E-2</v>
      </c>
      <c r="H69" s="42">
        <f t="shared" ref="H69:K69" si="48">AVERAGE($C69:$F69)</f>
        <v>2.1525780628606855E-2</v>
      </c>
      <c r="I69" s="42">
        <f t="shared" si="48"/>
        <v>2.1525780628606855E-2</v>
      </c>
      <c r="J69" s="42">
        <f t="shared" si="48"/>
        <v>2.1525780628606855E-2</v>
      </c>
      <c r="K69" s="42">
        <f t="shared" si="48"/>
        <v>2.1525780628606855E-2</v>
      </c>
      <c r="L69" s="25"/>
    </row>
    <row r="70" spans="1:12" x14ac:dyDescent="0.2">
      <c r="A70" s="1"/>
      <c r="B70" s="61" t="s">
        <v>171</v>
      </c>
      <c r="C70" s="89">
        <f>'Balance Sheet SEC'!C38*1000000</f>
        <v>42684000000</v>
      </c>
      <c r="D70" s="89">
        <f>'Balance Sheet SEC'!D38*1000000</f>
        <v>47493000000</v>
      </c>
      <c r="E70" s="89">
        <f>'Balance Sheet SEC'!E38*1000000</f>
        <v>60845000000</v>
      </c>
      <c r="F70" s="123">
        <f>'Balance Sheet SEC'!F38*1000000</f>
        <v>58829000000</v>
      </c>
      <c r="G70" s="89">
        <f>AVERAGE(C70:F70)</f>
        <v>52462750000</v>
      </c>
      <c r="H70" s="89">
        <f t="shared" ref="H70:K70" si="49">AVERAGE(D70:G70)</f>
        <v>54907437500</v>
      </c>
      <c r="I70" s="89">
        <f t="shared" si="49"/>
        <v>56761046875</v>
      </c>
      <c r="J70" s="89">
        <f t="shared" si="49"/>
        <v>55740058593.75</v>
      </c>
      <c r="K70" s="89">
        <f t="shared" si="49"/>
        <v>54967823242.1875</v>
      </c>
      <c r="L70" s="25"/>
    </row>
    <row r="71" spans="1:12" ht="16" x14ac:dyDescent="0.2">
      <c r="A71" s="1"/>
      <c r="B71" s="63" t="s">
        <v>333</v>
      </c>
      <c r="C71" s="81">
        <f>SUM(C65:C70)</f>
        <v>105392000000.27365</v>
      </c>
      <c r="D71" s="81">
        <f t="shared" ref="D71:F71" si="50">SUM(D65:D70)</f>
        <v>125481000000.27794</v>
      </c>
      <c r="E71" s="81">
        <f t="shared" si="50"/>
        <v>153982000000.30688</v>
      </c>
      <c r="F71" s="82">
        <f t="shared" si="50"/>
        <v>145308000000.31342</v>
      </c>
      <c r="G71" s="110">
        <f>SUM(G65,G67:G68,G70)</f>
        <v>142504400440.26636</v>
      </c>
      <c r="H71" s="110">
        <f t="shared" ref="H71:K71" si="51">SUM(H65,H67:H68,H70)</f>
        <v>151561472862.14014</v>
      </c>
      <c r="I71" s="110">
        <f t="shared" si="51"/>
        <v>159618043456.62173</v>
      </c>
      <c r="J71" s="110">
        <f t="shared" si="51"/>
        <v>162597475918.6662</v>
      </c>
      <c r="K71" s="110">
        <f t="shared" si="51"/>
        <v>165044913735.61902</v>
      </c>
      <c r="L71" s="25"/>
    </row>
    <row r="72" spans="1:12" x14ac:dyDescent="0.2">
      <c r="A72" s="1"/>
      <c r="B72" s="60"/>
      <c r="F72" s="1"/>
      <c r="K72" s="1"/>
      <c r="L72" s="25"/>
    </row>
    <row r="73" spans="1:12" x14ac:dyDescent="0.2">
      <c r="A73" s="1"/>
      <c r="B73" s="61" t="s">
        <v>173</v>
      </c>
      <c r="C73" s="89">
        <f>'Balance Sheet SEC'!C45*1000000</f>
        <v>98667000000</v>
      </c>
      <c r="D73" s="89">
        <f>'Balance Sheet SEC'!D45*1000000</f>
        <v>109106000000</v>
      </c>
      <c r="E73" s="89">
        <f>'Balance Sheet SEC'!E45*1000000</f>
        <v>98959000000</v>
      </c>
      <c r="F73" s="123">
        <f>'Balance Sheet SEC'!F45*1000000</f>
        <v>95281000000</v>
      </c>
      <c r="G73" s="89">
        <f>F73</f>
        <v>95281000000</v>
      </c>
      <c r="H73" s="89">
        <f t="shared" ref="H73:K73" si="52">G73</f>
        <v>95281000000</v>
      </c>
      <c r="I73" s="89">
        <f t="shared" si="52"/>
        <v>95281000000</v>
      </c>
      <c r="J73" s="89">
        <f t="shared" si="52"/>
        <v>95281000000</v>
      </c>
      <c r="K73" s="89">
        <f t="shared" si="52"/>
        <v>95281000000</v>
      </c>
      <c r="L73" s="25"/>
    </row>
    <row r="74" spans="1:12" x14ac:dyDescent="0.2">
      <c r="A74" s="1"/>
      <c r="B74" s="61" t="s">
        <v>177</v>
      </c>
      <c r="C74" s="89">
        <f>'Balance Sheet SEC'!C46*1000000</f>
        <v>54490000000</v>
      </c>
      <c r="D74" s="89">
        <f>'Balance Sheet SEC'!D46*1000000</f>
        <v>53325000000</v>
      </c>
      <c r="E74" s="89">
        <f>'Balance Sheet SEC'!E46*1000000</f>
        <v>49142000000</v>
      </c>
      <c r="F74" s="123">
        <f>'Balance Sheet SEC'!F46*1000000</f>
        <v>49848000000</v>
      </c>
      <c r="G74" s="89">
        <f>F74</f>
        <v>49848000000</v>
      </c>
      <c r="H74" s="89">
        <f t="shared" ref="H74:K74" si="53">G74</f>
        <v>49848000000</v>
      </c>
      <c r="I74" s="89">
        <f>H74</f>
        <v>49848000000</v>
      </c>
      <c r="J74" s="89">
        <f t="shared" si="53"/>
        <v>49848000000</v>
      </c>
      <c r="K74" s="89">
        <f t="shared" si="53"/>
        <v>49848000000</v>
      </c>
      <c r="L74" s="25"/>
    </row>
    <row r="75" spans="1:12" ht="16" x14ac:dyDescent="0.2">
      <c r="A75" s="1"/>
      <c r="B75" s="63" t="s">
        <v>334</v>
      </c>
      <c r="C75" s="89">
        <f>C73+C74</f>
        <v>153157000000</v>
      </c>
      <c r="D75" s="89">
        <f>D73+D74</f>
        <v>162431000000</v>
      </c>
      <c r="E75" s="89">
        <f>E73+E74</f>
        <v>148101000000</v>
      </c>
      <c r="F75" s="123">
        <f>F73+F74</f>
        <v>145129000000</v>
      </c>
      <c r="G75" s="89">
        <f>SUM(G73:G74)</f>
        <v>145129000000</v>
      </c>
      <c r="H75" s="89">
        <f t="shared" ref="H75:K75" si="54">SUM(H73:H74)</f>
        <v>145129000000</v>
      </c>
      <c r="I75" s="89">
        <f t="shared" si="54"/>
        <v>145129000000</v>
      </c>
      <c r="J75" s="89">
        <f t="shared" si="54"/>
        <v>145129000000</v>
      </c>
      <c r="K75" s="89">
        <f t="shared" si="54"/>
        <v>145129000000</v>
      </c>
      <c r="L75" s="25"/>
    </row>
    <row r="76" spans="1:12" x14ac:dyDescent="0.2">
      <c r="A76" s="1"/>
      <c r="B76" s="60"/>
      <c r="F76" s="1"/>
      <c r="K76" s="1"/>
      <c r="L76" s="25"/>
    </row>
    <row r="77" spans="1:12" ht="16" x14ac:dyDescent="0.2">
      <c r="A77" s="1"/>
      <c r="B77" s="63" t="s">
        <v>335</v>
      </c>
      <c r="C77" s="110">
        <f>C75+C71</f>
        <v>258549000000.27365</v>
      </c>
      <c r="D77" s="110">
        <f t="shared" ref="D77:F77" si="55">D75+D71</f>
        <v>287912000000.27795</v>
      </c>
      <c r="E77" s="110">
        <f t="shared" si="55"/>
        <v>302083000000.30688</v>
      </c>
      <c r="F77" s="99">
        <f t="shared" si="55"/>
        <v>290437000000.31342</v>
      </c>
      <c r="G77" s="110">
        <f>G71+G75</f>
        <v>287633400440.26636</v>
      </c>
      <c r="H77" s="110">
        <f t="shared" ref="H77:K77" si="56">H71+H75</f>
        <v>296690472862.14014</v>
      </c>
      <c r="I77" s="110">
        <f t="shared" si="56"/>
        <v>304747043456.6217</v>
      </c>
      <c r="J77" s="110">
        <f t="shared" si="56"/>
        <v>307726475918.6662</v>
      </c>
      <c r="K77" s="99">
        <f t="shared" si="56"/>
        <v>310173913735.61902</v>
      </c>
      <c r="L77" s="25"/>
    </row>
    <row r="78" spans="1:12" ht="16" x14ac:dyDescent="0.2">
      <c r="A78" s="1"/>
      <c r="B78" s="63"/>
      <c r="C78" s="6"/>
      <c r="D78" s="6"/>
      <c r="E78" s="6"/>
      <c r="F78" s="47"/>
      <c r="K78" s="1"/>
      <c r="L78" s="25"/>
    </row>
    <row r="79" spans="1:12" ht="16" x14ac:dyDescent="0.2">
      <c r="A79" s="1"/>
      <c r="B79" s="63"/>
      <c r="C79" s="21"/>
      <c r="D79" s="21"/>
      <c r="E79" s="21"/>
      <c r="F79" s="21"/>
      <c r="G79" s="21"/>
      <c r="H79" s="21"/>
      <c r="I79" s="21"/>
      <c r="J79" s="21"/>
      <c r="K79" s="21"/>
      <c r="L79" s="25"/>
    </row>
    <row r="80" spans="1:12" x14ac:dyDescent="0.2">
      <c r="A80" s="1"/>
      <c r="B80" s="80"/>
      <c r="C80" s="2"/>
      <c r="D80" s="2"/>
      <c r="E80" s="2"/>
      <c r="F80" s="45"/>
      <c r="K80" s="1"/>
      <c r="L80" s="25"/>
    </row>
    <row r="81" spans="1:12" ht="31" customHeight="1" x14ac:dyDescent="0.25">
      <c r="A81" s="1"/>
      <c r="B81" s="84" t="s">
        <v>336</v>
      </c>
      <c r="C81" s="86">
        <f>C44</f>
        <v>2020</v>
      </c>
      <c r="D81" s="86">
        <f t="shared" ref="D81:J81" si="57">D44</f>
        <v>2021</v>
      </c>
      <c r="E81" s="86">
        <f t="shared" si="57"/>
        <v>2022</v>
      </c>
      <c r="F81" s="87">
        <f t="shared" si="57"/>
        <v>2023</v>
      </c>
      <c r="G81" s="85">
        <f t="shared" si="57"/>
        <v>2024</v>
      </c>
      <c r="H81" s="86">
        <f t="shared" si="57"/>
        <v>2025</v>
      </c>
      <c r="I81" s="86">
        <f t="shared" si="57"/>
        <v>2026</v>
      </c>
      <c r="J81" s="86">
        <f t="shared" si="57"/>
        <v>2027</v>
      </c>
      <c r="K81" s="87">
        <f>K44</f>
        <v>2028</v>
      </c>
      <c r="L81" s="40" t="s">
        <v>288</v>
      </c>
    </row>
    <row r="82" spans="1:12" ht="16" x14ac:dyDescent="0.2">
      <c r="A82" s="1"/>
      <c r="B82" s="120"/>
      <c r="C82" s="91"/>
      <c r="D82" s="91"/>
      <c r="E82" s="91"/>
      <c r="F82" s="92"/>
      <c r="K82" s="1"/>
      <c r="L82" s="25"/>
    </row>
    <row r="83" spans="1:12" ht="16" x14ac:dyDescent="0.2">
      <c r="A83" s="1"/>
      <c r="B83" s="63" t="s">
        <v>29</v>
      </c>
      <c r="C83" s="89">
        <f>'Cash Flow Statement SEC'!C22*1000000</f>
        <v>57411000000</v>
      </c>
      <c r="D83" s="89">
        <f>'Cash Flow Statement SEC'!D22*1000000</f>
        <v>94680000000</v>
      </c>
      <c r="E83" s="89">
        <f>'Cash Flow Statement SEC'!E22*1000000</f>
        <v>99803000000</v>
      </c>
      <c r="F83" s="123">
        <f>'Cash Flow Statement SEC'!F22*1000000</f>
        <v>96995000000</v>
      </c>
      <c r="G83" s="6">
        <f>G39</f>
        <v>112781050169.21031</v>
      </c>
      <c r="H83" s="6">
        <f t="shared" ref="H83:K83" si="58">H39</f>
        <v>119827807086.98483</v>
      </c>
      <c r="I83" s="6">
        <f t="shared" si="58"/>
        <v>126290689860.1438</v>
      </c>
      <c r="J83" s="6">
        <f t="shared" si="58"/>
        <v>131999569643.10083</v>
      </c>
      <c r="K83" s="6">
        <f t="shared" si="58"/>
        <v>137394461037.99527</v>
      </c>
      <c r="L83" s="25"/>
    </row>
    <row r="84" spans="1:12" x14ac:dyDescent="0.2">
      <c r="A84" s="1"/>
      <c r="B84" s="61" t="s">
        <v>24</v>
      </c>
      <c r="C84" s="89">
        <f>'Cash Flow Statement SEC'!C25*1000000</f>
        <v>11056000000</v>
      </c>
      <c r="D84" s="89">
        <f>'Cash Flow Statement SEC'!D25*1000000</f>
        <v>11284000000</v>
      </c>
      <c r="E84" s="89">
        <f>'Cash Flow Statement SEC'!E25*1000000</f>
        <v>11104000000</v>
      </c>
      <c r="F84" s="123">
        <f>'Cash Flow Statement SEC'!F25*1000000</f>
        <v>11519000000</v>
      </c>
      <c r="G84" s="6">
        <f>G11*G85</f>
        <v>13384313277.542477</v>
      </c>
      <c r="H84" s="6">
        <f t="shared" ref="H84:K84" si="59">H11*H85</f>
        <v>14321215206.970449</v>
      </c>
      <c r="I84" s="6">
        <f t="shared" si="59"/>
        <v>15180488119.388678</v>
      </c>
      <c r="J84" s="6">
        <f t="shared" si="59"/>
        <v>15939512525.35811</v>
      </c>
      <c r="K84" s="6">
        <f t="shared" si="59"/>
        <v>16656790588.999226</v>
      </c>
      <c r="L84" s="25"/>
    </row>
    <row r="85" spans="1:12" x14ac:dyDescent="0.2">
      <c r="A85" s="1"/>
      <c r="B85" s="62" t="s">
        <v>337</v>
      </c>
      <c r="C85" s="21">
        <f>C84/C11</f>
        <v>4.0274666229532081E-2</v>
      </c>
      <c r="D85" s="21">
        <f t="shared" ref="D85:F85" si="60">D84/D11</f>
        <v>3.084602410494865E-2</v>
      </c>
      <c r="E85" s="21">
        <f t="shared" si="60"/>
        <v>2.8159298857803657E-2</v>
      </c>
      <c r="F85" s="31">
        <f t="shared" si="60"/>
        <v>3.0053354553400212E-2</v>
      </c>
      <c r="G85" s="42">
        <f>AVERAGE($C85:$F85)</f>
        <v>3.2333335936421154E-2</v>
      </c>
      <c r="H85" s="42">
        <f t="shared" ref="H85:K85" si="61">AVERAGE($C85:$F85)</f>
        <v>3.2333335936421154E-2</v>
      </c>
      <c r="I85" s="42">
        <f t="shared" si="61"/>
        <v>3.2333335936421154E-2</v>
      </c>
      <c r="J85" s="42">
        <f t="shared" si="61"/>
        <v>3.2333335936421154E-2</v>
      </c>
      <c r="K85" s="42">
        <f t="shared" si="61"/>
        <v>3.2333335936421154E-2</v>
      </c>
      <c r="L85" s="25" t="s">
        <v>360</v>
      </c>
    </row>
    <row r="86" spans="1:12" x14ac:dyDescent="0.2">
      <c r="A86" s="1"/>
      <c r="B86" s="61" t="s">
        <v>235</v>
      </c>
      <c r="C86" s="89">
        <f>'Cash Flow Statement YFinance'!B5</f>
        <v>-215000000</v>
      </c>
      <c r="D86" s="89">
        <f>'Cash Flow Statement YFinance'!C5</f>
        <v>-4774000000</v>
      </c>
      <c r="E86" s="89">
        <f>'Cash Flow Statement YFinance'!D5</f>
        <v>895000000</v>
      </c>
      <c r="F86" s="123">
        <f>'Cash Flow Statement YFinance'!E5</f>
        <v>0</v>
      </c>
      <c r="G86" s="89">
        <f>F86</f>
        <v>0</v>
      </c>
      <c r="H86" s="89">
        <f t="shared" ref="H86:K86" si="62">G86</f>
        <v>0</v>
      </c>
      <c r="I86" s="89">
        <f t="shared" si="62"/>
        <v>0</v>
      </c>
      <c r="J86" s="89">
        <f t="shared" si="62"/>
        <v>0</v>
      </c>
      <c r="K86" s="89">
        <f t="shared" si="62"/>
        <v>0</v>
      </c>
      <c r="L86" s="25"/>
    </row>
    <row r="87" spans="1:12" x14ac:dyDescent="0.2">
      <c r="A87" s="1"/>
      <c r="B87" s="61" t="s">
        <v>237</v>
      </c>
      <c r="C87" s="89">
        <f>'Cash Flow Statement SEC'!C26*1000000</f>
        <v>6829000000</v>
      </c>
      <c r="D87" s="89">
        <f>'Cash Flow Statement SEC'!D26*1000000</f>
        <v>7906000000</v>
      </c>
      <c r="E87" s="89">
        <f>'Cash Flow Statement SEC'!E26*1000000</f>
        <v>9038000000</v>
      </c>
      <c r="F87" s="123">
        <f>'Cash Flow Statement SEC'!F26*1000000</f>
        <v>10833000000</v>
      </c>
      <c r="G87" s="89">
        <f>F87</f>
        <v>10833000000</v>
      </c>
      <c r="H87" s="89">
        <f t="shared" ref="H87:K87" si="63">G87</f>
        <v>10833000000</v>
      </c>
      <c r="I87" s="89">
        <f t="shared" si="63"/>
        <v>10833000000</v>
      </c>
      <c r="J87" s="89">
        <f t="shared" si="63"/>
        <v>10833000000</v>
      </c>
      <c r="K87" s="89">
        <f t="shared" si="63"/>
        <v>10833000000</v>
      </c>
      <c r="L87" s="25"/>
    </row>
    <row r="88" spans="1:12" x14ac:dyDescent="0.2">
      <c r="A88" s="1"/>
      <c r="B88" s="61" t="s">
        <v>248</v>
      </c>
      <c r="C88" s="89">
        <f>'Cash Flow Statement YFinance'!B18</f>
        <v>5690000000</v>
      </c>
      <c r="D88" s="89">
        <f>'Cash Flow Statement YFinance'!C18</f>
        <v>-4911000000</v>
      </c>
      <c r="E88" s="89">
        <f>'Cash Flow Statement YFinance'!D18</f>
        <v>1200000000</v>
      </c>
      <c r="F88" s="123">
        <f>'Cash Flow Statement YFinance'!E18</f>
        <v>-6577000000</v>
      </c>
      <c r="G88" s="89">
        <f>(F54-F71)-(G54-G71)</f>
        <v>-11554018167.789948</v>
      </c>
      <c r="H88" s="89">
        <f t="shared" ref="H88:J88" si="64">(G54-G71)-(H54-H71)</f>
        <v>2742119039.859375</v>
      </c>
      <c r="I88" s="89">
        <f t="shared" si="64"/>
        <v>-10508538440.426178</v>
      </c>
      <c r="J88" s="89">
        <f t="shared" si="64"/>
        <v>-25566513070.993561</v>
      </c>
      <c r="K88" s="89">
        <f t="shared" ref="K88" si="65">(J54-J71)-(K54-K71)</f>
        <v>-29858227801.817169</v>
      </c>
      <c r="L88" s="25"/>
    </row>
    <row r="89" spans="1:12" x14ac:dyDescent="0.2">
      <c r="A89" s="1"/>
      <c r="B89" s="61" t="s">
        <v>338</v>
      </c>
      <c r="C89" s="89">
        <f>'Cash Flow Statement SEC'!C30*1000000</f>
        <v>6917000000</v>
      </c>
      <c r="D89" s="89">
        <f>'Cash Flow Statement SEC'!D30*1000000</f>
        <v>-10125000000</v>
      </c>
      <c r="E89" s="89">
        <f>'Cash Flow Statement SEC'!E30*1000000</f>
        <v>-1823000000</v>
      </c>
      <c r="F89" s="123">
        <f>'Cash Flow Statement SEC'!F30*1000000</f>
        <v>-1688000000</v>
      </c>
      <c r="G89" s="89">
        <f>F49-G49</f>
        <v>-158593493.45924377</v>
      </c>
      <c r="H89" s="89">
        <f>G89</f>
        <v>-158593493.45924377</v>
      </c>
      <c r="I89" s="89">
        <f t="shared" ref="I89:K89" si="66">H89</f>
        <v>-158593493.45924377</v>
      </c>
      <c r="J89" s="89">
        <f t="shared" si="66"/>
        <v>-158593493.45924377</v>
      </c>
      <c r="K89" s="89">
        <f t="shared" si="66"/>
        <v>-158593493.45924377</v>
      </c>
      <c r="L89" s="25"/>
    </row>
    <row r="90" spans="1:12" x14ac:dyDescent="0.2">
      <c r="A90" s="1"/>
      <c r="B90" s="61" t="s">
        <v>139</v>
      </c>
      <c r="C90" s="89">
        <f>'Balance Sheet SEC'!C24*1000000</f>
        <v>4061000000</v>
      </c>
      <c r="D90" s="89">
        <f>'Balance Sheet SEC'!D24*1000000</f>
        <v>6580000000</v>
      </c>
      <c r="E90" s="89">
        <f>'Balance Sheet SEC'!E24*1000000</f>
        <v>4946000000</v>
      </c>
      <c r="F90" s="123">
        <f>'Balance Sheet SEC'!F24*1000000</f>
        <v>6331000000</v>
      </c>
      <c r="G90" s="89">
        <f>F51-G51</f>
        <v>-68745897.599887848</v>
      </c>
      <c r="H90" s="89">
        <f t="shared" ref="H90:K90" si="67">G51-H51</f>
        <v>-447982212.83199215</v>
      </c>
      <c r="I90" s="89">
        <f t="shared" si="67"/>
        <v>-410863686.62591267</v>
      </c>
      <c r="J90" s="89">
        <f t="shared" si="67"/>
        <v>-362929589.85289001</v>
      </c>
      <c r="K90" s="89">
        <f t="shared" si="67"/>
        <v>-342968462.41098022</v>
      </c>
      <c r="L90" s="25"/>
    </row>
    <row r="91" spans="1:12" x14ac:dyDescent="0.2">
      <c r="A91" s="1"/>
      <c r="B91" s="61" t="s">
        <v>339</v>
      </c>
      <c r="C91" s="89">
        <f>'Cash Flow Statement SEC'!C34*1000000</f>
        <v>-4062000000</v>
      </c>
      <c r="D91" s="89">
        <f>'Cash Flow Statement SEC'!D34*1000000</f>
        <v>12326000000</v>
      </c>
      <c r="E91" s="89">
        <f>'Cash Flow Statement SEC'!E34*1000000</f>
        <v>9448000000</v>
      </c>
      <c r="F91" s="123">
        <f>'Cash Flow Statement SEC'!F34*1000000</f>
        <v>-1889000000</v>
      </c>
      <c r="G91" s="89">
        <f>F65-G65</f>
        <v>-2713100905.7719421</v>
      </c>
      <c r="H91" s="89">
        <f t="shared" ref="H91:K91" si="68">G65-H65</f>
        <v>-5988646454.4591675</v>
      </c>
      <c r="I91" s="89">
        <f t="shared" si="68"/>
        <v>-5630903939.3670502</v>
      </c>
      <c r="J91" s="89">
        <f t="shared" si="68"/>
        <v>-3495103479.1932678</v>
      </c>
      <c r="K91" s="89">
        <f t="shared" si="68"/>
        <v>-2742148353.9397125</v>
      </c>
      <c r="L91" s="25"/>
    </row>
    <row r="92" spans="1:12" x14ac:dyDescent="0.2">
      <c r="A92" s="1"/>
      <c r="B92" s="61" t="s">
        <v>340</v>
      </c>
      <c r="C92" s="89">
        <f>'Cash Flow Statement YFinance'!B17</f>
        <v>2081000000</v>
      </c>
      <c r="D92" s="89">
        <f>'Cash Flow Statement YFinance'!C17</f>
        <v>1676000000</v>
      </c>
      <c r="E92" s="89">
        <f>'Cash Flow Statement YFinance'!D17</f>
        <v>478000000</v>
      </c>
      <c r="F92" s="123">
        <f>'Cash Flow Statement YFinance'!E17</f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25"/>
    </row>
    <row r="93" spans="1:12" x14ac:dyDescent="0.2">
      <c r="A93" s="1"/>
      <c r="B93" s="61" t="s">
        <v>238</v>
      </c>
      <c r="C93" s="89">
        <f>'Cash Flow Statement YFinance'!B8</f>
        <v>-97000000</v>
      </c>
      <c r="D93" s="89">
        <f>'Cash Flow Statement YFinance'!C8</f>
        <v>-4921000000</v>
      </c>
      <c r="E93" s="89">
        <f>'Cash Flow Statement YFinance'!D8</f>
        <v>1006000000</v>
      </c>
      <c r="F93" s="123">
        <f>'Cash Flow Statement YFinance'!E8</f>
        <v>-2227000000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25"/>
    </row>
    <row r="94" spans="1:12" ht="16" x14ac:dyDescent="0.2">
      <c r="A94" s="1"/>
      <c r="B94" s="63" t="s">
        <v>341</v>
      </c>
      <c r="C94" s="121">
        <f>'Cash Flow Statement SEC'!C36*1000000</f>
        <v>80674000000</v>
      </c>
      <c r="D94" s="121">
        <f>'Cash Flow Statement SEC'!D36*1000000</f>
        <v>104038000000</v>
      </c>
      <c r="E94" s="121">
        <f>'Cash Flow Statement SEC'!E36*1000000</f>
        <v>122151000000</v>
      </c>
      <c r="F94" s="122">
        <f>'Cash Flow Statement SEC'!F36*1000000</f>
        <v>110543000000</v>
      </c>
      <c r="G94" s="103">
        <f>SUM(G83:G84,G89:G93)</f>
        <v>123224923149.92172</v>
      </c>
      <c r="H94" s="103">
        <f t="shared" ref="H94:K94" si="69">SUM(H83:H84,H89:H93)</f>
        <v>127553800133.20488</v>
      </c>
      <c r="I94" s="103">
        <f t="shared" si="69"/>
        <v>135270816860.08028</v>
      </c>
      <c r="J94" s="103">
        <f t="shared" si="69"/>
        <v>143922455605.95352</v>
      </c>
      <c r="K94" s="103">
        <f t="shared" si="69"/>
        <v>150807541317.18457</v>
      </c>
      <c r="L94" s="25"/>
    </row>
    <row r="95" spans="1:12" x14ac:dyDescent="0.2">
      <c r="A95" s="1"/>
      <c r="B95" s="60"/>
      <c r="C95" s="89"/>
      <c r="D95" s="89"/>
      <c r="E95" s="89"/>
      <c r="F95" s="123"/>
      <c r="G95" s="20"/>
      <c r="H95" s="20"/>
      <c r="I95" s="20"/>
      <c r="J95" s="20"/>
      <c r="K95" s="20"/>
      <c r="L95" s="25"/>
    </row>
    <row r="96" spans="1:12" x14ac:dyDescent="0.2">
      <c r="A96" s="1"/>
      <c r="B96" s="61" t="s">
        <v>342</v>
      </c>
      <c r="C96" s="89">
        <f>'Cash Flow Statement SEC'!C42*1000000</f>
        <v>-7309000000</v>
      </c>
      <c r="D96" s="89">
        <f>'Cash Flow Statement SEC'!D42*1000000</f>
        <v>-11085000000</v>
      </c>
      <c r="E96" s="89">
        <f>'Cash Flow Statement SEC'!E42*1000000</f>
        <v>-10708000000</v>
      </c>
      <c r="F96" s="123">
        <f>'Cash Flow Statement SEC'!F42*1000000</f>
        <v>-10959000000</v>
      </c>
      <c r="G96" s="89">
        <f>G115</f>
        <v>-11660343933.237965</v>
      </c>
      <c r="H96" s="89">
        <f t="shared" ref="H96:K96" si="70">H115</f>
        <v>-12476568008.564621</v>
      </c>
      <c r="I96" s="89">
        <f t="shared" si="70"/>
        <v>-13225162089.078499</v>
      </c>
      <c r="J96" s="89">
        <f t="shared" si="70"/>
        <v>-13886420193.532423</v>
      </c>
      <c r="K96" s="89">
        <f t="shared" si="70"/>
        <v>-14511309102.241383</v>
      </c>
      <c r="L96" s="25"/>
    </row>
    <row r="97" spans="1:12" x14ac:dyDescent="0.2">
      <c r="A97" s="1"/>
      <c r="B97" s="61" t="s">
        <v>343</v>
      </c>
      <c r="C97" s="89">
        <f>'Cash Flow Statement YFinance'!B24</f>
        <v>-1524000000</v>
      </c>
      <c r="D97" s="89">
        <f>'Cash Flow Statement YFinance'!C24</f>
        <v>-33000000</v>
      </c>
      <c r="E97" s="89">
        <f>'Cash Flow Statement YFinance'!D24</f>
        <v>-306000000</v>
      </c>
      <c r="F97" s="123">
        <f>'Cash Flow Statement YFinance'!E24</f>
        <v>0</v>
      </c>
      <c r="G97" s="89"/>
      <c r="H97" s="89"/>
      <c r="I97" s="89"/>
      <c r="J97" s="89"/>
      <c r="K97" s="89"/>
      <c r="L97" s="25"/>
    </row>
    <row r="98" spans="1:12" x14ac:dyDescent="0.2">
      <c r="A98" s="1"/>
      <c r="B98" s="61" t="s">
        <v>344</v>
      </c>
      <c r="C98" s="89">
        <f>'Cash Flow Statement YFinance'!B25</f>
        <v>-114938000000</v>
      </c>
      <c r="D98" s="89">
        <f>'Cash Flow Statement YFinance'!C25</f>
        <v>-109558000000</v>
      </c>
      <c r="E98" s="89">
        <f>'Cash Flow Statement YFinance'!D25</f>
        <v>-76923000000</v>
      </c>
      <c r="F98" s="123">
        <f>'Cash Flow Statement YFinance'!E25</f>
        <v>-29513000000</v>
      </c>
      <c r="G98" s="89"/>
      <c r="H98" s="89"/>
      <c r="I98" s="89"/>
      <c r="J98" s="89"/>
      <c r="K98" s="89"/>
      <c r="L98" s="25"/>
    </row>
    <row r="99" spans="1:12" x14ac:dyDescent="0.2">
      <c r="A99" s="1"/>
      <c r="B99" s="61" t="s">
        <v>345</v>
      </c>
      <c r="C99" s="89">
        <f>'Cash Flow Statement YFinance'!B26</f>
        <v>120391000000</v>
      </c>
      <c r="D99" s="89">
        <f>'Cash Flow Statement YFinance'!C26</f>
        <v>106483000000</v>
      </c>
      <c r="E99" s="89">
        <f>'Cash Flow Statement YFinance'!D26</f>
        <v>67363000000</v>
      </c>
      <c r="F99" s="123">
        <f>'Cash Flow Statement YFinance'!E26</f>
        <v>45514000000</v>
      </c>
      <c r="G99" s="89"/>
      <c r="H99" s="89"/>
      <c r="I99" s="89"/>
      <c r="J99" s="89"/>
      <c r="K99" s="89"/>
      <c r="L99" s="25"/>
    </row>
    <row r="100" spans="1:12" x14ac:dyDescent="0.2">
      <c r="A100" s="1"/>
      <c r="B100" s="61" t="s">
        <v>346</v>
      </c>
      <c r="C100" s="89">
        <f>'Cash Flow Statement YFinance'!B28</f>
        <v>-909000000</v>
      </c>
      <c r="D100" s="89">
        <f>'Cash Flow Statement YFinance'!C28</f>
        <v>-385000000</v>
      </c>
      <c r="E100" s="89">
        <f>'Cash Flow Statement YFinance'!D28</f>
        <v>-2086000000</v>
      </c>
      <c r="F100" s="123">
        <f>'Cash Flow Statement YFinance'!E28</f>
        <v>-1337000000</v>
      </c>
      <c r="G100" s="89"/>
      <c r="H100" s="89"/>
      <c r="I100" s="89"/>
      <c r="J100" s="89"/>
      <c r="K100" s="89"/>
      <c r="L100" s="25"/>
    </row>
    <row r="101" spans="1:12" ht="16" x14ac:dyDescent="0.2">
      <c r="A101" s="1"/>
      <c r="B101" s="63" t="s">
        <v>347</v>
      </c>
      <c r="C101" s="121">
        <f>SUM(C96:C100)</f>
        <v>-4289000000</v>
      </c>
      <c r="D101" s="121">
        <f t="shared" ref="D101:F101" si="71">SUM(D96:D100)</f>
        <v>-14578000000</v>
      </c>
      <c r="E101" s="121">
        <f t="shared" si="71"/>
        <v>-22660000000</v>
      </c>
      <c r="F101" s="122">
        <f t="shared" si="71"/>
        <v>3705000000</v>
      </c>
      <c r="G101" s="124">
        <f>SUM(G96:G100)</f>
        <v>-11660343933.237965</v>
      </c>
      <c r="H101" s="121">
        <f t="shared" ref="H101:K101" si="72">SUM(H96:H100)</f>
        <v>-12476568008.564621</v>
      </c>
      <c r="I101" s="121">
        <f t="shared" si="72"/>
        <v>-13225162089.078499</v>
      </c>
      <c r="J101" s="121">
        <f t="shared" si="72"/>
        <v>-13886420193.532423</v>
      </c>
      <c r="K101" s="122">
        <f t="shared" si="72"/>
        <v>-14511309102.241383</v>
      </c>
      <c r="L101" s="25"/>
    </row>
    <row r="102" spans="1:12" x14ac:dyDescent="0.2">
      <c r="A102" s="1"/>
      <c r="B102" s="60"/>
      <c r="C102" s="89"/>
      <c r="D102" s="89"/>
      <c r="E102" s="89"/>
      <c r="F102" s="123"/>
      <c r="G102" s="89"/>
      <c r="H102" s="89"/>
      <c r="I102" s="89"/>
      <c r="J102" s="89"/>
      <c r="K102" s="89"/>
      <c r="L102" s="25"/>
    </row>
    <row r="103" spans="1:12" x14ac:dyDescent="0.2">
      <c r="A103" s="1"/>
      <c r="B103" s="61" t="s">
        <v>348</v>
      </c>
      <c r="C103" s="89">
        <f>'Cash Flow Statement SEC'!C53*1000000</f>
        <v>-12629000000</v>
      </c>
      <c r="D103" s="89">
        <f>'Cash Flow Statement SEC'!D53*1000000</f>
        <v>-8750000000</v>
      </c>
      <c r="E103" s="89">
        <f>'Cash Flow Statement SEC'!E53*1000000</f>
        <v>-9543000000</v>
      </c>
      <c r="F103" s="123">
        <f>'Cash Flow Statement SEC'!F53*1000000</f>
        <v>-11151000000</v>
      </c>
      <c r="G103" s="89">
        <f>AVERAGE($C$103:$F$103)</f>
        <v>-10518250000</v>
      </c>
      <c r="H103" s="89">
        <f t="shared" ref="H103:K103" si="73">AVERAGE($C$103:$F$103)</f>
        <v>-10518250000</v>
      </c>
      <c r="I103" s="89">
        <f t="shared" si="73"/>
        <v>-10518250000</v>
      </c>
      <c r="J103" s="89">
        <f t="shared" si="73"/>
        <v>-10518250000</v>
      </c>
      <c r="K103" s="89">
        <f t="shared" si="73"/>
        <v>-10518250000</v>
      </c>
      <c r="L103" s="25"/>
    </row>
    <row r="104" spans="1:12" x14ac:dyDescent="0.2">
      <c r="A104" s="1"/>
      <c r="B104" s="61" t="s">
        <v>349</v>
      </c>
      <c r="C104" s="89">
        <f>'Cash Flow Statement YFinance'!B36</f>
        <v>880000000</v>
      </c>
      <c r="D104" s="89">
        <f>'Cash Flow Statement YFinance'!C36</f>
        <v>1105000000</v>
      </c>
      <c r="E104" s="89">
        <f>'Cash Flow Statement YFinance'!D36</f>
        <v>0</v>
      </c>
      <c r="F104" s="123">
        <f>'Cash Flow Statement YFinance'!E36</f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25"/>
    </row>
    <row r="105" spans="1:12" x14ac:dyDescent="0.2">
      <c r="A105" s="1"/>
      <c r="B105" s="61" t="s">
        <v>350</v>
      </c>
      <c r="C105" s="89">
        <f>'Cash Flow Statement SEC'!C51*1000000</f>
        <v>-72358000000</v>
      </c>
      <c r="D105" s="89">
        <f>'Cash Flow Statement SEC'!D51*1000000</f>
        <v>-85971000000</v>
      </c>
      <c r="E105" s="89">
        <f>'Cash Flow Statement SEC'!E51*1000000</f>
        <v>-89402000000</v>
      </c>
      <c r="F105" s="123">
        <f>'Cash Flow Statement SEC'!F51*1000000</f>
        <v>-77550000000</v>
      </c>
      <c r="G105" s="89">
        <f>AVERAGE(C105:F105)</f>
        <v>-81320250000</v>
      </c>
      <c r="H105" s="89">
        <f t="shared" ref="H105:K105" si="74">AVERAGE(D105:G105)</f>
        <v>-83560812500</v>
      </c>
      <c r="I105" s="89">
        <f t="shared" si="74"/>
        <v>-82958265625</v>
      </c>
      <c r="J105" s="89">
        <f t="shared" si="74"/>
        <v>-81347332031.25</v>
      </c>
      <c r="K105" s="89">
        <f t="shared" si="74"/>
        <v>-82296665039.0625</v>
      </c>
      <c r="L105" s="25"/>
    </row>
    <row r="106" spans="1:12" x14ac:dyDescent="0.2">
      <c r="A106" s="1"/>
      <c r="B106" s="61" t="s">
        <v>351</v>
      </c>
      <c r="C106" s="89">
        <f>'Cash Flow Statement SEC'!C50*1000000</f>
        <v>-14081000000</v>
      </c>
      <c r="D106" s="89">
        <f>'Cash Flow Statement SEC'!D50*1000000</f>
        <v>-14467000000</v>
      </c>
      <c r="E106" s="89">
        <f>'Cash Flow Statement SEC'!E50*1000000</f>
        <v>-14841000000</v>
      </c>
      <c r="F106" s="123">
        <f>'Cash Flow Statement SEC'!F50*1000000</f>
        <v>-15025000000</v>
      </c>
      <c r="G106" s="89">
        <f>AVERAGE(C106:F106)</f>
        <v>-14603500000</v>
      </c>
      <c r="H106" s="89">
        <f t="shared" ref="H106:K106" si="75">AVERAGE(D106:G106)</f>
        <v>-14734125000</v>
      </c>
      <c r="I106" s="89">
        <f t="shared" si="75"/>
        <v>-14800906250</v>
      </c>
      <c r="J106" s="89">
        <f t="shared" si="75"/>
        <v>-14790882812.5</v>
      </c>
      <c r="K106" s="89">
        <f t="shared" si="75"/>
        <v>-14732353515.625</v>
      </c>
      <c r="L106" s="25"/>
    </row>
    <row r="107" spans="1:12" x14ac:dyDescent="0.2">
      <c r="A107" s="1"/>
      <c r="B107" s="61" t="s">
        <v>352</v>
      </c>
      <c r="C107" s="89">
        <f>(('Cash Flow Statement SEC'!C52+'Cash Flow Statement SEC'!C54+'Cash Flow Statement SEC'!C49+'Cash Flow Statement SEC'!C55)*1000000)-C104</f>
        <v>11368000000</v>
      </c>
      <c r="D107" s="89">
        <f>(('Cash Flow Statement SEC'!D52+'Cash Flow Statement SEC'!D54+'Cash Flow Statement SEC'!D49+'Cash Flow Statement SEC'!D55)*1000000)-D104</f>
        <v>14730000000</v>
      </c>
      <c r="E107" s="89">
        <f>(('Cash Flow Statement SEC'!E52+'Cash Flow Statement SEC'!E54+'Cash Flow Statement SEC'!E49+'Cash Flow Statement SEC'!E55)*1000000)-E104</f>
        <v>3037000000</v>
      </c>
      <c r="F107" s="123">
        <f>(('Cash Flow Statement SEC'!F52+'Cash Flow Statement SEC'!F54+'Cash Flow Statement SEC'!F49+'Cash Flow Statement SEC'!F55)*1000000)-F104</f>
        <v>-4762000000</v>
      </c>
      <c r="G107" s="89">
        <v>0</v>
      </c>
      <c r="H107" s="89">
        <v>0</v>
      </c>
      <c r="I107" s="89">
        <v>0</v>
      </c>
      <c r="J107" s="89">
        <v>0</v>
      </c>
      <c r="K107" s="89">
        <v>0</v>
      </c>
      <c r="L107" s="25"/>
    </row>
    <row r="108" spans="1:12" ht="16" x14ac:dyDescent="0.2">
      <c r="A108" s="1"/>
      <c r="B108" s="63" t="s">
        <v>353</v>
      </c>
      <c r="C108" s="121">
        <f>SUM(C103:C107)</f>
        <v>-86820000000</v>
      </c>
      <c r="D108" s="121">
        <f t="shared" ref="D108:F108" si="76">SUM(D103:D107)</f>
        <v>-93353000000</v>
      </c>
      <c r="E108" s="121">
        <f t="shared" si="76"/>
        <v>-110749000000</v>
      </c>
      <c r="F108" s="122">
        <f t="shared" si="76"/>
        <v>-108488000000</v>
      </c>
      <c r="G108" s="124">
        <f>SUM(G103:G107)</f>
        <v>-106442000000</v>
      </c>
      <c r="H108" s="121">
        <f t="shared" ref="H108:K108" si="77">SUM(H103:H107)</f>
        <v>-108813187500</v>
      </c>
      <c r="I108" s="121">
        <f t="shared" si="77"/>
        <v>-108277421875</v>
      </c>
      <c r="J108" s="121">
        <f t="shared" si="77"/>
        <v>-106656464843.75</v>
      </c>
      <c r="K108" s="122">
        <f t="shared" si="77"/>
        <v>-107547268554.6875</v>
      </c>
      <c r="L108" s="25"/>
    </row>
    <row r="109" spans="1:12" x14ac:dyDescent="0.2">
      <c r="A109" s="1"/>
      <c r="B109" s="60"/>
      <c r="C109" s="89"/>
      <c r="D109" s="89"/>
      <c r="E109" s="89"/>
      <c r="F109" s="123"/>
      <c r="K109" s="1"/>
      <c r="L109" s="25"/>
    </row>
    <row r="110" spans="1:12" x14ac:dyDescent="0.2">
      <c r="A110" s="1"/>
      <c r="B110" s="61" t="s">
        <v>354</v>
      </c>
      <c r="C110" s="89">
        <f>0</f>
        <v>0</v>
      </c>
      <c r="D110" s="89">
        <f>0</f>
        <v>0</v>
      </c>
      <c r="E110" s="89">
        <f>0</f>
        <v>0</v>
      </c>
      <c r="F110" s="123">
        <f>0</f>
        <v>0</v>
      </c>
      <c r="K110" s="1"/>
      <c r="L110" s="25"/>
    </row>
    <row r="111" spans="1:12" x14ac:dyDescent="0.2">
      <c r="A111" s="1"/>
      <c r="B111" s="61" t="s">
        <v>355</v>
      </c>
      <c r="C111" s="121">
        <f>'Cash Flow Statement SEC'!C59*1000000</f>
        <v>-10435000000</v>
      </c>
      <c r="D111" s="121">
        <f>'Cash Flow Statement SEC'!D59*1000000</f>
        <v>-3860000000</v>
      </c>
      <c r="E111" s="121">
        <f>'Cash Flow Statement SEC'!E59*1000000</f>
        <v>-10952000000</v>
      </c>
      <c r="F111" s="122">
        <f>'Cash Flow Statement SEC'!F59*1000000</f>
        <v>5760000000</v>
      </c>
      <c r="G111" s="110">
        <f>G94+G101+G108</f>
        <v>5122579216.6837616</v>
      </c>
      <c r="H111" s="110">
        <f t="shared" ref="H111:K111" si="78">H94+H101+H108</f>
        <v>6264044624.6402588</v>
      </c>
      <c r="I111" s="110">
        <f t="shared" si="78"/>
        <v>13768232896.00177</v>
      </c>
      <c r="J111" s="110">
        <f t="shared" si="78"/>
        <v>23379570568.671097</v>
      </c>
      <c r="K111" s="110">
        <f t="shared" si="78"/>
        <v>28748963660.255692</v>
      </c>
      <c r="L111" s="25"/>
    </row>
    <row r="112" spans="1:12" x14ac:dyDescent="0.2">
      <c r="A112" s="1"/>
      <c r="B112" s="61" t="s">
        <v>356</v>
      </c>
      <c r="C112" s="89">
        <f>'Cash Flow Statement SEC'!C61*1000000</f>
        <v>39789000000</v>
      </c>
      <c r="D112" s="89">
        <f>'Cash Flow Statement SEC'!D61*1000000</f>
        <v>35929000000</v>
      </c>
      <c r="E112" s="89">
        <f>'Cash Flow Statement SEC'!E61*1000000</f>
        <v>24977000000</v>
      </c>
      <c r="F112" s="123">
        <f>'Cash Flow Statement SEC'!F61*1000000</f>
        <v>30737000000</v>
      </c>
      <c r="G112" s="6">
        <f>G111+G113</f>
        <v>35859579216.683762</v>
      </c>
      <c r="H112" s="6">
        <f t="shared" ref="H112:K112" si="79">H111+H113</f>
        <v>42123623841.32402</v>
      </c>
      <c r="I112" s="6">
        <f t="shared" si="79"/>
        <v>55891856737.32579</v>
      </c>
      <c r="J112" s="6">
        <f t="shared" si="79"/>
        <v>79271427305.996887</v>
      </c>
      <c r="K112" s="6">
        <f t="shared" si="79"/>
        <v>108020390966.25258</v>
      </c>
      <c r="L112" s="25"/>
    </row>
    <row r="113" spans="1:12" x14ac:dyDescent="0.2">
      <c r="A113" s="1"/>
      <c r="B113" s="61" t="s">
        <v>357</v>
      </c>
      <c r="C113" s="89">
        <f>'Cash Flow Statement YFinance'!B45</f>
        <v>50224000000</v>
      </c>
      <c r="D113" s="89">
        <f>C112</f>
        <v>39789000000</v>
      </c>
      <c r="E113" s="89">
        <f t="shared" ref="E113:F113" si="80">D112</f>
        <v>35929000000</v>
      </c>
      <c r="F113" s="123">
        <f t="shared" si="80"/>
        <v>24977000000</v>
      </c>
      <c r="G113" s="65">
        <f>F112</f>
        <v>30737000000</v>
      </c>
      <c r="H113" s="65">
        <f t="shared" ref="H113:K113" si="81">G112</f>
        <v>35859579216.683762</v>
      </c>
      <c r="I113" s="65">
        <f t="shared" si="81"/>
        <v>42123623841.32402</v>
      </c>
      <c r="J113" s="65">
        <f t="shared" si="81"/>
        <v>55891856737.32579</v>
      </c>
      <c r="K113" s="65">
        <f t="shared" si="81"/>
        <v>79271427305.996887</v>
      </c>
      <c r="L113" s="25"/>
    </row>
    <row r="114" spans="1:12" x14ac:dyDescent="0.2">
      <c r="A114" s="1"/>
      <c r="B114" s="61" t="s">
        <v>250</v>
      </c>
      <c r="C114" s="89">
        <f>C94</f>
        <v>80674000000</v>
      </c>
      <c r="D114" s="89">
        <f t="shared" ref="D114:F114" si="82">D94</f>
        <v>104038000000</v>
      </c>
      <c r="E114" s="89">
        <f t="shared" si="82"/>
        <v>122151000000</v>
      </c>
      <c r="F114" s="123">
        <f t="shared" si="82"/>
        <v>110543000000</v>
      </c>
      <c r="G114" s="6">
        <f>G94</f>
        <v>123224923149.92172</v>
      </c>
      <c r="H114" s="6">
        <f t="shared" ref="H114:K114" si="83">H94</f>
        <v>127553800133.20488</v>
      </c>
      <c r="I114" s="6">
        <f t="shared" si="83"/>
        <v>135270816860.08028</v>
      </c>
      <c r="J114" s="6">
        <f t="shared" si="83"/>
        <v>143922455605.95352</v>
      </c>
      <c r="K114" s="6">
        <f t="shared" si="83"/>
        <v>150807541317.18457</v>
      </c>
      <c r="L114" s="25"/>
    </row>
    <row r="115" spans="1:12" x14ac:dyDescent="0.2">
      <c r="A115" s="1"/>
      <c r="B115" s="61" t="s">
        <v>279</v>
      </c>
      <c r="C115" s="89">
        <f>'Cash Flow Statement YFinance'!B49</f>
        <v>-7309000000</v>
      </c>
      <c r="D115" s="89">
        <f>'Cash Flow Statement YFinance'!C49</f>
        <v>-11085000000</v>
      </c>
      <c r="E115" s="89">
        <f>'Cash Flow Statement YFinance'!D49</f>
        <v>-10708000000</v>
      </c>
      <c r="F115" s="123">
        <f>'Cash Flow Statement YFinance'!E49</f>
        <v>-10959000000</v>
      </c>
      <c r="G115" s="6">
        <f>G11*G116</f>
        <v>-11660343933.237965</v>
      </c>
      <c r="H115" s="6">
        <f t="shared" ref="H115:K115" si="84">H11*H116</f>
        <v>-12476568008.564621</v>
      </c>
      <c r="I115" s="6">
        <f t="shared" si="84"/>
        <v>-13225162089.078499</v>
      </c>
      <c r="J115" s="6">
        <f t="shared" si="84"/>
        <v>-13886420193.532423</v>
      </c>
      <c r="K115" s="6">
        <f t="shared" si="84"/>
        <v>-14511309102.241383</v>
      </c>
      <c r="L115" s="25"/>
    </row>
    <row r="116" spans="1:12" ht="16" x14ac:dyDescent="0.2">
      <c r="A116" s="1"/>
      <c r="B116" s="64" t="s">
        <v>358</v>
      </c>
      <c r="C116" s="21">
        <f>C115/C11</f>
        <v>-2.6625138881299748E-2</v>
      </c>
      <c r="D116" s="21">
        <f t="shared" ref="D116:F116" si="85">D115/D11</f>
        <v>-3.0302036264033657E-2</v>
      </c>
      <c r="E116" s="21">
        <f t="shared" si="85"/>
        <v>-2.7155058732831552E-2</v>
      </c>
      <c r="F116" s="31">
        <f t="shared" si="85"/>
        <v>-2.859230076835775E-2</v>
      </c>
      <c r="G116" s="48">
        <f>AVERAGE($C$116:$F$116)</f>
        <v>-2.8168633661630679E-2</v>
      </c>
      <c r="H116" s="48">
        <f t="shared" ref="H116:K116" si="86">AVERAGE($C$116:$F$116)</f>
        <v>-2.8168633661630679E-2</v>
      </c>
      <c r="I116" s="48">
        <f t="shared" si="86"/>
        <v>-2.8168633661630679E-2</v>
      </c>
      <c r="J116" s="48">
        <f t="shared" si="86"/>
        <v>-2.8168633661630679E-2</v>
      </c>
      <c r="K116" s="48">
        <f t="shared" si="86"/>
        <v>-2.8168633661630679E-2</v>
      </c>
      <c r="L116" s="25"/>
    </row>
    <row r="117" spans="1:12" ht="16" x14ac:dyDescent="0.2">
      <c r="A117" s="1"/>
      <c r="B117" s="83" t="s">
        <v>284</v>
      </c>
      <c r="C117" s="121">
        <f>'Cash Flow Statement YFinance'!B54</f>
        <v>73365000000</v>
      </c>
      <c r="D117" s="121">
        <f>'Cash Flow Statement YFinance'!C54</f>
        <v>92953000000</v>
      </c>
      <c r="E117" s="121">
        <f>'Cash Flow Statement YFinance'!D54</f>
        <v>111443000000</v>
      </c>
      <c r="F117" s="122">
        <f>'Cash Flow Statement YFinance'!E54</f>
        <v>99584000000</v>
      </c>
      <c r="G117" s="110">
        <f>SUM(G114:G115)</f>
        <v>111564579216.68376</v>
      </c>
      <c r="H117" s="128">
        <f>H36+H84-H88-H115</f>
        <v>164533749857.95569</v>
      </c>
      <c r="I117" s="128">
        <f t="shared" ref="I117:K117" si="87">I36+I84-I88-I115</f>
        <v>186968924710.02322</v>
      </c>
      <c r="J117" s="128">
        <f t="shared" si="87"/>
        <v>210139889685.66467</v>
      </c>
      <c r="K117" s="128">
        <f t="shared" si="87"/>
        <v>222098380292.58331</v>
      </c>
      <c r="L117" s="25"/>
    </row>
    <row r="118" spans="1:12" x14ac:dyDescent="0.2">
      <c r="H118" s="20"/>
    </row>
    <row r="125" spans="1:12" x14ac:dyDescent="0.2">
      <c r="C125">
        <v>16120000000</v>
      </c>
      <c r="D125" s="129"/>
      <c r="E125" s="129"/>
      <c r="F125" s="1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98"/>
  <sheetViews>
    <sheetView showGridLines="0" zoomScale="95" workbookViewId="0">
      <selection activeCell="C5" sqref="C5"/>
    </sheetView>
  </sheetViews>
  <sheetFormatPr baseColWidth="10" defaultRowHeight="15" x14ac:dyDescent="0.2"/>
  <cols>
    <col min="1" max="1" width="3.6640625" customWidth="1"/>
    <col min="2" max="2" width="25.6640625" customWidth="1"/>
    <col min="3" max="3" width="23.33203125" customWidth="1"/>
    <col min="4" max="4" width="22" customWidth="1"/>
    <col min="5" max="6" width="23.33203125" customWidth="1"/>
    <col min="7" max="7" width="22" customWidth="1"/>
    <col min="8" max="9" width="23.33203125" customWidth="1"/>
    <col min="10" max="10" width="19.5" bestFit="1" customWidth="1"/>
    <col min="11" max="11" width="18.33203125" customWidth="1"/>
    <col min="12" max="12" width="19.33203125" bestFit="1" customWidth="1"/>
    <col min="13" max="13" width="29.33203125" bestFit="1" customWidth="1"/>
    <col min="14" max="14" width="19" bestFit="1" customWidth="1"/>
    <col min="15" max="18" width="19.5" bestFit="1" customWidth="1"/>
    <col min="19" max="19" width="17.33203125" bestFit="1" customWidth="1"/>
    <col min="20" max="25" width="17.1640625" customWidth="1"/>
    <col min="26" max="26" width="18.5" bestFit="1" customWidth="1"/>
    <col min="27" max="27" width="18.33203125" bestFit="1" customWidth="1"/>
  </cols>
  <sheetData>
    <row r="2" spans="2:15" ht="30" customHeight="1" x14ac:dyDescent="0.2">
      <c r="B2" s="56" t="s">
        <v>293</v>
      </c>
      <c r="C2" s="57"/>
      <c r="E2" s="56" t="s">
        <v>304</v>
      </c>
      <c r="F2" s="58"/>
    </row>
    <row r="3" spans="2:15" x14ac:dyDescent="0.2">
      <c r="B3" s="37" t="s">
        <v>295</v>
      </c>
      <c r="C3" s="94">
        <f>F20</f>
        <v>0.10069769946768635</v>
      </c>
      <c r="E3" s="37" t="s">
        <v>305</v>
      </c>
      <c r="F3" s="94">
        <v>3.8100000000000002E-2</v>
      </c>
    </row>
    <row r="4" spans="2:15" x14ac:dyDescent="0.2">
      <c r="B4" s="37"/>
      <c r="C4" s="1"/>
      <c r="E4" s="37" t="s">
        <v>306</v>
      </c>
      <c r="F4" s="95">
        <v>3.7400000000000003E-2</v>
      </c>
    </row>
    <row r="5" spans="2:15" x14ac:dyDescent="0.2">
      <c r="B5" s="37" t="s">
        <v>294</v>
      </c>
      <c r="C5" s="31">
        <v>0.04</v>
      </c>
      <c r="E5" s="37"/>
      <c r="F5" s="1"/>
    </row>
    <row r="6" spans="2:15" x14ac:dyDescent="0.2">
      <c r="B6" s="37" t="s">
        <v>296</v>
      </c>
      <c r="C6" s="30">
        <f>(G27*(1+C5))/(C3-C5)</f>
        <v>3805454202218.2368</v>
      </c>
      <c r="E6" s="37" t="s">
        <v>307</v>
      </c>
      <c r="F6" s="94">
        <f>AVERAGE(F3:F4)</f>
        <v>3.7750000000000006E-2</v>
      </c>
    </row>
    <row r="7" spans="2:15" x14ac:dyDescent="0.2">
      <c r="B7" s="37"/>
      <c r="C7" s="1"/>
      <c r="E7" s="37" t="s">
        <v>308</v>
      </c>
      <c r="F7" s="1">
        <v>1.18</v>
      </c>
    </row>
    <row r="8" spans="2:15" x14ac:dyDescent="0.2">
      <c r="B8" s="37" t="s">
        <v>297</v>
      </c>
      <c r="C8" s="111">
        <f>C6/((1+C3)^5)</f>
        <v>2355408325618.8989</v>
      </c>
      <c r="E8" s="37" t="s">
        <v>359</v>
      </c>
      <c r="F8" s="96">
        <v>5.5E-2</v>
      </c>
      <c r="H8" s="126"/>
      <c r="I8" s="89"/>
      <c r="K8" s="126"/>
    </row>
    <row r="9" spans="2:15" x14ac:dyDescent="0.2">
      <c r="B9" s="37" t="s">
        <v>298</v>
      </c>
      <c r="C9" s="112">
        <f>SUM(C28:G28)</f>
        <v>658003504117.43372</v>
      </c>
      <c r="E9" s="59" t="s">
        <v>309</v>
      </c>
      <c r="F9" s="97">
        <f>F6+F7*(F8)</f>
        <v>0.10265000000000001</v>
      </c>
      <c r="H9" s="126"/>
      <c r="I9" s="89"/>
    </row>
    <row r="10" spans="2:15" x14ac:dyDescent="0.2">
      <c r="B10" s="37" t="s">
        <v>299</v>
      </c>
      <c r="C10" s="113">
        <f>SUM(C8:C9)</f>
        <v>3013411829736.3325</v>
      </c>
      <c r="E10" s="37"/>
      <c r="F10" s="1"/>
    </row>
    <row r="11" spans="2:15" x14ac:dyDescent="0.2">
      <c r="B11" s="37"/>
      <c r="C11" s="1"/>
      <c r="E11" s="37" t="s">
        <v>310</v>
      </c>
      <c r="F11" s="49">
        <f>'Statement Model'!C7</f>
        <v>0.14699999999999999</v>
      </c>
    </row>
    <row r="12" spans="2:15" x14ac:dyDescent="0.2">
      <c r="B12" s="37" t="s">
        <v>300</v>
      </c>
      <c r="C12" s="1"/>
      <c r="E12" s="37" t="s">
        <v>311</v>
      </c>
      <c r="F12" s="98">
        <v>3416000000000</v>
      </c>
    </row>
    <row r="13" spans="2:15" x14ac:dyDescent="0.2">
      <c r="B13" s="37" t="s">
        <v>301</v>
      </c>
      <c r="C13" s="113">
        <f>C10-C12</f>
        <v>3013411829736.3325</v>
      </c>
      <c r="E13" s="37" t="s">
        <v>312</v>
      </c>
      <c r="F13" s="75">
        <f>'Balance Sheet SEC'!F20*1000000</f>
        <v>29965000000</v>
      </c>
    </row>
    <row r="14" spans="2:15" x14ac:dyDescent="0.2">
      <c r="B14" s="37"/>
      <c r="C14" s="1"/>
      <c r="E14" s="37" t="s">
        <v>313</v>
      </c>
      <c r="F14" s="20">
        <f>'Statement Model'!F67+'Statement Model'!F73</f>
        <v>111088000000</v>
      </c>
      <c r="K14" s="127"/>
      <c r="L14" s="127"/>
      <c r="M14" s="127"/>
      <c r="N14" s="127"/>
      <c r="O14" s="127"/>
    </row>
    <row r="15" spans="2:15" x14ac:dyDescent="0.2">
      <c r="B15" s="37" t="s">
        <v>302</v>
      </c>
      <c r="C15" s="114">
        <f>C13/'Statement Model'!C6</f>
        <v>195.6017133832961</v>
      </c>
      <c r="E15" s="59" t="s">
        <v>314</v>
      </c>
      <c r="F15" s="99">
        <f>F12-F13+F14</f>
        <v>3497123000000</v>
      </c>
    </row>
    <row r="16" spans="2:15" x14ac:dyDescent="0.2">
      <c r="B16" s="37" t="s">
        <v>303</v>
      </c>
      <c r="C16" s="114">
        <f>'Statement Model'!C5</f>
        <v>224.72</v>
      </c>
      <c r="E16" s="37"/>
      <c r="F16" s="1"/>
      <c r="K16" s="20"/>
      <c r="L16" s="20"/>
      <c r="M16" s="20"/>
      <c r="N16" s="20"/>
      <c r="O16" s="20"/>
    </row>
    <row r="17" spans="2:16" x14ac:dyDescent="0.2">
      <c r="B17" s="37"/>
      <c r="C17" s="1"/>
      <c r="E17" s="37" t="s">
        <v>315</v>
      </c>
      <c r="F17" s="93">
        <f>F14</f>
        <v>111088000000</v>
      </c>
      <c r="K17" s="20"/>
      <c r="L17" s="20"/>
      <c r="M17" s="20"/>
      <c r="N17" s="20"/>
      <c r="O17" s="20"/>
    </row>
    <row r="18" spans="2:16" x14ac:dyDescent="0.2">
      <c r="B18" s="60" t="str">
        <f>IF(C18&gt;0,"Potential Upside ($)","Potential Downside ($)")</f>
        <v>Potential Downside ($)</v>
      </c>
      <c r="C18" s="115">
        <f>C15-C16</f>
        <v>-29.118286616703898</v>
      </c>
      <c r="E18" s="37" t="s">
        <v>316</v>
      </c>
      <c r="F18" s="132">
        <v>4.5999999999999999E-2</v>
      </c>
      <c r="K18" s="20"/>
      <c r="L18" s="20"/>
      <c r="M18" s="20"/>
      <c r="N18" s="20"/>
      <c r="O18" s="20"/>
      <c r="P18" s="20"/>
    </row>
    <row r="19" spans="2:16" x14ac:dyDescent="0.2">
      <c r="B19" s="80" t="str">
        <f>IF(C19&gt;0,"Potential Upside (%)","Potential Downside (%)")</f>
        <v>Potential Downside (%)</v>
      </c>
      <c r="C19" s="116">
        <f>C18/C16</f>
        <v>-0.12957585714090378</v>
      </c>
      <c r="E19" s="37"/>
      <c r="F19" s="1"/>
      <c r="K19" s="20"/>
      <c r="L19" s="20"/>
      <c r="M19" s="20"/>
      <c r="N19" s="20"/>
      <c r="O19" s="20"/>
    </row>
    <row r="20" spans="2:16" x14ac:dyDescent="0.2">
      <c r="E20" s="51" t="s">
        <v>317</v>
      </c>
      <c r="F20" s="100">
        <f>(F15/(F15+F17))*F9+(F17/(F15+F17))*F18*(1-F11)</f>
        <v>0.10069769946768635</v>
      </c>
      <c r="K20" s="88"/>
      <c r="L20" s="88"/>
      <c r="M20" s="88"/>
      <c r="N20" s="88"/>
      <c r="O20" s="88"/>
    </row>
    <row r="22" spans="2:16" x14ac:dyDescent="0.2">
      <c r="K22" s="20"/>
      <c r="L22" s="20"/>
      <c r="M22" s="20"/>
      <c r="N22" s="20"/>
    </row>
    <row r="23" spans="2:16" ht="39" customHeight="1" x14ac:dyDescent="0.2">
      <c r="B23" s="54" t="s">
        <v>291</v>
      </c>
      <c r="C23" s="52">
        <f>'Statement Model'!G9</f>
        <v>2024</v>
      </c>
      <c r="D23" s="52">
        <f>'Statement Model'!H9</f>
        <v>2025</v>
      </c>
      <c r="E23" s="52">
        <f>'Statement Model'!I9</f>
        <v>2026</v>
      </c>
      <c r="F23" s="52">
        <f>'Statement Model'!J9</f>
        <v>2027</v>
      </c>
      <c r="G23" s="53">
        <f>'Statement Model'!K9</f>
        <v>2028</v>
      </c>
    </row>
    <row r="24" spans="2:16" x14ac:dyDescent="0.2">
      <c r="B24" s="25"/>
      <c r="G24" s="1"/>
      <c r="J24" s="127"/>
      <c r="K24" s="20"/>
    </row>
    <row r="25" spans="2:16" x14ac:dyDescent="0.2">
      <c r="B25" s="34" t="s">
        <v>21</v>
      </c>
      <c r="C25" s="6">
        <f>'Statement Model'!G27</f>
        <v>118016361041.27524</v>
      </c>
      <c r="D25" s="6">
        <f>'Statement Model'!H27</f>
        <v>126277506314.16449</v>
      </c>
      <c r="E25" s="6">
        <f>'Statement Model'!I27</f>
        <v>133854156693.01439</v>
      </c>
      <c r="F25" s="6">
        <f>'Statement Model'!J27</f>
        <v>140546864527.66507</v>
      </c>
      <c r="G25" s="6">
        <f>'Statement Model'!K27</f>
        <v>146871473431.41</v>
      </c>
      <c r="J25" s="127"/>
      <c r="K25" s="20"/>
    </row>
    <row r="26" spans="2:16" x14ac:dyDescent="0.2">
      <c r="B26" s="25"/>
      <c r="G26" s="1"/>
      <c r="J26" s="127"/>
      <c r="K26" s="20"/>
    </row>
    <row r="27" spans="2:16" x14ac:dyDescent="0.2">
      <c r="B27" s="34" t="s">
        <v>284</v>
      </c>
      <c r="C27" s="20">
        <f>'Statement Model'!G117</f>
        <v>111564579216.68376</v>
      </c>
      <c r="D27" s="20">
        <f>'Statement Model'!H117</f>
        <v>164533749857.95569</v>
      </c>
      <c r="E27" s="20">
        <f>'Statement Model'!I117</f>
        <v>186968924710.02322</v>
      </c>
      <c r="F27" s="20">
        <f>'Statement Model'!J117</f>
        <v>210139889685.66467</v>
      </c>
      <c r="G27" s="20">
        <f>'Statement Model'!K117</f>
        <v>222098380292.58331</v>
      </c>
      <c r="J27" s="127"/>
      <c r="K27" s="20"/>
    </row>
    <row r="28" spans="2:16" x14ac:dyDescent="0.2">
      <c r="B28" s="55" t="s">
        <v>292</v>
      </c>
      <c r="C28" s="131">
        <f>C27/((1+$C$3)^1)</f>
        <v>101358056140.78966</v>
      </c>
      <c r="D28" s="131">
        <f>D27/((1+$C$3)^2)</f>
        <v>135805975111.8252</v>
      </c>
      <c r="E28" s="131">
        <f>E27/((1+$C$3)^3)</f>
        <v>140205565696.82755</v>
      </c>
      <c r="F28" s="131">
        <f>F27/((1+$C$3)^4)</f>
        <v>143164804598.66223</v>
      </c>
      <c r="G28" s="131">
        <f>G27/((1+$C$3)^5)</f>
        <v>137469102569.32907</v>
      </c>
      <c r="I28" s="127"/>
      <c r="J28" s="127"/>
      <c r="K28" s="20"/>
    </row>
    <row r="29" spans="2:16" x14ac:dyDescent="0.2">
      <c r="J29" s="127"/>
      <c r="K29" s="20"/>
    </row>
    <row r="30" spans="2:16" x14ac:dyDescent="0.2">
      <c r="J30" s="127"/>
      <c r="K30" s="20"/>
    </row>
    <row r="37" spans="4:9" x14ac:dyDescent="0.2">
      <c r="D37" s="127"/>
      <c r="E37" s="89"/>
    </row>
    <row r="38" spans="4:9" x14ac:dyDescent="0.2">
      <c r="D38" s="127"/>
      <c r="E38" s="89"/>
      <c r="I38" s="89"/>
    </row>
    <row r="39" spans="4:9" x14ac:dyDescent="0.2">
      <c r="D39" s="127"/>
      <c r="E39" s="89"/>
      <c r="H39" s="127"/>
      <c r="I39" s="89"/>
    </row>
    <row r="40" spans="4:9" x14ac:dyDescent="0.2">
      <c r="D40" s="127"/>
      <c r="E40" s="89"/>
      <c r="G40" s="89"/>
      <c r="H40" s="127"/>
      <c r="I40" s="89"/>
    </row>
    <row r="41" spans="4:9" x14ac:dyDescent="0.2">
      <c r="F41" s="127"/>
      <c r="G41" s="89"/>
      <c r="H41" s="127"/>
      <c r="I41" s="89"/>
    </row>
    <row r="42" spans="4:9" x14ac:dyDescent="0.2">
      <c r="F42" s="127"/>
      <c r="G42" s="89"/>
      <c r="H42" s="127"/>
      <c r="I42" s="89"/>
    </row>
    <row r="43" spans="4:9" x14ac:dyDescent="0.2">
      <c r="F43" s="127"/>
      <c r="G43" s="89"/>
      <c r="H43" s="127"/>
      <c r="I43" s="89"/>
    </row>
    <row r="44" spans="4:9" x14ac:dyDescent="0.2">
      <c r="I44" s="89"/>
    </row>
    <row r="45" spans="4:9" x14ac:dyDescent="0.2">
      <c r="I45" s="89"/>
    </row>
    <row r="46" spans="4:9" x14ac:dyDescent="0.2">
      <c r="I46" s="89"/>
    </row>
    <row r="47" spans="4:9" x14ac:dyDescent="0.2">
      <c r="I47" s="89"/>
    </row>
    <row r="48" spans="4:9" x14ac:dyDescent="0.2">
      <c r="I48" s="89"/>
    </row>
    <row r="49" spans="9:9" x14ac:dyDescent="0.2">
      <c r="I49" s="89"/>
    </row>
    <row r="50" spans="9:9" x14ac:dyDescent="0.2">
      <c r="I50" s="89"/>
    </row>
    <row r="51" spans="9:9" x14ac:dyDescent="0.2">
      <c r="I51" s="89"/>
    </row>
    <row r="52" spans="9:9" x14ac:dyDescent="0.2">
      <c r="I52" s="89"/>
    </row>
    <row r="53" spans="9:9" x14ac:dyDescent="0.2">
      <c r="I53" s="89"/>
    </row>
    <row r="54" spans="9:9" x14ac:dyDescent="0.2">
      <c r="I54" s="89"/>
    </row>
    <row r="59" spans="9:9" x14ac:dyDescent="0.2">
      <c r="I59" s="127"/>
    </row>
    <row r="60" spans="9:9" x14ac:dyDescent="0.2">
      <c r="I60" s="127"/>
    </row>
    <row r="62" spans="9:9" x14ac:dyDescent="0.2">
      <c r="I62" s="127"/>
    </row>
    <row r="63" spans="9:9" x14ac:dyDescent="0.2">
      <c r="I63" s="127"/>
    </row>
    <row r="64" spans="9:9" x14ac:dyDescent="0.2">
      <c r="I64" s="20"/>
    </row>
    <row r="65" spans="4:27" x14ac:dyDescent="0.2">
      <c r="I65" s="127"/>
      <c r="J65" s="89"/>
      <c r="T65" s="88"/>
      <c r="U65" s="88"/>
      <c r="V65" s="88"/>
      <c r="W65" s="89"/>
      <c r="X65" s="89"/>
      <c r="Y65" s="89"/>
      <c r="Z65" s="89"/>
    </row>
    <row r="66" spans="4:27" x14ac:dyDescent="0.2">
      <c r="N66" s="6"/>
      <c r="O66" s="6"/>
      <c r="P66" s="6"/>
      <c r="T66" s="6"/>
      <c r="U66" s="6"/>
      <c r="V66" s="6"/>
      <c r="W66" s="6"/>
    </row>
    <row r="67" spans="4:27" x14ac:dyDescent="0.2">
      <c r="N67" s="89"/>
      <c r="O67" s="89"/>
      <c r="P67" s="89"/>
      <c r="Q67" s="89"/>
      <c r="R67" s="89"/>
      <c r="S67" s="89"/>
      <c r="T67" s="89"/>
      <c r="U67" s="89"/>
      <c r="V67" s="89"/>
    </row>
    <row r="70" spans="4:27" x14ac:dyDescent="0.2">
      <c r="U70" s="127"/>
      <c r="W70" s="20"/>
      <c r="X70" s="20"/>
      <c r="Y70" s="20"/>
      <c r="Z70" s="20"/>
      <c r="AA70" s="20"/>
    </row>
    <row r="71" spans="4:27" x14ac:dyDescent="0.2">
      <c r="I71" s="89"/>
      <c r="J71" s="89"/>
      <c r="K71" s="89"/>
      <c r="P71" s="89"/>
      <c r="Q71" s="89"/>
      <c r="R71" s="89"/>
      <c r="U71" s="127"/>
      <c r="X71" s="127"/>
    </row>
    <row r="72" spans="4:27" x14ac:dyDescent="0.2">
      <c r="D72" s="67"/>
      <c r="G72" s="89"/>
      <c r="H72" s="127"/>
      <c r="I72" s="89"/>
      <c r="J72" s="89"/>
      <c r="K72" s="89"/>
      <c r="U72" s="127"/>
      <c r="X72" s="127"/>
    </row>
    <row r="73" spans="4:27" x14ac:dyDescent="0.2">
      <c r="D73" s="6"/>
      <c r="G73" s="89"/>
      <c r="H73" s="127"/>
      <c r="I73" s="89"/>
      <c r="J73" s="89"/>
      <c r="K73" s="89"/>
      <c r="U73" s="127"/>
      <c r="X73" s="127"/>
    </row>
    <row r="74" spans="4:27" x14ac:dyDescent="0.2">
      <c r="H74" s="127"/>
      <c r="I74" s="89"/>
      <c r="J74" s="89"/>
      <c r="K74" s="89"/>
      <c r="U74" s="127"/>
      <c r="X74" s="127"/>
    </row>
    <row r="75" spans="4:27" x14ac:dyDescent="0.2">
      <c r="H75" s="127"/>
      <c r="I75" s="89"/>
      <c r="J75" s="89"/>
      <c r="K75" s="89"/>
      <c r="X75" s="127"/>
    </row>
    <row r="76" spans="4:27" x14ac:dyDescent="0.2">
      <c r="H76" s="127"/>
      <c r="I76" s="89"/>
      <c r="J76" s="89"/>
      <c r="K76" s="89"/>
    </row>
    <row r="77" spans="4:27" x14ac:dyDescent="0.2">
      <c r="D77" s="89"/>
      <c r="H77" s="127"/>
      <c r="I77" s="89"/>
      <c r="J77" s="89"/>
      <c r="K77" s="89"/>
    </row>
    <row r="78" spans="4:27" x14ac:dyDescent="0.2">
      <c r="H78" s="127"/>
      <c r="I78" s="89"/>
      <c r="J78" s="89"/>
      <c r="K78" s="89"/>
    </row>
    <row r="79" spans="4:27" x14ac:dyDescent="0.2">
      <c r="H79" s="127"/>
      <c r="I79" s="89"/>
      <c r="J79" s="89"/>
      <c r="K79" s="89"/>
    </row>
    <row r="80" spans="4:27" x14ac:dyDescent="0.2">
      <c r="H80" s="127"/>
      <c r="I80" s="89"/>
      <c r="J80" s="89"/>
      <c r="K80" s="89"/>
    </row>
    <row r="81" spans="7:13" x14ac:dyDescent="0.2">
      <c r="I81" s="127"/>
      <c r="J81" s="89"/>
    </row>
    <row r="82" spans="7:13" x14ac:dyDescent="0.2">
      <c r="I82" s="127"/>
      <c r="J82" s="89"/>
    </row>
    <row r="83" spans="7:13" x14ac:dyDescent="0.2">
      <c r="I83" s="127"/>
      <c r="J83" s="89"/>
    </row>
    <row r="84" spans="7:13" x14ac:dyDescent="0.2">
      <c r="J84" s="89"/>
    </row>
    <row r="85" spans="7:13" x14ac:dyDescent="0.2">
      <c r="J85" s="89"/>
      <c r="L85" s="89"/>
    </row>
    <row r="86" spans="7:13" x14ac:dyDescent="0.2">
      <c r="J86" s="89"/>
      <c r="L86" s="89"/>
    </row>
    <row r="87" spans="7:13" x14ac:dyDescent="0.2">
      <c r="G87" s="127"/>
      <c r="H87" s="89"/>
      <c r="I87" s="65"/>
      <c r="K87" s="127"/>
      <c r="L87" s="89"/>
      <c r="M87" s="89"/>
    </row>
    <row r="88" spans="7:13" x14ac:dyDescent="0.2">
      <c r="G88" s="127"/>
      <c r="H88" s="89"/>
      <c r="I88" s="65"/>
      <c r="J88" s="65"/>
      <c r="K88" s="127"/>
      <c r="L88" s="89"/>
      <c r="M88" s="89"/>
    </row>
    <row r="89" spans="7:13" x14ac:dyDescent="0.2">
      <c r="G89" s="127"/>
      <c r="H89" s="89"/>
      <c r="I89" s="65"/>
      <c r="J89" s="65"/>
      <c r="K89" s="127"/>
      <c r="L89" s="89"/>
      <c r="M89" s="89"/>
    </row>
    <row r="90" spans="7:13" x14ac:dyDescent="0.2">
      <c r="G90" s="127"/>
      <c r="H90" s="89"/>
      <c r="I90" s="65"/>
      <c r="J90" s="65"/>
      <c r="K90" s="127"/>
      <c r="L90" s="89"/>
      <c r="M90" s="89"/>
    </row>
    <row r="91" spans="7:13" x14ac:dyDescent="0.2">
      <c r="G91" s="127"/>
      <c r="H91" s="89"/>
      <c r="I91" s="6"/>
      <c r="J91" s="65"/>
      <c r="K91" s="127"/>
      <c r="L91" s="89"/>
      <c r="M91" s="89"/>
    </row>
    <row r="92" spans="7:13" x14ac:dyDescent="0.2">
      <c r="G92" s="127"/>
      <c r="H92" s="89"/>
      <c r="I92" s="6"/>
      <c r="J92" s="65"/>
      <c r="K92" s="127"/>
      <c r="L92" s="89"/>
      <c r="M92" s="89"/>
    </row>
    <row r="93" spans="7:13" x14ac:dyDescent="0.2">
      <c r="G93" s="127"/>
      <c r="H93" s="89"/>
      <c r="I93" s="6"/>
      <c r="J93" s="65"/>
      <c r="K93" s="127"/>
      <c r="L93" s="89"/>
      <c r="M93" s="89"/>
    </row>
    <row r="94" spans="7:13" x14ac:dyDescent="0.2">
      <c r="G94" s="127"/>
      <c r="H94" s="89"/>
      <c r="I94" s="6"/>
      <c r="J94" s="65"/>
      <c r="K94" s="127"/>
      <c r="L94" s="89"/>
      <c r="M94" s="89"/>
    </row>
    <row r="95" spans="7:13" x14ac:dyDescent="0.2">
      <c r="G95" s="127"/>
      <c r="H95" s="89"/>
      <c r="I95" s="6"/>
      <c r="J95" s="65"/>
      <c r="K95" s="127"/>
      <c r="L95" s="89"/>
      <c r="M95" s="89"/>
    </row>
    <row r="96" spans="7:13" x14ac:dyDescent="0.2">
      <c r="J96" s="89"/>
      <c r="L96" s="89"/>
    </row>
    <row r="97" spans="12:12" x14ac:dyDescent="0.2">
      <c r="L97" s="89"/>
    </row>
    <row r="98" spans="12:12" x14ac:dyDescent="0.2">
      <c r="L98" s="89"/>
    </row>
  </sheetData>
  <dataConsolidate/>
  <conditionalFormatting sqref="C18:C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K47"/>
  <sheetViews>
    <sheetView topLeftCell="A3" workbookViewId="0">
      <selection activeCell="H38" sqref="H38"/>
    </sheetView>
  </sheetViews>
  <sheetFormatPr baseColWidth="10" defaultRowHeight="15" x14ac:dyDescent="0.2"/>
  <cols>
    <col min="1" max="1" width="3" style="8" customWidth="1"/>
    <col min="2" max="2" width="51" style="8" customWidth="1"/>
    <col min="3" max="5" width="19" style="8" customWidth="1"/>
    <col min="6" max="6" width="20.83203125" style="8" customWidth="1"/>
    <col min="8" max="256" width="20.83203125" style="8" customWidth="1"/>
    <col min="257" max="257" width="3" style="8" customWidth="1"/>
    <col min="258" max="258" width="51" style="8" customWidth="1"/>
    <col min="259" max="261" width="19" style="8" customWidth="1"/>
    <col min="262" max="512" width="20.83203125" style="8" customWidth="1"/>
    <col min="513" max="513" width="3" style="8" customWidth="1"/>
    <col min="514" max="514" width="51" style="8" customWidth="1"/>
    <col min="515" max="517" width="19" style="8" customWidth="1"/>
    <col min="518" max="768" width="20.83203125" style="8" customWidth="1"/>
    <col min="769" max="769" width="3" style="8" customWidth="1"/>
    <col min="770" max="770" width="51" style="8" customWidth="1"/>
    <col min="771" max="773" width="19" style="8" customWidth="1"/>
    <col min="774" max="1024" width="20.83203125" style="8" customWidth="1"/>
    <col min="1025" max="1025" width="3" style="8" customWidth="1"/>
    <col min="1026" max="1026" width="51" style="8" customWidth="1"/>
    <col min="1027" max="1029" width="19" style="8" customWidth="1"/>
    <col min="1030" max="1280" width="20.83203125" style="8" customWidth="1"/>
    <col min="1281" max="1281" width="3" style="8" customWidth="1"/>
    <col min="1282" max="1282" width="51" style="8" customWidth="1"/>
    <col min="1283" max="1285" width="19" style="8" customWidth="1"/>
    <col min="1286" max="1536" width="20.83203125" style="8" customWidth="1"/>
    <col min="1537" max="1537" width="3" style="8" customWidth="1"/>
    <col min="1538" max="1538" width="51" style="8" customWidth="1"/>
    <col min="1539" max="1541" width="19" style="8" customWidth="1"/>
    <col min="1542" max="1792" width="20.83203125" style="8" customWidth="1"/>
    <col min="1793" max="1793" width="3" style="8" customWidth="1"/>
    <col min="1794" max="1794" width="51" style="8" customWidth="1"/>
    <col min="1795" max="1797" width="19" style="8" customWidth="1"/>
    <col min="1798" max="2048" width="20.83203125" style="8" customWidth="1"/>
    <col min="2049" max="2049" width="3" style="8" customWidth="1"/>
    <col min="2050" max="2050" width="51" style="8" customWidth="1"/>
    <col min="2051" max="2053" width="19" style="8" customWidth="1"/>
    <col min="2054" max="2304" width="20.83203125" style="8" customWidth="1"/>
    <col min="2305" max="2305" width="3" style="8" customWidth="1"/>
    <col min="2306" max="2306" width="51" style="8" customWidth="1"/>
    <col min="2307" max="2309" width="19" style="8" customWidth="1"/>
    <col min="2310" max="2560" width="20.83203125" style="8" customWidth="1"/>
    <col min="2561" max="2561" width="3" style="8" customWidth="1"/>
    <col min="2562" max="2562" width="51" style="8" customWidth="1"/>
    <col min="2563" max="2565" width="19" style="8" customWidth="1"/>
    <col min="2566" max="2816" width="20.83203125" style="8" customWidth="1"/>
    <col min="2817" max="2817" width="3" style="8" customWidth="1"/>
    <col min="2818" max="2818" width="51" style="8" customWidth="1"/>
    <col min="2819" max="2821" width="19" style="8" customWidth="1"/>
    <col min="2822" max="3072" width="20.83203125" style="8" customWidth="1"/>
    <col min="3073" max="3073" width="3" style="8" customWidth="1"/>
    <col min="3074" max="3074" width="51" style="8" customWidth="1"/>
    <col min="3075" max="3077" width="19" style="8" customWidth="1"/>
    <col min="3078" max="3328" width="20.83203125" style="8" customWidth="1"/>
    <col min="3329" max="3329" width="3" style="8" customWidth="1"/>
    <col min="3330" max="3330" width="51" style="8" customWidth="1"/>
    <col min="3331" max="3333" width="19" style="8" customWidth="1"/>
    <col min="3334" max="3584" width="20.83203125" style="8" customWidth="1"/>
    <col min="3585" max="3585" width="3" style="8" customWidth="1"/>
    <col min="3586" max="3586" width="51" style="8" customWidth="1"/>
    <col min="3587" max="3589" width="19" style="8" customWidth="1"/>
    <col min="3590" max="3840" width="20.83203125" style="8" customWidth="1"/>
    <col min="3841" max="3841" width="3" style="8" customWidth="1"/>
    <col min="3842" max="3842" width="51" style="8" customWidth="1"/>
    <col min="3843" max="3845" width="19" style="8" customWidth="1"/>
    <col min="3846" max="4096" width="20.83203125" style="8" customWidth="1"/>
    <col min="4097" max="4097" width="3" style="8" customWidth="1"/>
    <col min="4098" max="4098" width="51" style="8" customWidth="1"/>
    <col min="4099" max="4101" width="19" style="8" customWidth="1"/>
    <col min="4102" max="4352" width="20.83203125" style="8" customWidth="1"/>
    <col min="4353" max="4353" width="3" style="8" customWidth="1"/>
    <col min="4354" max="4354" width="51" style="8" customWidth="1"/>
    <col min="4355" max="4357" width="19" style="8" customWidth="1"/>
    <col min="4358" max="4608" width="20.83203125" style="8" customWidth="1"/>
    <col min="4609" max="4609" width="3" style="8" customWidth="1"/>
    <col min="4610" max="4610" width="51" style="8" customWidth="1"/>
    <col min="4611" max="4613" width="19" style="8" customWidth="1"/>
    <col min="4614" max="4864" width="20.83203125" style="8" customWidth="1"/>
    <col min="4865" max="4865" width="3" style="8" customWidth="1"/>
    <col min="4866" max="4866" width="51" style="8" customWidth="1"/>
    <col min="4867" max="4869" width="19" style="8" customWidth="1"/>
    <col min="4870" max="5120" width="20.83203125" style="8" customWidth="1"/>
    <col min="5121" max="5121" width="3" style="8" customWidth="1"/>
    <col min="5122" max="5122" width="51" style="8" customWidth="1"/>
    <col min="5123" max="5125" width="19" style="8" customWidth="1"/>
    <col min="5126" max="5376" width="20.83203125" style="8" customWidth="1"/>
    <col min="5377" max="5377" width="3" style="8" customWidth="1"/>
    <col min="5378" max="5378" width="51" style="8" customWidth="1"/>
    <col min="5379" max="5381" width="19" style="8" customWidth="1"/>
    <col min="5382" max="5632" width="20.83203125" style="8" customWidth="1"/>
    <col min="5633" max="5633" width="3" style="8" customWidth="1"/>
    <col min="5634" max="5634" width="51" style="8" customWidth="1"/>
    <col min="5635" max="5637" width="19" style="8" customWidth="1"/>
    <col min="5638" max="5888" width="20.83203125" style="8" customWidth="1"/>
    <col min="5889" max="5889" width="3" style="8" customWidth="1"/>
    <col min="5890" max="5890" width="51" style="8" customWidth="1"/>
    <col min="5891" max="5893" width="19" style="8" customWidth="1"/>
    <col min="5894" max="6144" width="20.83203125" style="8" customWidth="1"/>
    <col min="6145" max="6145" width="3" style="8" customWidth="1"/>
    <col min="6146" max="6146" width="51" style="8" customWidth="1"/>
    <col min="6147" max="6149" width="19" style="8" customWidth="1"/>
    <col min="6150" max="6400" width="20.83203125" style="8" customWidth="1"/>
    <col min="6401" max="6401" width="3" style="8" customWidth="1"/>
    <col min="6402" max="6402" width="51" style="8" customWidth="1"/>
    <col min="6403" max="6405" width="19" style="8" customWidth="1"/>
    <col min="6406" max="6656" width="20.83203125" style="8" customWidth="1"/>
    <col min="6657" max="6657" width="3" style="8" customWidth="1"/>
    <col min="6658" max="6658" width="51" style="8" customWidth="1"/>
    <col min="6659" max="6661" width="19" style="8" customWidth="1"/>
    <col min="6662" max="6912" width="20.83203125" style="8" customWidth="1"/>
    <col min="6913" max="6913" width="3" style="8" customWidth="1"/>
    <col min="6914" max="6914" width="51" style="8" customWidth="1"/>
    <col min="6915" max="6917" width="19" style="8" customWidth="1"/>
    <col min="6918" max="7168" width="20.83203125" style="8" customWidth="1"/>
    <col min="7169" max="7169" width="3" style="8" customWidth="1"/>
    <col min="7170" max="7170" width="51" style="8" customWidth="1"/>
    <col min="7171" max="7173" width="19" style="8" customWidth="1"/>
    <col min="7174" max="7424" width="20.83203125" style="8" customWidth="1"/>
    <col min="7425" max="7425" width="3" style="8" customWidth="1"/>
    <col min="7426" max="7426" width="51" style="8" customWidth="1"/>
    <col min="7427" max="7429" width="19" style="8" customWidth="1"/>
    <col min="7430" max="7680" width="20.83203125" style="8" customWidth="1"/>
    <col min="7681" max="7681" width="3" style="8" customWidth="1"/>
    <col min="7682" max="7682" width="51" style="8" customWidth="1"/>
    <col min="7683" max="7685" width="19" style="8" customWidth="1"/>
    <col min="7686" max="7936" width="20.83203125" style="8" customWidth="1"/>
    <col min="7937" max="7937" width="3" style="8" customWidth="1"/>
    <col min="7938" max="7938" width="51" style="8" customWidth="1"/>
    <col min="7939" max="7941" width="19" style="8" customWidth="1"/>
    <col min="7942" max="8192" width="20.83203125" style="8" customWidth="1"/>
    <col min="8193" max="8193" width="3" style="8" customWidth="1"/>
    <col min="8194" max="8194" width="51" style="8" customWidth="1"/>
    <col min="8195" max="8197" width="19" style="8" customWidth="1"/>
    <col min="8198" max="8448" width="20.83203125" style="8" customWidth="1"/>
    <col min="8449" max="8449" width="3" style="8" customWidth="1"/>
    <col min="8450" max="8450" width="51" style="8" customWidth="1"/>
    <col min="8451" max="8453" width="19" style="8" customWidth="1"/>
    <col min="8454" max="8704" width="20.83203125" style="8" customWidth="1"/>
    <col min="8705" max="8705" width="3" style="8" customWidth="1"/>
    <col min="8706" max="8706" width="51" style="8" customWidth="1"/>
    <col min="8707" max="8709" width="19" style="8" customWidth="1"/>
    <col min="8710" max="8960" width="20.83203125" style="8" customWidth="1"/>
    <col min="8961" max="8961" width="3" style="8" customWidth="1"/>
    <col min="8962" max="8962" width="51" style="8" customWidth="1"/>
    <col min="8963" max="8965" width="19" style="8" customWidth="1"/>
    <col min="8966" max="9216" width="20.83203125" style="8" customWidth="1"/>
    <col min="9217" max="9217" width="3" style="8" customWidth="1"/>
    <col min="9218" max="9218" width="51" style="8" customWidth="1"/>
    <col min="9219" max="9221" width="19" style="8" customWidth="1"/>
    <col min="9222" max="9472" width="20.83203125" style="8" customWidth="1"/>
    <col min="9473" max="9473" width="3" style="8" customWidth="1"/>
    <col min="9474" max="9474" width="51" style="8" customWidth="1"/>
    <col min="9475" max="9477" width="19" style="8" customWidth="1"/>
    <col min="9478" max="9728" width="20.83203125" style="8" customWidth="1"/>
    <col min="9729" max="9729" width="3" style="8" customWidth="1"/>
    <col min="9730" max="9730" width="51" style="8" customWidth="1"/>
    <col min="9731" max="9733" width="19" style="8" customWidth="1"/>
    <col min="9734" max="9984" width="20.83203125" style="8" customWidth="1"/>
    <col min="9985" max="9985" width="3" style="8" customWidth="1"/>
    <col min="9986" max="9986" width="51" style="8" customWidth="1"/>
    <col min="9987" max="9989" width="19" style="8" customWidth="1"/>
    <col min="9990" max="10240" width="20.83203125" style="8" customWidth="1"/>
    <col min="10241" max="10241" width="3" style="8" customWidth="1"/>
    <col min="10242" max="10242" width="51" style="8" customWidth="1"/>
    <col min="10243" max="10245" width="19" style="8" customWidth="1"/>
    <col min="10246" max="10496" width="20.83203125" style="8" customWidth="1"/>
    <col min="10497" max="10497" width="3" style="8" customWidth="1"/>
    <col min="10498" max="10498" width="51" style="8" customWidth="1"/>
    <col min="10499" max="10501" width="19" style="8" customWidth="1"/>
    <col min="10502" max="10752" width="20.83203125" style="8" customWidth="1"/>
    <col min="10753" max="10753" width="3" style="8" customWidth="1"/>
    <col min="10754" max="10754" width="51" style="8" customWidth="1"/>
    <col min="10755" max="10757" width="19" style="8" customWidth="1"/>
    <col min="10758" max="11008" width="20.83203125" style="8" customWidth="1"/>
    <col min="11009" max="11009" width="3" style="8" customWidth="1"/>
    <col min="11010" max="11010" width="51" style="8" customWidth="1"/>
    <col min="11011" max="11013" width="19" style="8" customWidth="1"/>
    <col min="11014" max="11264" width="20.83203125" style="8" customWidth="1"/>
    <col min="11265" max="11265" width="3" style="8" customWidth="1"/>
    <col min="11266" max="11266" width="51" style="8" customWidth="1"/>
    <col min="11267" max="11269" width="19" style="8" customWidth="1"/>
    <col min="11270" max="11520" width="20.83203125" style="8" customWidth="1"/>
    <col min="11521" max="11521" width="3" style="8" customWidth="1"/>
    <col min="11522" max="11522" width="51" style="8" customWidth="1"/>
    <col min="11523" max="11525" width="19" style="8" customWidth="1"/>
    <col min="11526" max="11776" width="20.83203125" style="8" customWidth="1"/>
    <col min="11777" max="11777" width="3" style="8" customWidth="1"/>
    <col min="11778" max="11778" width="51" style="8" customWidth="1"/>
    <col min="11779" max="11781" width="19" style="8" customWidth="1"/>
    <col min="11782" max="12032" width="20.83203125" style="8" customWidth="1"/>
    <col min="12033" max="12033" width="3" style="8" customWidth="1"/>
    <col min="12034" max="12034" width="51" style="8" customWidth="1"/>
    <col min="12035" max="12037" width="19" style="8" customWidth="1"/>
    <col min="12038" max="12288" width="20.83203125" style="8" customWidth="1"/>
    <col min="12289" max="12289" width="3" style="8" customWidth="1"/>
    <col min="12290" max="12290" width="51" style="8" customWidth="1"/>
    <col min="12291" max="12293" width="19" style="8" customWidth="1"/>
    <col min="12294" max="12544" width="20.83203125" style="8" customWidth="1"/>
    <col min="12545" max="12545" width="3" style="8" customWidth="1"/>
    <col min="12546" max="12546" width="51" style="8" customWidth="1"/>
    <col min="12547" max="12549" width="19" style="8" customWidth="1"/>
    <col min="12550" max="12800" width="20.83203125" style="8" customWidth="1"/>
    <col min="12801" max="12801" width="3" style="8" customWidth="1"/>
    <col min="12802" max="12802" width="51" style="8" customWidth="1"/>
    <col min="12803" max="12805" width="19" style="8" customWidth="1"/>
    <col min="12806" max="13056" width="20.83203125" style="8" customWidth="1"/>
    <col min="13057" max="13057" width="3" style="8" customWidth="1"/>
    <col min="13058" max="13058" width="51" style="8" customWidth="1"/>
    <col min="13059" max="13061" width="19" style="8" customWidth="1"/>
    <col min="13062" max="13312" width="20.83203125" style="8" customWidth="1"/>
    <col min="13313" max="13313" width="3" style="8" customWidth="1"/>
    <col min="13314" max="13314" width="51" style="8" customWidth="1"/>
    <col min="13315" max="13317" width="19" style="8" customWidth="1"/>
    <col min="13318" max="13568" width="20.83203125" style="8" customWidth="1"/>
    <col min="13569" max="13569" width="3" style="8" customWidth="1"/>
    <col min="13570" max="13570" width="51" style="8" customWidth="1"/>
    <col min="13571" max="13573" width="19" style="8" customWidth="1"/>
    <col min="13574" max="13824" width="20.83203125" style="8" customWidth="1"/>
    <col min="13825" max="13825" width="3" style="8" customWidth="1"/>
    <col min="13826" max="13826" width="51" style="8" customWidth="1"/>
    <col min="13827" max="13829" width="19" style="8" customWidth="1"/>
    <col min="13830" max="14080" width="20.83203125" style="8" customWidth="1"/>
    <col min="14081" max="14081" width="3" style="8" customWidth="1"/>
    <col min="14082" max="14082" width="51" style="8" customWidth="1"/>
    <col min="14083" max="14085" width="19" style="8" customWidth="1"/>
    <col min="14086" max="14336" width="20.83203125" style="8" customWidth="1"/>
    <col min="14337" max="14337" width="3" style="8" customWidth="1"/>
    <col min="14338" max="14338" width="51" style="8" customWidth="1"/>
    <col min="14339" max="14341" width="19" style="8" customWidth="1"/>
    <col min="14342" max="14592" width="20.83203125" style="8" customWidth="1"/>
    <col min="14593" max="14593" width="3" style="8" customWidth="1"/>
    <col min="14594" max="14594" width="51" style="8" customWidth="1"/>
    <col min="14595" max="14597" width="19" style="8" customWidth="1"/>
    <col min="14598" max="14848" width="20.83203125" style="8" customWidth="1"/>
    <col min="14849" max="14849" width="3" style="8" customWidth="1"/>
    <col min="14850" max="14850" width="51" style="8" customWidth="1"/>
    <col min="14851" max="14853" width="19" style="8" customWidth="1"/>
    <col min="14854" max="15104" width="20.83203125" style="8" customWidth="1"/>
    <col min="15105" max="15105" width="3" style="8" customWidth="1"/>
    <col min="15106" max="15106" width="51" style="8" customWidth="1"/>
    <col min="15107" max="15109" width="19" style="8" customWidth="1"/>
    <col min="15110" max="15360" width="20.83203125" style="8" customWidth="1"/>
    <col min="15361" max="15361" width="3" style="8" customWidth="1"/>
    <col min="15362" max="15362" width="51" style="8" customWidth="1"/>
    <col min="15363" max="15365" width="19" style="8" customWidth="1"/>
    <col min="15366" max="15616" width="20.83203125" style="8" customWidth="1"/>
    <col min="15617" max="15617" width="3" style="8" customWidth="1"/>
    <col min="15618" max="15618" width="51" style="8" customWidth="1"/>
    <col min="15619" max="15621" width="19" style="8" customWidth="1"/>
    <col min="15622" max="15872" width="20.83203125" style="8" customWidth="1"/>
    <col min="15873" max="15873" width="3" style="8" customWidth="1"/>
    <col min="15874" max="15874" width="51" style="8" customWidth="1"/>
    <col min="15875" max="15877" width="19" style="8" customWidth="1"/>
    <col min="15878" max="16128" width="20.83203125" style="8" customWidth="1"/>
    <col min="16129" max="16129" width="3" style="8" customWidth="1"/>
    <col min="16130" max="16130" width="51" style="8" customWidth="1"/>
    <col min="16131" max="16133" width="19" style="8" customWidth="1"/>
    <col min="16134" max="16384" width="20.83203125" style="8" customWidth="1"/>
  </cols>
  <sheetData>
    <row r="1" spans="1:7" x14ac:dyDescent="0.2">
      <c r="A1" s="7" t="s">
        <v>30</v>
      </c>
      <c r="G1" s="8"/>
    </row>
    <row r="2" spans="1:7" x14ac:dyDescent="0.2">
      <c r="A2" s="7"/>
      <c r="G2" s="8"/>
    </row>
    <row r="3" spans="1:7" x14ac:dyDescent="0.2">
      <c r="A3" s="7" t="s">
        <v>31</v>
      </c>
      <c r="G3" s="8"/>
    </row>
    <row r="4" spans="1:7" x14ac:dyDescent="0.2">
      <c r="A4" s="7" t="s">
        <v>32</v>
      </c>
      <c r="G4" s="8"/>
    </row>
    <row r="5" spans="1:7" x14ac:dyDescent="0.2">
      <c r="A5" s="7" t="s">
        <v>33</v>
      </c>
      <c r="G5" s="8"/>
    </row>
    <row r="6" spans="1:7" x14ac:dyDescent="0.2">
      <c r="A6" s="7" t="s">
        <v>34</v>
      </c>
      <c r="G6" s="8"/>
    </row>
    <row r="7" spans="1:7" x14ac:dyDescent="0.2">
      <c r="A7" s="7" t="s">
        <v>35</v>
      </c>
      <c r="G7" s="8"/>
    </row>
    <row r="8" spans="1:7" x14ac:dyDescent="0.2">
      <c r="A8" s="9" t="s">
        <v>36</v>
      </c>
      <c r="G8" s="8"/>
    </row>
    <row r="9" spans="1:7" x14ac:dyDescent="0.2">
      <c r="A9" s="7"/>
      <c r="G9" s="8"/>
    </row>
    <row r="10" spans="1:7" x14ac:dyDescent="0.2">
      <c r="B10" s="10" t="s">
        <v>37</v>
      </c>
      <c r="C10" s="11"/>
      <c r="G10" s="8"/>
    </row>
    <row r="11" spans="1:7" x14ac:dyDescent="0.2">
      <c r="G11" s="8"/>
    </row>
    <row r="12" spans="1:7" x14ac:dyDescent="0.2">
      <c r="B12" s="10" t="s">
        <v>38</v>
      </c>
      <c r="C12" s="11"/>
      <c r="G12" s="8"/>
    </row>
    <row r="13" spans="1:7" x14ac:dyDescent="0.2">
      <c r="B13" s="10" t="s">
        <v>39</v>
      </c>
      <c r="C13" s="11"/>
      <c r="G13" s="8"/>
    </row>
    <row r="14" spans="1:7" x14ac:dyDescent="0.2">
      <c r="B14" s="10" t="s">
        <v>40</v>
      </c>
      <c r="C14" s="11"/>
      <c r="G14" s="8"/>
    </row>
    <row r="15" spans="1:7" x14ac:dyDescent="0.2">
      <c r="G15" s="8"/>
    </row>
    <row r="16" spans="1:7" x14ac:dyDescent="0.2">
      <c r="B16" s="11"/>
      <c r="C16" s="11"/>
      <c r="D16" s="11" t="s">
        <v>41</v>
      </c>
      <c r="G16" s="8"/>
    </row>
    <row r="17" spans="2:11" x14ac:dyDescent="0.2">
      <c r="B17" s="11"/>
      <c r="C17" s="11"/>
      <c r="D17" s="11"/>
      <c r="E17" s="11"/>
      <c r="F17" s="11"/>
      <c r="G17" s="8"/>
    </row>
    <row r="18" spans="2:11" x14ac:dyDescent="0.2">
      <c r="B18" s="11"/>
      <c r="C18" s="17">
        <v>2020</v>
      </c>
      <c r="D18" s="17">
        <v>2021</v>
      </c>
      <c r="E18" s="17">
        <v>2022</v>
      </c>
      <c r="F18" s="17">
        <v>2023</v>
      </c>
      <c r="G18" s="8"/>
    </row>
    <row r="19" spans="2:11" x14ac:dyDescent="0.2">
      <c r="B19" s="11" t="s">
        <v>42</v>
      </c>
      <c r="C19" s="17"/>
      <c r="D19" s="17"/>
      <c r="E19" s="17"/>
      <c r="F19" s="17"/>
      <c r="G19" s="8"/>
    </row>
    <row r="20" spans="2:11" x14ac:dyDescent="0.2">
      <c r="B20" s="11" t="s">
        <v>43</v>
      </c>
      <c r="C20" s="16">
        <v>220747</v>
      </c>
      <c r="D20" s="16">
        <v>297392</v>
      </c>
      <c r="E20" s="16">
        <v>316199</v>
      </c>
      <c r="F20" s="16">
        <v>298085</v>
      </c>
      <c r="G20" s="8"/>
      <c r="H20" s="16"/>
      <c r="I20" s="16"/>
      <c r="J20" s="16"/>
      <c r="K20" s="16"/>
    </row>
    <row r="21" spans="2:11" x14ac:dyDescent="0.2">
      <c r="B21" s="11" t="s">
        <v>44</v>
      </c>
      <c r="C21" s="15">
        <v>53768</v>
      </c>
      <c r="D21" s="15">
        <v>68425</v>
      </c>
      <c r="E21" s="15">
        <v>78129</v>
      </c>
      <c r="F21" s="15">
        <v>85200</v>
      </c>
      <c r="G21" s="8"/>
      <c r="H21" s="15"/>
      <c r="I21" s="15"/>
      <c r="J21" s="15"/>
      <c r="K21" s="15"/>
    </row>
    <row r="22" spans="2:11" x14ac:dyDescent="0.2">
      <c r="B22" s="11" t="s">
        <v>9</v>
      </c>
      <c r="C22" s="15">
        <v>274515</v>
      </c>
      <c r="D22" s="15">
        <v>365817</v>
      </c>
      <c r="E22" s="15">
        <v>394328</v>
      </c>
      <c r="F22" s="15">
        <v>383285</v>
      </c>
      <c r="G22" s="8"/>
      <c r="H22" s="15"/>
      <c r="I22" s="15"/>
      <c r="J22" s="15"/>
      <c r="K22" s="15"/>
    </row>
    <row r="23" spans="2:11" x14ac:dyDescent="0.2">
      <c r="C23" s="15"/>
      <c r="D23" s="15"/>
      <c r="E23" s="15"/>
      <c r="F23" s="15"/>
      <c r="G23" s="8"/>
      <c r="H23" s="15"/>
      <c r="I23" s="15"/>
      <c r="J23" s="15"/>
      <c r="K23" s="15"/>
    </row>
    <row r="24" spans="2:11" x14ac:dyDescent="0.2">
      <c r="B24" s="11" t="s">
        <v>45</v>
      </c>
      <c r="C24" s="15"/>
      <c r="D24" s="15"/>
      <c r="E24" s="15"/>
      <c r="F24" s="15"/>
      <c r="G24" s="8"/>
      <c r="H24" s="15"/>
      <c r="I24" s="15"/>
      <c r="J24" s="15"/>
      <c r="K24" s="15"/>
    </row>
    <row r="25" spans="2:11" x14ac:dyDescent="0.2">
      <c r="B25" s="11" t="s">
        <v>43</v>
      </c>
      <c r="C25" s="15">
        <v>151286</v>
      </c>
      <c r="D25" s="15">
        <v>192266</v>
      </c>
      <c r="E25" s="15">
        <v>201471</v>
      </c>
      <c r="F25" s="15">
        <v>189282</v>
      </c>
      <c r="G25" s="8"/>
      <c r="H25" s="15"/>
      <c r="I25" s="15"/>
      <c r="J25" s="15"/>
      <c r="K25" s="15"/>
    </row>
    <row r="26" spans="2:11" x14ac:dyDescent="0.2">
      <c r="B26" s="11" t="s">
        <v>44</v>
      </c>
      <c r="C26" s="15">
        <v>18273</v>
      </c>
      <c r="D26" s="15">
        <v>20715</v>
      </c>
      <c r="E26" s="15">
        <v>22075</v>
      </c>
      <c r="F26" s="15">
        <v>24855</v>
      </c>
      <c r="G26" s="8"/>
      <c r="H26" s="15"/>
      <c r="I26" s="15"/>
      <c r="J26" s="15"/>
      <c r="K26" s="15"/>
    </row>
    <row r="27" spans="2:11" x14ac:dyDescent="0.2">
      <c r="B27" s="11" t="s">
        <v>11</v>
      </c>
      <c r="C27" s="15">
        <v>169559</v>
      </c>
      <c r="D27" s="15">
        <v>212981</v>
      </c>
      <c r="E27" s="15">
        <v>223546</v>
      </c>
      <c r="F27" s="15">
        <v>214137</v>
      </c>
      <c r="G27" s="8"/>
      <c r="H27" s="15"/>
      <c r="I27" s="15"/>
      <c r="J27" s="15"/>
      <c r="K27" s="15"/>
    </row>
    <row r="28" spans="2:11" x14ac:dyDescent="0.2">
      <c r="B28" s="11" t="s">
        <v>13</v>
      </c>
      <c r="C28" s="15">
        <v>104956</v>
      </c>
      <c r="D28" s="15">
        <v>152836</v>
      </c>
      <c r="E28" s="15">
        <v>170782</v>
      </c>
      <c r="F28" s="15">
        <v>169148</v>
      </c>
      <c r="G28" s="8"/>
      <c r="H28" s="15"/>
      <c r="I28" s="15"/>
      <c r="J28" s="15"/>
      <c r="K28" s="15"/>
    </row>
    <row r="29" spans="2:11" x14ac:dyDescent="0.2">
      <c r="C29" s="15"/>
      <c r="D29" s="15"/>
      <c r="E29" s="15"/>
      <c r="F29" s="15"/>
      <c r="G29" s="8"/>
      <c r="H29" s="15"/>
      <c r="I29" s="15"/>
      <c r="J29" s="15"/>
      <c r="K29" s="15"/>
    </row>
    <row r="30" spans="2:11" x14ac:dyDescent="0.2">
      <c r="B30" s="11" t="s">
        <v>46</v>
      </c>
      <c r="C30" s="15"/>
      <c r="D30" s="15"/>
      <c r="E30" s="15"/>
      <c r="F30" s="15"/>
      <c r="G30" s="8"/>
      <c r="H30" s="15"/>
      <c r="I30" s="15"/>
      <c r="J30" s="15"/>
      <c r="K30" s="15"/>
    </row>
    <row r="31" spans="2:11" x14ac:dyDescent="0.2">
      <c r="B31" s="11" t="s">
        <v>47</v>
      </c>
      <c r="C31" s="15">
        <v>18752</v>
      </c>
      <c r="D31" s="15">
        <v>21914</v>
      </c>
      <c r="E31" s="15">
        <v>26251</v>
      </c>
      <c r="F31" s="15">
        <v>29915</v>
      </c>
      <c r="G31" s="8"/>
      <c r="H31" s="15"/>
      <c r="I31" s="15"/>
      <c r="J31" s="15"/>
      <c r="K31" s="15"/>
    </row>
    <row r="32" spans="2:11" x14ac:dyDescent="0.2">
      <c r="B32" s="11" t="s">
        <v>17</v>
      </c>
      <c r="C32" s="15">
        <v>19916</v>
      </c>
      <c r="D32" s="15">
        <v>21973</v>
      </c>
      <c r="E32" s="15">
        <v>25094</v>
      </c>
      <c r="F32" s="15">
        <v>24932</v>
      </c>
      <c r="G32" s="8"/>
      <c r="H32" s="15"/>
      <c r="I32" s="15"/>
      <c r="J32" s="15"/>
      <c r="K32" s="15"/>
    </row>
    <row r="33" spans="2:11" x14ac:dyDescent="0.2">
      <c r="B33" s="11" t="s">
        <v>19</v>
      </c>
      <c r="C33" s="15">
        <v>38668</v>
      </c>
      <c r="D33" s="15">
        <v>43887</v>
      </c>
      <c r="E33" s="15">
        <v>51345</v>
      </c>
      <c r="F33" s="15">
        <v>54847</v>
      </c>
      <c r="G33" s="8"/>
      <c r="H33" s="15"/>
      <c r="I33" s="15"/>
      <c r="J33" s="15"/>
      <c r="K33" s="15"/>
    </row>
    <row r="34" spans="2:11" x14ac:dyDescent="0.2">
      <c r="C34" s="15"/>
      <c r="D34" s="15"/>
      <c r="E34" s="15"/>
      <c r="F34" s="15"/>
      <c r="G34" s="8"/>
      <c r="H34" s="15"/>
      <c r="I34" s="15"/>
      <c r="J34" s="15"/>
      <c r="K34" s="15"/>
    </row>
    <row r="35" spans="2:11" x14ac:dyDescent="0.2">
      <c r="B35" s="11" t="s">
        <v>25</v>
      </c>
      <c r="C35" s="15">
        <v>66288</v>
      </c>
      <c r="D35" s="15">
        <v>108949</v>
      </c>
      <c r="E35" s="15">
        <v>119437</v>
      </c>
      <c r="F35" s="15">
        <v>114301</v>
      </c>
      <c r="G35" s="8"/>
      <c r="H35" s="15"/>
      <c r="I35" s="15"/>
      <c r="J35" s="15"/>
      <c r="K35" s="15"/>
    </row>
    <row r="36" spans="2:11" x14ac:dyDescent="0.2">
      <c r="B36" s="11" t="s">
        <v>48</v>
      </c>
      <c r="C36" s="15">
        <v>803</v>
      </c>
      <c r="D36" s="15">
        <v>258</v>
      </c>
      <c r="E36" s="15">
        <v>-334</v>
      </c>
      <c r="F36" s="15">
        <v>-565</v>
      </c>
      <c r="G36" s="8"/>
      <c r="H36" s="15"/>
      <c r="I36" s="15"/>
      <c r="J36" s="15"/>
      <c r="K36" s="15"/>
    </row>
    <row r="37" spans="2:11" x14ac:dyDescent="0.2">
      <c r="B37" s="11" t="s">
        <v>49</v>
      </c>
      <c r="C37" s="15">
        <v>67091</v>
      </c>
      <c r="D37" s="15">
        <v>109207</v>
      </c>
      <c r="E37" s="15">
        <v>119103</v>
      </c>
      <c r="F37" s="15">
        <v>113736</v>
      </c>
      <c r="G37" s="8"/>
      <c r="H37" s="15"/>
      <c r="I37" s="15"/>
      <c r="J37" s="15"/>
      <c r="K37" s="15"/>
    </row>
    <row r="38" spans="2:11" x14ac:dyDescent="0.2">
      <c r="B38" s="11" t="s">
        <v>50</v>
      </c>
      <c r="C38" s="15">
        <v>9680</v>
      </c>
      <c r="D38" s="15">
        <v>14527</v>
      </c>
      <c r="E38" s="15">
        <v>19300</v>
      </c>
      <c r="F38" s="15">
        <v>16741</v>
      </c>
      <c r="G38" s="8"/>
      <c r="H38" s="15"/>
      <c r="I38" s="15"/>
      <c r="J38" s="15"/>
      <c r="K38" s="15"/>
    </row>
    <row r="39" spans="2:11" x14ac:dyDescent="0.2">
      <c r="B39" s="11" t="s">
        <v>51</v>
      </c>
      <c r="C39" s="16">
        <v>57411</v>
      </c>
      <c r="D39" s="16">
        <v>94680</v>
      </c>
      <c r="E39" s="16">
        <v>99803</v>
      </c>
      <c r="F39" s="16">
        <v>96995</v>
      </c>
      <c r="G39" s="8"/>
      <c r="H39" s="16"/>
      <c r="I39" s="16"/>
      <c r="J39" s="16"/>
      <c r="K39" s="16"/>
    </row>
    <row r="40" spans="2:11" x14ac:dyDescent="0.2">
      <c r="C40" s="15"/>
      <c r="D40" s="15"/>
      <c r="E40" s="15"/>
      <c r="F40" s="15"/>
      <c r="G40" s="8"/>
      <c r="H40" s="15"/>
      <c r="I40" s="15"/>
      <c r="J40" s="15"/>
      <c r="K40" s="15"/>
    </row>
    <row r="41" spans="2:11" x14ac:dyDescent="0.2">
      <c r="B41" s="11" t="s">
        <v>52</v>
      </c>
      <c r="C41" s="15"/>
      <c r="D41" s="15"/>
      <c r="E41" s="15"/>
      <c r="F41" s="15"/>
      <c r="G41" s="8"/>
      <c r="H41" s="15"/>
      <c r="I41" s="15"/>
      <c r="J41" s="15"/>
      <c r="K41" s="15"/>
    </row>
    <row r="42" spans="2:11" x14ac:dyDescent="0.2">
      <c r="B42" s="11" t="s">
        <v>53</v>
      </c>
      <c r="C42" s="16">
        <v>3.31</v>
      </c>
      <c r="D42" s="16">
        <v>5.67</v>
      </c>
      <c r="E42" s="16">
        <v>6.15</v>
      </c>
      <c r="F42" s="16">
        <v>6.16</v>
      </c>
      <c r="G42" s="8"/>
      <c r="H42" s="16"/>
      <c r="I42" s="16"/>
      <c r="J42" s="16"/>
      <c r="K42" s="16"/>
    </row>
    <row r="43" spans="2:11" x14ac:dyDescent="0.2">
      <c r="B43" s="11" t="s">
        <v>54</v>
      </c>
      <c r="C43" s="16">
        <v>3.28</v>
      </c>
      <c r="D43" s="16">
        <v>5.61</v>
      </c>
      <c r="E43" s="16">
        <v>6.11</v>
      </c>
      <c r="F43" s="16">
        <v>6.13</v>
      </c>
      <c r="G43" s="8"/>
      <c r="H43" s="16"/>
      <c r="I43" s="16"/>
      <c r="J43" s="16"/>
      <c r="K43" s="16"/>
    </row>
    <row r="44" spans="2:11" x14ac:dyDescent="0.2">
      <c r="C44" s="15"/>
      <c r="D44" s="15"/>
      <c r="E44" s="15"/>
      <c r="F44" s="15"/>
      <c r="G44" s="8"/>
      <c r="H44" s="15"/>
      <c r="I44" s="15"/>
      <c r="J44" s="15"/>
      <c r="K44" s="15"/>
    </row>
    <row r="45" spans="2:11" x14ac:dyDescent="0.2">
      <c r="B45" s="11" t="s">
        <v>55</v>
      </c>
      <c r="C45" s="15"/>
      <c r="D45" s="15"/>
      <c r="E45" s="15"/>
      <c r="F45" s="15"/>
      <c r="G45" s="8"/>
      <c r="H45" s="15"/>
      <c r="I45" s="15"/>
      <c r="J45" s="15"/>
      <c r="K45" s="15"/>
    </row>
    <row r="46" spans="2:11" x14ac:dyDescent="0.2">
      <c r="B46" s="11" t="s">
        <v>53</v>
      </c>
      <c r="C46" s="15">
        <v>17352119</v>
      </c>
      <c r="D46" s="15">
        <v>16701272</v>
      </c>
      <c r="E46" s="15">
        <v>16215963</v>
      </c>
      <c r="F46" s="15">
        <v>15744231</v>
      </c>
      <c r="G46" s="8"/>
      <c r="H46" s="15"/>
      <c r="I46" s="15"/>
      <c r="J46" s="15"/>
      <c r="K46" s="15"/>
    </row>
    <row r="47" spans="2:11" x14ac:dyDescent="0.2">
      <c r="B47" s="11" t="s">
        <v>54</v>
      </c>
      <c r="C47" s="15">
        <v>17528214</v>
      </c>
      <c r="D47" s="15">
        <v>16864919</v>
      </c>
      <c r="E47" s="15">
        <v>16325819</v>
      </c>
      <c r="F47" s="15">
        <v>15812547</v>
      </c>
      <c r="G47" s="8"/>
      <c r="H47" s="15"/>
      <c r="I47" s="15"/>
      <c r="J47" s="15"/>
      <c r="K47" s="15"/>
    </row>
  </sheetData>
  <hyperlinks>
    <hyperlink ref="A8" location="Table_Of_Contents!A1" display="Table Of Contents" xr:uid="{00000000-0004-0000-02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H59"/>
  <sheetViews>
    <sheetView topLeftCell="A19" zoomScaleNormal="100" workbookViewId="0">
      <selection activeCell="C25" sqref="C25:G25"/>
    </sheetView>
  </sheetViews>
  <sheetFormatPr baseColWidth="10" defaultRowHeight="15" x14ac:dyDescent="0.2"/>
  <cols>
    <col min="1" max="1" width="3" style="8" customWidth="1"/>
    <col min="2" max="2" width="73" style="8" customWidth="1"/>
    <col min="3" max="6" width="18.33203125" style="8" customWidth="1"/>
    <col min="7" max="256" width="20.83203125" style="8" customWidth="1"/>
    <col min="257" max="257" width="3" style="8" customWidth="1"/>
    <col min="258" max="258" width="73" style="8" customWidth="1"/>
    <col min="259" max="260" width="17" style="8" customWidth="1"/>
    <col min="261" max="512" width="20.83203125" style="8" customWidth="1"/>
    <col min="513" max="513" width="3" style="8" customWidth="1"/>
    <col min="514" max="514" width="73" style="8" customWidth="1"/>
    <col min="515" max="516" width="17" style="8" customWidth="1"/>
    <col min="517" max="768" width="20.83203125" style="8" customWidth="1"/>
    <col min="769" max="769" width="3" style="8" customWidth="1"/>
    <col min="770" max="770" width="73" style="8" customWidth="1"/>
    <col min="771" max="772" width="17" style="8" customWidth="1"/>
    <col min="773" max="1024" width="20.83203125" style="8" customWidth="1"/>
    <col min="1025" max="1025" width="3" style="8" customWidth="1"/>
    <col min="1026" max="1026" width="73" style="8" customWidth="1"/>
    <col min="1027" max="1028" width="17" style="8" customWidth="1"/>
    <col min="1029" max="1280" width="20.83203125" style="8" customWidth="1"/>
    <col min="1281" max="1281" width="3" style="8" customWidth="1"/>
    <col min="1282" max="1282" width="73" style="8" customWidth="1"/>
    <col min="1283" max="1284" width="17" style="8" customWidth="1"/>
    <col min="1285" max="1536" width="20.83203125" style="8" customWidth="1"/>
    <col min="1537" max="1537" width="3" style="8" customWidth="1"/>
    <col min="1538" max="1538" width="73" style="8" customWidth="1"/>
    <col min="1539" max="1540" width="17" style="8" customWidth="1"/>
    <col min="1541" max="1792" width="20.83203125" style="8" customWidth="1"/>
    <col min="1793" max="1793" width="3" style="8" customWidth="1"/>
    <col min="1794" max="1794" width="73" style="8" customWidth="1"/>
    <col min="1795" max="1796" width="17" style="8" customWidth="1"/>
    <col min="1797" max="2048" width="20.83203125" style="8" customWidth="1"/>
    <col min="2049" max="2049" width="3" style="8" customWidth="1"/>
    <col min="2050" max="2050" width="73" style="8" customWidth="1"/>
    <col min="2051" max="2052" width="17" style="8" customWidth="1"/>
    <col min="2053" max="2304" width="20.83203125" style="8" customWidth="1"/>
    <col min="2305" max="2305" width="3" style="8" customWidth="1"/>
    <col min="2306" max="2306" width="73" style="8" customWidth="1"/>
    <col min="2307" max="2308" width="17" style="8" customWidth="1"/>
    <col min="2309" max="2560" width="20.83203125" style="8" customWidth="1"/>
    <col min="2561" max="2561" width="3" style="8" customWidth="1"/>
    <col min="2562" max="2562" width="73" style="8" customWidth="1"/>
    <col min="2563" max="2564" width="17" style="8" customWidth="1"/>
    <col min="2565" max="2816" width="20.83203125" style="8" customWidth="1"/>
    <col min="2817" max="2817" width="3" style="8" customWidth="1"/>
    <col min="2818" max="2818" width="73" style="8" customWidth="1"/>
    <col min="2819" max="2820" width="17" style="8" customWidth="1"/>
    <col min="2821" max="3072" width="20.83203125" style="8" customWidth="1"/>
    <col min="3073" max="3073" width="3" style="8" customWidth="1"/>
    <col min="3074" max="3074" width="73" style="8" customWidth="1"/>
    <col min="3075" max="3076" width="17" style="8" customWidth="1"/>
    <col min="3077" max="3328" width="20.83203125" style="8" customWidth="1"/>
    <col min="3329" max="3329" width="3" style="8" customWidth="1"/>
    <col min="3330" max="3330" width="73" style="8" customWidth="1"/>
    <col min="3331" max="3332" width="17" style="8" customWidth="1"/>
    <col min="3333" max="3584" width="20.83203125" style="8" customWidth="1"/>
    <col min="3585" max="3585" width="3" style="8" customWidth="1"/>
    <col min="3586" max="3586" width="73" style="8" customWidth="1"/>
    <col min="3587" max="3588" width="17" style="8" customWidth="1"/>
    <col min="3589" max="3840" width="20.83203125" style="8" customWidth="1"/>
    <col min="3841" max="3841" width="3" style="8" customWidth="1"/>
    <col min="3842" max="3842" width="73" style="8" customWidth="1"/>
    <col min="3843" max="3844" width="17" style="8" customWidth="1"/>
    <col min="3845" max="4096" width="20.83203125" style="8" customWidth="1"/>
    <col min="4097" max="4097" width="3" style="8" customWidth="1"/>
    <col min="4098" max="4098" width="73" style="8" customWidth="1"/>
    <col min="4099" max="4100" width="17" style="8" customWidth="1"/>
    <col min="4101" max="4352" width="20.83203125" style="8" customWidth="1"/>
    <col min="4353" max="4353" width="3" style="8" customWidth="1"/>
    <col min="4354" max="4354" width="73" style="8" customWidth="1"/>
    <col min="4355" max="4356" width="17" style="8" customWidth="1"/>
    <col min="4357" max="4608" width="20.83203125" style="8" customWidth="1"/>
    <col min="4609" max="4609" width="3" style="8" customWidth="1"/>
    <col min="4610" max="4610" width="73" style="8" customWidth="1"/>
    <col min="4611" max="4612" width="17" style="8" customWidth="1"/>
    <col min="4613" max="4864" width="20.83203125" style="8" customWidth="1"/>
    <col min="4865" max="4865" width="3" style="8" customWidth="1"/>
    <col min="4866" max="4866" width="73" style="8" customWidth="1"/>
    <col min="4867" max="4868" width="17" style="8" customWidth="1"/>
    <col min="4869" max="5120" width="20.83203125" style="8" customWidth="1"/>
    <col min="5121" max="5121" width="3" style="8" customWidth="1"/>
    <col min="5122" max="5122" width="73" style="8" customWidth="1"/>
    <col min="5123" max="5124" width="17" style="8" customWidth="1"/>
    <col min="5125" max="5376" width="20.83203125" style="8" customWidth="1"/>
    <col min="5377" max="5377" width="3" style="8" customWidth="1"/>
    <col min="5378" max="5378" width="73" style="8" customWidth="1"/>
    <col min="5379" max="5380" width="17" style="8" customWidth="1"/>
    <col min="5381" max="5632" width="20.83203125" style="8" customWidth="1"/>
    <col min="5633" max="5633" width="3" style="8" customWidth="1"/>
    <col min="5634" max="5634" width="73" style="8" customWidth="1"/>
    <col min="5635" max="5636" width="17" style="8" customWidth="1"/>
    <col min="5637" max="5888" width="20.83203125" style="8" customWidth="1"/>
    <col min="5889" max="5889" width="3" style="8" customWidth="1"/>
    <col min="5890" max="5890" width="73" style="8" customWidth="1"/>
    <col min="5891" max="5892" width="17" style="8" customWidth="1"/>
    <col min="5893" max="6144" width="20.83203125" style="8" customWidth="1"/>
    <col min="6145" max="6145" width="3" style="8" customWidth="1"/>
    <col min="6146" max="6146" width="73" style="8" customWidth="1"/>
    <col min="6147" max="6148" width="17" style="8" customWidth="1"/>
    <col min="6149" max="6400" width="20.83203125" style="8" customWidth="1"/>
    <col min="6401" max="6401" width="3" style="8" customWidth="1"/>
    <col min="6402" max="6402" width="73" style="8" customWidth="1"/>
    <col min="6403" max="6404" width="17" style="8" customWidth="1"/>
    <col min="6405" max="6656" width="20.83203125" style="8" customWidth="1"/>
    <col min="6657" max="6657" width="3" style="8" customWidth="1"/>
    <col min="6658" max="6658" width="73" style="8" customWidth="1"/>
    <col min="6659" max="6660" width="17" style="8" customWidth="1"/>
    <col min="6661" max="6912" width="20.83203125" style="8" customWidth="1"/>
    <col min="6913" max="6913" width="3" style="8" customWidth="1"/>
    <col min="6914" max="6914" width="73" style="8" customWidth="1"/>
    <col min="6915" max="6916" width="17" style="8" customWidth="1"/>
    <col min="6917" max="7168" width="20.83203125" style="8" customWidth="1"/>
    <col min="7169" max="7169" width="3" style="8" customWidth="1"/>
    <col min="7170" max="7170" width="73" style="8" customWidth="1"/>
    <col min="7171" max="7172" width="17" style="8" customWidth="1"/>
    <col min="7173" max="7424" width="20.83203125" style="8" customWidth="1"/>
    <col min="7425" max="7425" width="3" style="8" customWidth="1"/>
    <col min="7426" max="7426" width="73" style="8" customWidth="1"/>
    <col min="7427" max="7428" width="17" style="8" customWidth="1"/>
    <col min="7429" max="7680" width="20.83203125" style="8" customWidth="1"/>
    <col min="7681" max="7681" width="3" style="8" customWidth="1"/>
    <col min="7682" max="7682" width="73" style="8" customWidth="1"/>
    <col min="7683" max="7684" width="17" style="8" customWidth="1"/>
    <col min="7685" max="7936" width="20.83203125" style="8" customWidth="1"/>
    <col min="7937" max="7937" width="3" style="8" customWidth="1"/>
    <col min="7938" max="7938" width="73" style="8" customWidth="1"/>
    <col min="7939" max="7940" width="17" style="8" customWidth="1"/>
    <col min="7941" max="8192" width="20.83203125" style="8" customWidth="1"/>
    <col min="8193" max="8193" width="3" style="8" customWidth="1"/>
    <col min="8194" max="8194" width="73" style="8" customWidth="1"/>
    <col min="8195" max="8196" width="17" style="8" customWidth="1"/>
    <col min="8197" max="8448" width="20.83203125" style="8" customWidth="1"/>
    <col min="8449" max="8449" width="3" style="8" customWidth="1"/>
    <col min="8450" max="8450" width="73" style="8" customWidth="1"/>
    <col min="8451" max="8452" width="17" style="8" customWidth="1"/>
    <col min="8453" max="8704" width="20.83203125" style="8" customWidth="1"/>
    <col min="8705" max="8705" width="3" style="8" customWidth="1"/>
    <col min="8706" max="8706" width="73" style="8" customWidth="1"/>
    <col min="8707" max="8708" width="17" style="8" customWidth="1"/>
    <col min="8709" max="8960" width="20.83203125" style="8" customWidth="1"/>
    <col min="8961" max="8961" width="3" style="8" customWidth="1"/>
    <col min="8962" max="8962" width="73" style="8" customWidth="1"/>
    <col min="8963" max="8964" width="17" style="8" customWidth="1"/>
    <col min="8965" max="9216" width="20.83203125" style="8" customWidth="1"/>
    <col min="9217" max="9217" width="3" style="8" customWidth="1"/>
    <col min="9218" max="9218" width="73" style="8" customWidth="1"/>
    <col min="9219" max="9220" width="17" style="8" customWidth="1"/>
    <col min="9221" max="9472" width="20.83203125" style="8" customWidth="1"/>
    <col min="9473" max="9473" width="3" style="8" customWidth="1"/>
    <col min="9474" max="9474" width="73" style="8" customWidth="1"/>
    <col min="9475" max="9476" width="17" style="8" customWidth="1"/>
    <col min="9477" max="9728" width="20.83203125" style="8" customWidth="1"/>
    <col min="9729" max="9729" width="3" style="8" customWidth="1"/>
    <col min="9730" max="9730" width="73" style="8" customWidth="1"/>
    <col min="9731" max="9732" width="17" style="8" customWidth="1"/>
    <col min="9733" max="9984" width="20.83203125" style="8" customWidth="1"/>
    <col min="9985" max="9985" width="3" style="8" customWidth="1"/>
    <col min="9986" max="9986" width="73" style="8" customWidth="1"/>
    <col min="9987" max="9988" width="17" style="8" customWidth="1"/>
    <col min="9989" max="10240" width="20.83203125" style="8" customWidth="1"/>
    <col min="10241" max="10241" width="3" style="8" customWidth="1"/>
    <col min="10242" max="10242" width="73" style="8" customWidth="1"/>
    <col min="10243" max="10244" width="17" style="8" customWidth="1"/>
    <col min="10245" max="10496" width="20.83203125" style="8" customWidth="1"/>
    <col min="10497" max="10497" width="3" style="8" customWidth="1"/>
    <col min="10498" max="10498" width="73" style="8" customWidth="1"/>
    <col min="10499" max="10500" width="17" style="8" customWidth="1"/>
    <col min="10501" max="10752" width="20.83203125" style="8" customWidth="1"/>
    <col min="10753" max="10753" width="3" style="8" customWidth="1"/>
    <col min="10754" max="10754" width="73" style="8" customWidth="1"/>
    <col min="10755" max="10756" width="17" style="8" customWidth="1"/>
    <col min="10757" max="11008" width="20.83203125" style="8" customWidth="1"/>
    <col min="11009" max="11009" width="3" style="8" customWidth="1"/>
    <col min="11010" max="11010" width="73" style="8" customWidth="1"/>
    <col min="11011" max="11012" width="17" style="8" customWidth="1"/>
    <col min="11013" max="11264" width="20.83203125" style="8" customWidth="1"/>
    <col min="11265" max="11265" width="3" style="8" customWidth="1"/>
    <col min="11266" max="11266" width="73" style="8" customWidth="1"/>
    <col min="11267" max="11268" width="17" style="8" customWidth="1"/>
    <col min="11269" max="11520" width="20.83203125" style="8" customWidth="1"/>
    <col min="11521" max="11521" width="3" style="8" customWidth="1"/>
    <col min="11522" max="11522" width="73" style="8" customWidth="1"/>
    <col min="11523" max="11524" width="17" style="8" customWidth="1"/>
    <col min="11525" max="11776" width="20.83203125" style="8" customWidth="1"/>
    <col min="11777" max="11777" width="3" style="8" customWidth="1"/>
    <col min="11778" max="11778" width="73" style="8" customWidth="1"/>
    <col min="11779" max="11780" width="17" style="8" customWidth="1"/>
    <col min="11781" max="12032" width="20.83203125" style="8" customWidth="1"/>
    <col min="12033" max="12033" width="3" style="8" customWidth="1"/>
    <col min="12034" max="12034" width="73" style="8" customWidth="1"/>
    <col min="12035" max="12036" width="17" style="8" customWidth="1"/>
    <col min="12037" max="12288" width="20.83203125" style="8" customWidth="1"/>
    <col min="12289" max="12289" width="3" style="8" customWidth="1"/>
    <col min="12290" max="12290" width="73" style="8" customWidth="1"/>
    <col min="12291" max="12292" width="17" style="8" customWidth="1"/>
    <col min="12293" max="12544" width="20.83203125" style="8" customWidth="1"/>
    <col min="12545" max="12545" width="3" style="8" customWidth="1"/>
    <col min="12546" max="12546" width="73" style="8" customWidth="1"/>
    <col min="12547" max="12548" width="17" style="8" customWidth="1"/>
    <col min="12549" max="12800" width="20.83203125" style="8" customWidth="1"/>
    <col min="12801" max="12801" width="3" style="8" customWidth="1"/>
    <col min="12802" max="12802" width="73" style="8" customWidth="1"/>
    <col min="12803" max="12804" width="17" style="8" customWidth="1"/>
    <col min="12805" max="13056" width="20.83203125" style="8" customWidth="1"/>
    <col min="13057" max="13057" width="3" style="8" customWidth="1"/>
    <col min="13058" max="13058" width="73" style="8" customWidth="1"/>
    <col min="13059" max="13060" width="17" style="8" customWidth="1"/>
    <col min="13061" max="13312" width="20.83203125" style="8" customWidth="1"/>
    <col min="13313" max="13313" width="3" style="8" customWidth="1"/>
    <col min="13314" max="13314" width="73" style="8" customWidth="1"/>
    <col min="13315" max="13316" width="17" style="8" customWidth="1"/>
    <col min="13317" max="13568" width="20.83203125" style="8" customWidth="1"/>
    <col min="13569" max="13569" width="3" style="8" customWidth="1"/>
    <col min="13570" max="13570" width="73" style="8" customWidth="1"/>
    <col min="13571" max="13572" width="17" style="8" customWidth="1"/>
    <col min="13573" max="13824" width="20.83203125" style="8" customWidth="1"/>
    <col min="13825" max="13825" width="3" style="8" customWidth="1"/>
    <col min="13826" max="13826" width="73" style="8" customWidth="1"/>
    <col min="13827" max="13828" width="17" style="8" customWidth="1"/>
    <col min="13829" max="14080" width="20.83203125" style="8" customWidth="1"/>
    <col min="14081" max="14081" width="3" style="8" customWidth="1"/>
    <col min="14082" max="14082" width="73" style="8" customWidth="1"/>
    <col min="14083" max="14084" width="17" style="8" customWidth="1"/>
    <col min="14085" max="14336" width="20.83203125" style="8" customWidth="1"/>
    <col min="14337" max="14337" width="3" style="8" customWidth="1"/>
    <col min="14338" max="14338" width="73" style="8" customWidth="1"/>
    <col min="14339" max="14340" width="17" style="8" customWidth="1"/>
    <col min="14341" max="14592" width="20.83203125" style="8" customWidth="1"/>
    <col min="14593" max="14593" width="3" style="8" customWidth="1"/>
    <col min="14594" max="14594" width="73" style="8" customWidth="1"/>
    <col min="14595" max="14596" width="17" style="8" customWidth="1"/>
    <col min="14597" max="14848" width="20.83203125" style="8" customWidth="1"/>
    <col min="14849" max="14849" width="3" style="8" customWidth="1"/>
    <col min="14850" max="14850" width="73" style="8" customWidth="1"/>
    <col min="14851" max="14852" width="17" style="8" customWidth="1"/>
    <col min="14853" max="15104" width="20.83203125" style="8" customWidth="1"/>
    <col min="15105" max="15105" width="3" style="8" customWidth="1"/>
    <col min="15106" max="15106" width="73" style="8" customWidth="1"/>
    <col min="15107" max="15108" width="17" style="8" customWidth="1"/>
    <col min="15109" max="15360" width="20.83203125" style="8" customWidth="1"/>
    <col min="15361" max="15361" width="3" style="8" customWidth="1"/>
    <col min="15362" max="15362" width="73" style="8" customWidth="1"/>
    <col min="15363" max="15364" width="17" style="8" customWidth="1"/>
    <col min="15365" max="15616" width="20.83203125" style="8" customWidth="1"/>
    <col min="15617" max="15617" width="3" style="8" customWidth="1"/>
    <col min="15618" max="15618" width="73" style="8" customWidth="1"/>
    <col min="15619" max="15620" width="17" style="8" customWidth="1"/>
    <col min="15621" max="15872" width="20.83203125" style="8" customWidth="1"/>
    <col min="15873" max="15873" width="3" style="8" customWidth="1"/>
    <col min="15874" max="15874" width="73" style="8" customWidth="1"/>
    <col min="15875" max="15876" width="17" style="8" customWidth="1"/>
    <col min="15877" max="16128" width="20.83203125" style="8" customWidth="1"/>
    <col min="16129" max="16129" width="3" style="8" customWidth="1"/>
    <col min="16130" max="16130" width="73" style="8" customWidth="1"/>
    <col min="16131" max="16132" width="17" style="8" customWidth="1"/>
    <col min="16133" max="16384" width="20.83203125" style="8" customWidth="1"/>
  </cols>
  <sheetData>
    <row r="1" spans="1:6" x14ac:dyDescent="0.2">
      <c r="A1" s="135" t="s">
        <v>30</v>
      </c>
      <c r="B1" s="134"/>
      <c r="C1" s="134"/>
      <c r="D1" s="134"/>
    </row>
    <row r="2" spans="1:6" x14ac:dyDescent="0.2">
      <c r="A2" s="135"/>
      <c r="B2" s="134"/>
      <c r="C2" s="134"/>
      <c r="D2" s="134"/>
    </row>
    <row r="3" spans="1:6" x14ac:dyDescent="0.2">
      <c r="A3" s="135" t="s">
        <v>31</v>
      </c>
      <c r="B3" s="134"/>
      <c r="C3" s="134"/>
      <c r="D3" s="134"/>
    </row>
    <row r="4" spans="1:6" x14ac:dyDescent="0.2">
      <c r="A4" s="135" t="s">
        <v>56</v>
      </c>
      <c r="B4" s="134"/>
      <c r="C4" s="134"/>
      <c r="D4" s="134"/>
    </row>
    <row r="5" spans="1:6" x14ac:dyDescent="0.2">
      <c r="A5" s="135" t="s">
        <v>33</v>
      </c>
      <c r="B5" s="134"/>
      <c r="C5" s="134"/>
      <c r="D5" s="134"/>
    </row>
    <row r="6" spans="1:6" x14ac:dyDescent="0.2">
      <c r="A6" s="135" t="s">
        <v>34</v>
      </c>
      <c r="B6" s="134"/>
      <c r="C6" s="134"/>
      <c r="D6" s="134"/>
    </row>
    <row r="7" spans="1:6" x14ac:dyDescent="0.2">
      <c r="A7" s="135" t="s">
        <v>35</v>
      </c>
      <c r="B7" s="134"/>
      <c r="C7" s="134"/>
      <c r="D7" s="134"/>
    </row>
    <row r="8" spans="1:6" x14ac:dyDescent="0.2">
      <c r="A8" s="136" t="s">
        <v>36</v>
      </c>
      <c r="B8" s="134"/>
      <c r="C8" s="134"/>
      <c r="D8" s="134"/>
    </row>
    <row r="9" spans="1:6" x14ac:dyDescent="0.2">
      <c r="A9" s="135"/>
      <c r="B9" s="134"/>
      <c r="C9" s="134"/>
      <c r="D9" s="134"/>
    </row>
    <row r="10" spans="1:6" x14ac:dyDescent="0.2">
      <c r="B10" s="133" t="s">
        <v>37</v>
      </c>
      <c r="C10" s="134"/>
    </row>
    <row r="12" spans="1:6" x14ac:dyDescent="0.2">
      <c r="B12" s="133" t="s">
        <v>57</v>
      </c>
      <c r="C12" s="134"/>
    </row>
    <row r="13" spans="1:6" x14ac:dyDescent="0.2">
      <c r="B13" s="133" t="s">
        <v>58</v>
      </c>
      <c r="C13" s="134"/>
    </row>
    <row r="14" spans="1:6" x14ac:dyDescent="0.2">
      <c r="B14" s="133" t="s">
        <v>59</v>
      </c>
      <c r="C14" s="134"/>
    </row>
    <row r="16" spans="1:6" x14ac:dyDescent="0.2">
      <c r="B16" s="11"/>
      <c r="C16" s="11"/>
      <c r="D16" s="11"/>
      <c r="E16" s="11"/>
      <c r="F16" s="11"/>
    </row>
    <row r="17" spans="2:8" x14ac:dyDescent="0.2">
      <c r="B17" s="11"/>
      <c r="C17" s="11">
        <v>2020</v>
      </c>
      <c r="D17" s="11">
        <v>2021</v>
      </c>
      <c r="E17" s="11">
        <v>2022</v>
      </c>
      <c r="F17" s="11">
        <v>2023</v>
      </c>
    </row>
    <row r="18" spans="2:8" x14ac:dyDescent="0.2">
      <c r="B18" s="11" t="s">
        <v>60</v>
      </c>
    </row>
    <row r="19" spans="2:8" x14ac:dyDescent="0.2">
      <c r="B19" s="11" t="s">
        <v>61</v>
      </c>
    </row>
    <row r="20" spans="2:8" x14ac:dyDescent="0.2">
      <c r="B20" s="11" t="s">
        <v>62</v>
      </c>
      <c r="C20" s="12">
        <v>38016</v>
      </c>
      <c r="D20" s="12">
        <v>34940</v>
      </c>
      <c r="E20" s="12">
        <v>23646</v>
      </c>
      <c r="F20" s="12">
        <v>29965</v>
      </c>
      <c r="H20" s="22"/>
    </row>
    <row r="21" spans="2:8" x14ac:dyDescent="0.2">
      <c r="B21" s="11" t="s">
        <v>63</v>
      </c>
      <c r="C21" s="13">
        <v>52927</v>
      </c>
      <c r="D21" s="13">
        <v>27699</v>
      </c>
      <c r="E21" s="13">
        <v>24658</v>
      </c>
      <c r="F21" s="13">
        <v>31590</v>
      </c>
    </row>
    <row r="22" spans="2:8" x14ac:dyDescent="0.2">
      <c r="B22" s="11" t="s">
        <v>64</v>
      </c>
      <c r="C22" s="13">
        <v>16120</v>
      </c>
      <c r="D22" s="13">
        <v>26278</v>
      </c>
      <c r="E22" s="13">
        <v>28184</v>
      </c>
      <c r="F22" s="13">
        <v>29508</v>
      </c>
    </row>
    <row r="23" spans="2:8" x14ac:dyDescent="0.2">
      <c r="B23" s="11" t="s">
        <v>65</v>
      </c>
      <c r="C23" s="13">
        <v>21325</v>
      </c>
      <c r="D23" s="13">
        <v>25228</v>
      </c>
      <c r="E23" s="13">
        <v>32748</v>
      </c>
      <c r="F23" s="13">
        <v>31477</v>
      </c>
    </row>
    <row r="24" spans="2:8" x14ac:dyDescent="0.2">
      <c r="B24" s="11" t="s">
        <v>66</v>
      </c>
      <c r="C24" s="13">
        <v>4061</v>
      </c>
      <c r="D24" s="13">
        <v>6580</v>
      </c>
      <c r="E24" s="13">
        <v>4946</v>
      </c>
      <c r="F24" s="13">
        <v>6331</v>
      </c>
    </row>
    <row r="25" spans="2:8" x14ac:dyDescent="0.2">
      <c r="B25" s="11" t="s">
        <v>67</v>
      </c>
      <c r="C25" s="13">
        <v>11264</v>
      </c>
      <c r="D25" s="13">
        <v>14111</v>
      </c>
      <c r="E25" s="13">
        <v>21223</v>
      </c>
      <c r="F25" s="13">
        <v>14695</v>
      </c>
    </row>
    <row r="26" spans="2:8" x14ac:dyDescent="0.2">
      <c r="B26" s="11" t="s">
        <v>68</v>
      </c>
      <c r="C26" s="13">
        <v>143713</v>
      </c>
      <c r="D26" s="13">
        <v>134836</v>
      </c>
      <c r="E26" s="13">
        <v>135405</v>
      </c>
      <c r="F26" s="13">
        <v>143566</v>
      </c>
    </row>
    <row r="28" spans="2:8" x14ac:dyDescent="0.2">
      <c r="B28" s="11" t="s">
        <v>69</v>
      </c>
    </row>
    <row r="29" spans="2:8" x14ac:dyDescent="0.2">
      <c r="B29" s="11" t="s">
        <v>63</v>
      </c>
      <c r="C29" s="13">
        <v>100887</v>
      </c>
      <c r="D29" s="13">
        <v>127877</v>
      </c>
      <c r="E29" s="13">
        <v>120805</v>
      </c>
      <c r="F29" s="13">
        <v>100544</v>
      </c>
    </row>
    <row r="30" spans="2:8" x14ac:dyDescent="0.2">
      <c r="B30" s="11" t="s">
        <v>70</v>
      </c>
      <c r="C30" s="13">
        <v>36766</v>
      </c>
      <c r="D30" s="13">
        <v>39440</v>
      </c>
      <c r="E30" s="13">
        <v>42117</v>
      </c>
      <c r="F30" s="13">
        <v>43715</v>
      </c>
    </row>
    <row r="31" spans="2:8" x14ac:dyDescent="0.2">
      <c r="B31" s="11" t="s">
        <v>71</v>
      </c>
      <c r="C31" s="13">
        <v>42522</v>
      </c>
      <c r="D31" s="13">
        <v>48849</v>
      </c>
      <c r="E31" s="13">
        <v>54428</v>
      </c>
      <c r="F31" s="13">
        <v>64758</v>
      </c>
    </row>
    <row r="32" spans="2:8" x14ac:dyDescent="0.2">
      <c r="B32" s="11" t="s">
        <v>72</v>
      </c>
      <c r="C32" s="13">
        <v>180175</v>
      </c>
      <c r="D32" s="13">
        <v>216166</v>
      </c>
      <c r="E32" s="13">
        <v>217350</v>
      </c>
      <c r="F32" s="13">
        <v>209017</v>
      </c>
    </row>
    <row r="33" spans="2:6" x14ac:dyDescent="0.2">
      <c r="B33" s="11" t="s">
        <v>73</v>
      </c>
      <c r="C33" s="12">
        <v>323888</v>
      </c>
      <c r="D33" s="12">
        <v>351002</v>
      </c>
      <c r="E33" s="12">
        <v>352755</v>
      </c>
      <c r="F33" s="12">
        <v>352583</v>
      </c>
    </row>
    <row r="35" spans="2:6" x14ac:dyDescent="0.2">
      <c r="B35" s="11" t="s">
        <v>74</v>
      </c>
    </row>
    <row r="36" spans="2:6" x14ac:dyDescent="0.2">
      <c r="B36" s="11" t="s">
        <v>75</v>
      </c>
    </row>
    <row r="37" spans="2:6" x14ac:dyDescent="0.2">
      <c r="B37" s="11" t="s">
        <v>76</v>
      </c>
      <c r="C37" s="12">
        <v>42296</v>
      </c>
      <c r="D37" s="12">
        <v>54763</v>
      </c>
      <c r="E37" s="12">
        <v>64115</v>
      </c>
      <c r="F37" s="12">
        <v>62611</v>
      </c>
    </row>
    <row r="38" spans="2:6" x14ac:dyDescent="0.2">
      <c r="B38" s="11" t="s">
        <v>77</v>
      </c>
      <c r="C38" s="13">
        <v>42684</v>
      </c>
      <c r="D38" s="13">
        <v>47493</v>
      </c>
      <c r="E38" s="13">
        <v>60845</v>
      </c>
      <c r="F38" s="13">
        <v>58829</v>
      </c>
    </row>
    <row r="39" spans="2:6" x14ac:dyDescent="0.2">
      <c r="B39" s="11" t="s">
        <v>78</v>
      </c>
      <c r="C39" s="13">
        <v>6643</v>
      </c>
      <c r="D39" s="13">
        <v>7612</v>
      </c>
      <c r="E39" s="13">
        <v>7912</v>
      </c>
      <c r="F39" s="13">
        <v>8061</v>
      </c>
    </row>
    <row r="40" spans="2:6" x14ac:dyDescent="0.2">
      <c r="B40" s="11" t="s">
        <v>79</v>
      </c>
      <c r="C40" s="13">
        <v>4996</v>
      </c>
      <c r="D40" s="13">
        <v>6000</v>
      </c>
      <c r="E40" s="13">
        <v>9982</v>
      </c>
      <c r="F40" s="13">
        <v>5985</v>
      </c>
    </row>
    <row r="41" spans="2:6" x14ac:dyDescent="0.2">
      <c r="B41" s="11" t="s">
        <v>80</v>
      </c>
      <c r="C41" s="13">
        <v>8773</v>
      </c>
      <c r="D41" s="13">
        <v>9613</v>
      </c>
      <c r="E41" s="13">
        <v>11128</v>
      </c>
      <c r="F41" s="13">
        <v>9822</v>
      </c>
    </row>
    <row r="42" spans="2:6" x14ac:dyDescent="0.2">
      <c r="B42" s="11" t="s">
        <v>81</v>
      </c>
      <c r="C42" s="13">
        <v>105392</v>
      </c>
      <c r="D42" s="13">
        <v>125481</v>
      </c>
      <c r="E42" s="13">
        <v>153982</v>
      </c>
      <c r="F42" s="13">
        <v>145308</v>
      </c>
    </row>
    <row r="44" spans="2:6" x14ac:dyDescent="0.2">
      <c r="B44" s="11" t="s">
        <v>82</v>
      </c>
    </row>
    <row r="45" spans="2:6" x14ac:dyDescent="0.2">
      <c r="B45" s="11" t="s">
        <v>80</v>
      </c>
      <c r="C45" s="13">
        <v>98667</v>
      </c>
      <c r="D45" s="13">
        <v>109106</v>
      </c>
      <c r="E45" s="13">
        <v>98959</v>
      </c>
      <c r="F45" s="13">
        <v>95281</v>
      </c>
    </row>
    <row r="46" spans="2:6" x14ac:dyDescent="0.2">
      <c r="B46" s="11" t="s">
        <v>83</v>
      </c>
      <c r="C46" s="13">
        <v>54490</v>
      </c>
      <c r="D46" s="13">
        <v>53325</v>
      </c>
      <c r="E46" s="13">
        <v>49142</v>
      </c>
      <c r="F46" s="13">
        <v>49848</v>
      </c>
    </row>
    <row r="47" spans="2:6" x14ac:dyDescent="0.2">
      <c r="B47" s="11" t="s">
        <v>84</v>
      </c>
      <c r="C47" s="13">
        <v>153157</v>
      </c>
      <c r="D47" s="13">
        <v>162431</v>
      </c>
      <c r="E47" s="13">
        <v>148101</v>
      </c>
      <c r="F47" s="13">
        <v>145129</v>
      </c>
    </row>
    <row r="48" spans="2:6" x14ac:dyDescent="0.2">
      <c r="B48" s="11" t="s">
        <v>85</v>
      </c>
      <c r="C48" s="13">
        <v>258549</v>
      </c>
      <c r="D48" s="13">
        <v>287912</v>
      </c>
      <c r="E48" s="13">
        <v>302083</v>
      </c>
      <c r="F48" s="13">
        <v>290437</v>
      </c>
    </row>
    <row r="50" spans="2:6" x14ac:dyDescent="0.2">
      <c r="B50" s="11" t="s">
        <v>86</v>
      </c>
    </row>
    <row r="52" spans="2:6" x14ac:dyDescent="0.2">
      <c r="B52" s="11" t="s">
        <v>87</v>
      </c>
    </row>
    <row r="53" spans="2:6" x14ac:dyDescent="0.2">
      <c r="B53" s="11" t="s">
        <v>88</v>
      </c>
    </row>
    <row r="54" spans="2:6" x14ac:dyDescent="0.2">
      <c r="B54" s="11" t="s">
        <v>89</v>
      </c>
    </row>
    <row r="55" spans="2:6" x14ac:dyDescent="0.2">
      <c r="B55" s="11" t="s">
        <v>90</v>
      </c>
      <c r="C55" s="13">
        <v>50779</v>
      </c>
      <c r="D55" s="13">
        <v>57365</v>
      </c>
      <c r="E55" s="13">
        <v>64849</v>
      </c>
      <c r="F55" s="13">
        <v>73812</v>
      </c>
    </row>
    <row r="56" spans="2:6" x14ac:dyDescent="0.2">
      <c r="B56" s="11" t="s">
        <v>91</v>
      </c>
      <c r="C56" s="13">
        <v>14966</v>
      </c>
      <c r="D56" s="13">
        <v>5562</v>
      </c>
      <c r="E56" s="13">
        <v>-3068</v>
      </c>
      <c r="F56" s="13">
        <v>-214</v>
      </c>
    </row>
    <row r="57" spans="2:6" x14ac:dyDescent="0.2">
      <c r="B57" s="11" t="s">
        <v>92</v>
      </c>
      <c r="C57" s="13">
        <v>-406</v>
      </c>
      <c r="D57" s="13">
        <v>163</v>
      </c>
      <c r="E57" s="13">
        <v>-11109</v>
      </c>
      <c r="F57" s="13">
        <v>-11452</v>
      </c>
    </row>
    <row r="58" spans="2:6" x14ac:dyDescent="0.2">
      <c r="B58" s="11" t="s">
        <v>93</v>
      </c>
      <c r="C58" s="13">
        <v>65339</v>
      </c>
      <c r="D58" s="13">
        <v>63090</v>
      </c>
      <c r="E58" s="13">
        <v>50672</v>
      </c>
      <c r="F58" s="13">
        <v>62146</v>
      </c>
    </row>
    <row r="59" spans="2:6" x14ac:dyDescent="0.2">
      <c r="B59" s="11" t="s">
        <v>94</v>
      </c>
      <c r="C59" s="12">
        <v>323888</v>
      </c>
      <c r="D59" s="12">
        <v>351002</v>
      </c>
      <c r="E59" s="12">
        <v>352755</v>
      </c>
      <c r="F59" s="12">
        <v>352583</v>
      </c>
    </row>
  </sheetData>
  <mergeCells count="13">
    <mergeCell ref="B14:C14"/>
    <mergeCell ref="A2:D2"/>
    <mergeCell ref="B12:C12"/>
    <mergeCell ref="B13:C13"/>
    <mergeCell ref="A1:D1"/>
    <mergeCell ref="A5:D5"/>
    <mergeCell ref="A9:D9"/>
    <mergeCell ref="A8:D8"/>
    <mergeCell ref="A6:D6"/>
    <mergeCell ref="A4:D4"/>
    <mergeCell ref="A3:D3"/>
    <mergeCell ref="B10:C10"/>
    <mergeCell ref="A7:D7"/>
  </mergeCells>
  <hyperlinks>
    <hyperlink ref="A8" location="Table_Of_Contents!A1" display="Table Of Contents" xr:uid="{00000000-0004-0000-03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A1:K66"/>
  <sheetViews>
    <sheetView topLeftCell="A3" workbookViewId="0">
      <selection activeCell="B63" sqref="B63"/>
    </sheetView>
  </sheetViews>
  <sheetFormatPr baseColWidth="10" defaultRowHeight="15" x14ac:dyDescent="0.2"/>
  <cols>
    <col min="1" max="1" width="3" style="8" customWidth="1"/>
    <col min="2" max="2" width="65" style="8" customWidth="1"/>
    <col min="3" max="5" width="17" style="8" customWidth="1"/>
    <col min="6" max="256" width="20.83203125" style="8" customWidth="1"/>
    <col min="257" max="257" width="3" style="8" customWidth="1"/>
    <col min="258" max="258" width="65" style="8" customWidth="1"/>
    <col min="259" max="261" width="17" style="8" customWidth="1"/>
    <col min="262" max="512" width="20.83203125" style="8" customWidth="1"/>
    <col min="513" max="513" width="3" style="8" customWidth="1"/>
    <col min="514" max="514" width="65" style="8" customWidth="1"/>
    <col min="515" max="517" width="17" style="8" customWidth="1"/>
    <col min="518" max="768" width="20.83203125" style="8" customWidth="1"/>
    <col min="769" max="769" width="3" style="8" customWidth="1"/>
    <col min="770" max="770" width="65" style="8" customWidth="1"/>
    <col min="771" max="773" width="17" style="8" customWidth="1"/>
    <col min="774" max="1024" width="20.83203125" style="8" customWidth="1"/>
    <col min="1025" max="1025" width="3" style="8" customWidth="1"/>
    <col min="1026" max="1026" width="65" style="8" customWidth="1"/>
    <col min="1027" max="1029" width="17" style="8" customWidth="1"/>
    <col min="1030" max="1280" width="20.83203125" style="8" customWidth="1"/>
    <col min="1281" max="1281" width="3" style="8" customWidth="1"/>
    <col min="1282" max="1282" width="65" style="8" customWidth="1"/>
    <col min="1283" max="1285" width="17" style="8" customWidth="1"/>
    <col min="1286" max="1536" width="20.83203125" style="8" customWidth="1"/>
    <col min="1537" max="1537" width="3" style="8" customWidth="1"/>
    <col min="1538" max="1538" width="65" style="8" customWidth="1"/>
    <col min="1539" max="1541" width="17" style="8" customWidth="1"/>
    <col min="1542" max="1792" width="20.83203125" style="8" customWidth="1"/>
    <col min="1793" max="1793" width="3" style="8" customWidth="1"/>
    <col min="1794" max="1794" width="65" style="8" customWidth="1"/>
    <col min="1795" max="1797" width="17" style="8" customWidth="1"/>
    <col min="1798" max="2048" width="20.83203125" style="8" customWidth="1"/>
    <col min="2049" max="2049" width="3" style="8" customWidth="1"/>
    <col min="2050" max="2050" width="65" style="8" customWidth="1"/>
    <col min="2051" max="2053" width="17" style="8" customWidth="1"/>
    <col min="2054" max="2304" width="20.83203125" style="8" customWidth="1"/>
    <col min="2305" max="2305" width="3" style="8" customWidth="1"/>
    <col min="2306" max="2306" width="65" style="8" customWidth="1"/>
    <col min="2307" max="2309" width="17" style="8" customWidth="1"/>
    <col min="2310" max="2560" width="20.83203125" style="8" customWidth="1"/>
    <col min="2561" max="2561" width="3" style="8" customWidth="1"/>
    <col min="2562" max="2562" width="65" style="8" customWidth="1"/>
    <col min="2563" max="2565" width="17" style="8" customWidth="1"/>
    <col min="2566" max="2816" width="20.83203125" style="8" customWidth="1"/>
    <col min="2817" max="2817" width="3" style="8" customWidth="1"/>
    <col min="2818" max="2818" width="65" style="8" customWidth="1"/>
    <col min="2819" max="2821" width="17" style="8" customWidth="1"/>
    <col min="2822" max="3072" width="20.83203125" style="8" customWidth="1"/>
    <col min="3073" max="3073" width="3" style="8" customWidth="1"/>
    <col min="3074" max="3074" width="65" style="8" customWidth="1"/>
    <col min="3075" max="3077" width="17" style="8" customWidth="1"/>
    <col min="3078" max="3328" width="20.83203125" style="8" customWidth="1"/>
    <col min="3329" max="3329" width="3" style="8" customWidth="1"/>
    <col min="3330" max="3330" width="65" style="8" customWidth="1"/>
    <col min="3331" max="3333" width="17" style="8" customWidth="1"/>
    <col min="3334" max="3584" width="20.83203125" style="8" customWidth="1"/>
    <col min="3585" max="3585" width="3" style="8" customWidth="1"/>
    <col min="3586" max="3586" width="65" style="8" customWidth="1"/>
    <col min="3587" max="3589" width="17" style="8" customWidth="1"/>
    <col min="3590" max="3840" width="20.83203125" style="8" customWidth="1"/>
    <col min="3841" max="3841" width="3" style="8" customWidth="1"/>
    <col min="3842" max="3842" width="65" style="8" customWidth="1"/>
    <col min="3843" max="3845" width="17" style="8" customWidth="1"/>
    <col min="3846" max="4096" width="20.83203125" style="8" customWidth="1"/>
    <col min="4097" max="4097" width="3" style="8" customWidth="1"/>
    <col min="4098" max="4098" width="65" style="8" customWidth="1"/>
    <col min="4099" max="4101" width="17" style="8" customWidth="1"/>
    <col min="4102" max="4352" width="20.83203125" style="8" customWidth="1"/>
    <col min="4353" max="4353" width="3" style="8" customWidth="1"/>
    <col min="4354" max="4354" width="65" style="8" customWidth="1"/>
    <col min="4355" max="4357" width="17" style="8" customWidth="1"/>
    <col min="4358" max="4608" width="20.83203125" style="8" customWidth="1"/>
    <col min="4609" max="4609" width="3" style="8" customWidth="1"/>
    <col min="4610" max="4610" width="65" style="8" customWidth="1"/>
    <col min="4611" max="4613" width="17" style="8" customWidth="1"/>
    <col min="4614" max="4864" width="20.83203125" style="8" customWidth="1"/>
    <col min="4865" max="4865" width="3" style="8" customWidth="1"/>
    <col min="4866" max="4866" width="65" style="8" customWidth="1"/>
    <col min="4867" max="4869" width="17" style="8" customWidth="1"/>
    <col min="4870" max="5120" width="20.83203125" style="8" customWidth="1"/>
    <col min="5121" max="5121" width="3" style="8" customWidth="1"/>
    <col min="5122" max="5122" width="65" style="8" customWidth="1"/>
    <col min="5123" max="5125" width="17" style="8" customWidth="1"/>
    <col min="5126" max="5376" width="20.83203125" style="8" customWidth="1"/>
    <col min="5377" max="5377" width="3" style="8" customWidth="1"/>
    <col min="5378" max="5378" width="65" style="8" customWidth="1"/>
    <col min="5379" max="5381" width="17" style="8" customWidth="1"/>
    <col min="5382" max="5632" width="20.83203125" style="8" customWidth="1"/>
    <col min="5633" max="5633" width="3" style="8" customWidth="1"/>
    <col min="5634" max="5634" width="65" style="8" customWidth="1"/>
    <col min="5635" max="5637" width="17" style="8" customWidth="1"/>
    <col min="5638" max="5888" width="20.83203125" style="8" customWidth="1"/>
    <col min="5889" max="5889" width="3" style="8" customWidth="1"/>
    <col min="5890" max="5890" width="65" style="8" customWidth="1"/>
    <col min="5891" max="5893" width="17" style="8" customWidth="1"/>
    <col min="5894" max="6144" width="20.83203125" style="8" customWidth="1"/>
    <col min="6145" max="6145" width="3" style="8" customWidth="1"/>
    <col min="6146" max="6146" width="65" style="8" customWidth="1"/>
    <col min="6147" max="6149" width="17" style="8" customWidth="1"/>
    <col min="6150" max="6400" width="20.83203125" style="8" customWidth="1"/>
    <col min="6401" max="6401" width="3" style="8" customWidth="1"/>
    <col min="6402" max="6402" width="65" style="8" customWidth="1"/>
    <col min="6403" max="6405" width="17" style="8" customWidth="1"/>
    <col min="6406" max="6656" width="20.83203125" style="8" customWidth="1"/>
    <col min="6657" max="6657" width="3" style="8" customWidth="1"/>
    <col min="6658" max="6658" width="65" style="8" customWidth="1"/>
    <col min="6659" max="6661" width="17" style="8" customWidth="1"/>
    <col min="6662" max="6912" width="20.83203125" style="8" customWidth="1"/>
    <col min="6913" max="6913" width="3" style="8" customWidth="1"/>
    <col min="6914" max="6914" width="65" style="8" customWidth="1"/>
    <col min="6915" max="6917" width="17" style="8" customWidth="1"/>
    <col min="6918" max="7168" width="20.83203125" style="8" customWidth="1"/>
    <col min="7169" max="7169" width="3" style="8" customWidth="1"/>
    <col min="7170" max="7170" width="65" style="8" customWidth="1"/>
    <col min="7171" max="7173" width="17" style="8" customWidth="1"/>
    <col min="7174" max="7424" width="20.83203125" style="8" customWidth="1"/>
    <col min="7425" max="7425" width="3" style="8" customWidth="1"/>
    <col min="7426" max="7426" width="65" style="8" customWidth="1"/>
    <col min="7427" max="7429" width="17" style="8" customWidth="1"/>
    <col min="7430" max="7680" width="20.83203125" style="8" customWidth="1"/>
    <col min="7681" max="7681" width="3" style="8" customWidth="1"/>
    <col min="7682" max="7682" width="65" style="8" customWidth="1"/>
    <col min="7683" max="7685" width="17" style="8" customWidth="1"/>
    <col min="7686" max="7936" width="20.83203125" style="8" customWidth="1"/>
    <col min="7937" max="7937" width="3" style="8" customWidth="1"/>
    <col min="7938" max="7938" width="65" style="8" customWidth="1"/>
    <col min="7939" max="7941" width="17" style="8" customWidth="1"/>
    <col min="7942" max="8192" width="20.83203125" style="8" customWidth="1"/>
    <col min="8193" max="8193" width="3" style="8" customWidth="1"/>
    <col min="8194" max="8194" width="65" style="8" customWidth="1"/>
    <col min="8195" max="8197" width="17" style="8" customWidth="1"/>
    <col min="8198" max="8448" width="20.83203125" style="8" customWidth="1"/>
    <col min="8449" max="8449" width="3" style="8" customWidth="1"/>
    <col min="8450" max="8450" width="65" style="8" customWidth="1"/>
    <col min="8451" max="8453" width="17" style="8" customWidth="1"/>
    <col min="8454" max="8704" width="20.83203125" style="8" customWidth="1"/>
    <col min="8705" max="8705" width="3" style="8" customWidth="1"/>
    <col min="8706" max="8706" width="65" style="8" customWidth="1"/>
    <col min="8707" max="8709" width="17" style="8" customWidth="1"/>
    <col min="8710" max="8960" width="20.83203125" style="8" customWidth="1"/>
    <col min="8961" max="8961" width="3" style="8" customWidth="1"/>
    <col min="8962" max="8962" width="65" style="8" customWidth="1"/>
    <col min="8963" max="8965" width="17" style="8" customWidth="1"/>
    <col min="8966" max="9216" width="20.83203125" style="8" customWidth="1"/>
    <col min="9217" max="9217" width="3" style="8" customWidth="1"/>
    <col min="9218" max="9218" width="65" style="8" customWidth="1"/>
    <col min="9219" max="9221" width="17" style="8" customWidth="1"/>
    <col min="9222" max="9472" width="20.83203125" style="8" customWidth="1"/>
    <col min="9473" max="9473" width="3" style="8" customWidth="1"/>
    <col min="9474" max="9474" width="65" style="8" customWidth="1"/>
    <col min="9475" max="9477" width="17" style="8" customWidth="1"/>
    <col min="9478" max="9728" width="20.83203125" style="8" customWidth="1"/>
    <col min="9729" max="9729" width="3" style="8" customWidth="1"/>
    <col min="9730" max="9730" width="65" style="8" customWidth="1"/>
    <col min="9731" max="9733" width="17" style="8" customWidth="1"/>
    <col min="9734" max="9984" width="20.83203125" style="8" customWidth="1"/>
    <col min="9985" max="9985" width="3" style="8" customWidth="1"/>
    <col min="9986" max="9986" width="65" style="8" customWidth="1"/>
    <col min="9987" max="9989" width="17" style="8" customWidth="1"/>
    <col min="9990" max="10240" width="20.83203125" style="8" customWidth="1"/>
    <col min="10241" max="10241" width="3" style="8" customWidth="1"/>
    <col min="10242" max="10242" width="65" style="8" customWidth="1"/>
    <col min="10243" max="10245" width="17" style="8" customWidth="1"/>
    <col min="10246" max="10496" width="20.83203125" style="8" customWidth="1"/>
    <col min="10497" max="10497" width="3" style="8" customWidth="1"/>
    <col min="10498" max="10498" width="65" style="8" customWidth="1"/>
    <col min="10499" max="10501" width="17" style="8" customWidth="1"/>
    <col min="10502" max="10752" width="20.83203125" style="8" customWidth="1"/>
    <col min="10753" max="10753" width="3" style="8" customWidth="1"/>
    <col min="10754" max="10754" width="65" style="8" customWidth="1"/>
    <col min="10755" max="10757" width="17" style="8" customWidth="1"/>
    <col min="10758" max="11008" width="20.83203125" style="8" customWidth="1"/>
    <col min="11009" max="11009" width="3" style="8" customWidth="1"/>
    <col min="11010" max="11010" width="65" style="8" customWidth="1"/>
    <col min="11011" max="11013" width="17" style="8" customWidth="1"/>
    <col min="11014" max="11264" width="20.83203125" style="8" customWidth="1"/>
    <col min="11265" max="11265" width="3" style="8" customWidth="1"/>
    <col min="11266" max="11266" width="65" style="8" customWidth="1"/>
    <col min="11267" max="11269" width="17" style="8" customWidth="1"/>
    <col min="11270" max="11520" width="20.83203125" style="8" customWidth="1"/>
    <col min="11521" max="11521" width="3" style="8" customWidth="1"/>
    <col min="11522" max="11522" width="65" style="8" customWidth="1"/>
    <col min="11523" max="11525" width="17" style="8" customWidth="1"/>
    <col min="11526" max="11776" width="20.83203125" style="8" customWidth="1"/>
    <col min="11777" max="11777" width="3" style="8" customWidth="1"/>
    <col min="11778" max="11778" width="65" style="8" customWidth="1"/>
    <col min="11779" max="11781" width="17" style="8" customWidth="1"/>
    <col min="11782" max="12032" width="20.83203125" style="8" customWidth="1"/>
    <col min="12033" max="12033" width="3" style="8" customWidth="1"/>
    <col min="12034" max="12034" width="65" style="8" customWidth="1"/>
    <col min="12035" max="12037" width="17" style="8" customWidth="1"/>
    <col min="12038" max="12288" width="20.83203125" style="8" customWidth="1"/>
    <col min="12289" max="12289" width="3" style="8" customWidth="1"/>
    <col min="12290" max="12290" width="65" style="8" customWidth="1"/>
    <col min="12291" max="12293" width="17" style="8" customWidth="1"/>
    <col min="12294" max="12544" width="20.83203125" style="8" customWidth="1"/>
    <col min="12545" max="12545" width="3" style="8" customWidth="1"/>
    <col min="12546" max="12546" width="65" style="8" customWidth="1"/>
    <col min="12547" max="12549" width="17" style="8" customWidth="1"/>
    <col min="12550" max="12800" width="20.83203125" style="8" customWidth="1"/>
    <col min="12801" max="12801" width="3" style="8" customWidth="1"/>
    <col min="12802" max="12802" width="65" style="8" customWidth="1"/>
    <col min="12803" max="12805" width="17" style="8" customWidth="1"/>
    <col min="12806" max="13056" width="20.83203125" style="8" customWidth="1"/>
    <col min="13057" max="13057" width="3" style="8" customWidth="1"/>
    <col min="13058" max="13058" width="65" style="8" customWidth="1"/>
    <col min="13059" max="13061" width="17" style="8" customWidth="1"/>
    <col min="13062" max="13312" width="20.83203125" style="8" customWidth="1"/>
    <col min="13313" max="13313" width="3" style="8" customWidth="1"/>
    <col min="13314" max="13314" width="65" style="8" customWidth="1"/>
    <col min="13315" max="13317" width="17" style="8" customWidth="1"/>
    <col min="13318" max="13568" width="20.83203125" style="8" customWidth="1"/>
    <col min="13569" max="13569" width="3" style="8" customWidth="1"/>
    <col min="13570" max="13570" width="65" style="8" customWidth="1"/>
    <col min="13571" max="13573" width="17" style="8" customWidth="1"/>
    <col min="13574" max="13824" width="20.83203125" style="8" customWidth="1"/>
    <col min="13825" max="13825" width="3" style="8" customWidth="1"/>
    <col min="13826" max="13826" width="65" style="8" customWidth="1"/>
    <col min="13827" max="13829" width="17" style="8" customWidth="1"/>
    <col min="13830" max="14080" width="20.83203125" style="8" customWidth="1"/>
    <col min="14081" max="14081" width="3" style="8" customWidth="1"/>
    <col min="14082" max="14082" width="65" style="8" customWidth="1"/>
    <col min="14083" max="14085" width="17" style="8" customWidth="1"/>
    <col min="14086" max="14336" width="20.83203125" style="8" customWidth="1"/>
    <col min="14337" max="14337" width="3" style="8" customWidth="1"/>
    <col min="14338" max="14338" width="65" style="8" customWidth="1"/>
    <col min="14339" max="14341" width="17" style="8" customWidth="1"/>
    <col min="14342" max="14592" width="20.83203125" style="8" customWidth="1"/>
    <col min="14593" max="14593" width="3" style="8" customWidth="1"/>
    <col min="14594" max="14594" width="65" style="8" customWidth="1"/>
    <col min="14595" max="14597" width="17" style="8" customWidth="1"/>
    <col min="14598" max="14848" width="20.83203125" style="8" customWidth="1"/>
    <col min="14849" max="14849" width="3" style="8" customWidth="1"/>
    <col min="14850" max="14850" width="65" style="8" customWidth="1"/>
    <col min="14851" max="14853" width="17" style="8" customWidth="1"/>
    <col min="14854" max="15104" width="20.83203125" style="8" customWidth="1"/>
    <col min="15105" max="15105" width="3" style="8" customWidth="1"/>
    <col min="15106" max="15106" width="65" style="8" customWidth="1"/>
    <col min="15107" max="15109" width="17" style="8" customWidth="1"/>
    <col min="15110" max="15360" width="20.83203125" style="8" customWidth="1"/>
    <col min="15361" max="15361" width="3" style="8" customWidth="1"/>
    <col min="15362" max="15362" width="65" style="8" customWidth="1"/>
    <col min="15363" max="15365" width="17" style="8" customWidth="1"/>
    <col min="15366" max="15616" width="20.83203125" style="8" customWidth="1"/>
    <col min="15617" max="15617" width="3" style="8" customWidth="1"/>
    <col min="15618" max="15618" width="65" style="8" customWidth="1"/>
    <col min="15619" max="15621" width="17" style="8" customWidth="1"/>
    <col min="15622" max="15872" width="20.83203125" style="8" customWidth="1"/>
    <col min="15873" max="15873" width="3" style="8" customWidth="1"/>
    <col min="15874" max="15874" width="65" style="8" customWidth="1"/>
    <col min="15875" max="15877" width="17" style="8" customWidth="1"/>
    <col min="15878" max="16128" width="20.83203125" style="8" customWidth="1"/>
    <col min="16129" max="16129" width="3" style="8" customWidth="1"/>
    <col min="16130" max="16130" width="65" style="8" customWidth="1"/>
    <col min="16131" max="16133" width="17" style="8" customWidth="1"/>
    <col min="16134" max="16384" width="20.83203125" style="8" customWidth="1"/>
  </cols>
  <sheetData>
    <row r="1" spans="1:6" x14ac:dyDescent="0.2">
      <c r="A1" s="135" t="s">
        <v>30</v>
      </c>
      <c r="B1" s="134"/>
      <c r="C1" s="134"/>
      <c r="D1" s="134"/>
      <c r="E1" s="134"/>
    </row>
    <row r="2" spans="1:6" x14ac:dyDescent="0.2">
      <c r="A2" s="135"/>
      <c r="B2" s="134"/>
      <c r="C2" s="134"/>
      <c r="D2" s="134"/>
      <c r="E2" s="134"/>
    </row>
    <row r="3" spans="1:6" x14ac:dyDescent="0.2">
      <c r="A3" s="135" t="s">
        <v>31</v>
      </c>
      <c r="B3" s="134"/>
      <c r="C3" s="134"/>
      <c r="D3" s="134"/>
      <c r="E3" s="134"/>
    </row>
    <row r="4" spans="1:6" x14ac:dyDescent="0.2">
      <c r="A4" s="135" t="s">
        <v>95</v>
      </c>
      <c r="B4" s="134"/>
      <c r="C4" s="134"/>
      <c r="D4" s="134"/>
      <c r="E4" s="134"/>
    </row>
    <row r="5" spans="1:6" x14ac:dyDescent="0.2">
      <c r="A5" s="135" t="s">
        <v>33</v>
      </c>
      <c r="B5" s="134"/>
      <c r="C5" s="134"/>
      <c r="D5" s="134"/>
      <c r="E5" s="134"/>
    </row>
    <row r="6" spans="1:6" x14ac:dyDescent="0.2">
      <c r="A6" s="135" t="s">
        <v>34</v>
      </c>
      <c r="B6" s="134"/>
      <c r="C6" s="134"/>
      <c r="D6" s="134"/>
      <c r="E6" s="134"/>
    </row>
    <row r="7" spans="1:6" x14ac:dyDescent="0.2">
      <c r="A7" s="135" t="s">
        <v>35</v>
      </c>
      <c r="B7" s="134"/>
      <c r="C7" s="134"/>
      <c r="D7" s="134"/>
      <c r="E7" s="134"/>
    </row>
    <row r="8" spans="1:6" x14ac:dyDescent="0.2">
      <c r="A8" s="136" t="s">
        <v>36</v>
      </c>
      <c r="B8" s="134"/>
      <c r="C8" s="134"/>
      <c r="D8" s="134"/>
      <c r="E8" s="134"/>
    </row>
    <row r="9" spans="1:6" x14ac:dyDescent="0.2">
      <c r="A9" s="135"/>
      <c r="B9" s="134"/>
      <c r="C9" s="134"/>
      <c r="D9" s="134"/>
      <c r="E9" s="134"/>
    </row>
    <row r="10" spans="1:6" x14ac:dyDescent="0.2">
      <c r="B10" s="11" t="s">
        <v>37</v>
      </c>
    </row>
    <row r="12" spans="1:6" x14ac:dyDescent="0.2">
      <c r="B12" s="11" t="s">
        <v>96</v>
      </c>
    </row>
    <row r="13" spans="1:6" x14ac:dyDescent="0.2">
      <c r="B13" s="11" t="s">
        <v>97</v>
      </c>
    </row>
    <row r="15" spans="1:6" x14ac:dyDescent="0.2">
      <c r="B15" s="11"/>
      <c r="C15" s="11"/>
      <c r="D15" s="11"/>
      <c r="F15" s="11"/>
    </row>
    <row r="16" spans="1:6" x14ac:dyDescent="0.2">
      <c r="B16" s="11"/>
      <c r="C16" s="11"/>
      <c r="D16" s="11"/>
      <c r="E16" s="11"/>
      <c r="F16" s="11"/>
    </row>
    <row r="17" spans="2:11" x14ac:dyDescent="0.2">
      <c r="B17" s="11"/>
      <c r="C17" s="11">
        <v>2020</v>
      </c>
      <c r="D17" s="11">
        <v>2021</v>
      </c>
      <c r="E17" s="11">
        <v>2022</v>
      </c>
      <c r="F17" s="8">
        <v>2023</v>
      </c>
      <c r="H17" s="11"/>
      <c r="I17" s="11"/>
      <c r="J17" s="11"/>
    </row>
    <row r="18" spans="2:11" x14ac:dyDescent="0.2">
      <c r="B18" s="11" t="s">
        <v>98</v>
      </c>
    </row>
    <row r="19" spans="2:11" x14ac:dyDescent="0.2">
      <c r="B19" s="11" t="s">
        <v>99</v>
      </c>
      <c r="C19" s="12">
        <v>50224</v>
      </c>
      <c r="D19" s="12">
        <v>39789</v>
      </c>
      <c r="E19" s="12">
        <v>35929</v>
      </c>
      <c r="F19" s="12">
        <v>24977</v>
      </c>
      <c r="H19" s="12"/>
      <c r="I19" s="12"/>
      <c r="J19" s="12"/>
      <c r="K19" s="12"/>
    </row>
    <row r="21" spans="2:11" x14ac:dyDescent="0.2">
      <c r="B21" s="11" t="s">
        <v>100</v>
      </c>
    </row>
    <row r="22" spans="2:11" x14ac:dyDescent="0.2">
      <c r="B22" s="11" t="s">
        <v>51</v>
      </c>
      <c r="C22" s="13">
        <v>57411</v>
      </c>
      <c r="D22" s="13">
        <v>94680</v>
      </c>
      <c r="E22" s="13">
        <v>99803</v>
      </c>
      <c r="F22" s="13">
        <v>96995</v>
      </c>
      <c r="H22" s="13"/>
      <c r="I22" s="13"/>
      <c r="J22" s="13"/>
      <c r="K22" s="13"/>
    </row>
    <row r="23" spans="2:11" x14ac:dyDescent="0.2">
      <c r="B23" s="11" t="s">
        <v>101</v>
      </c>
    </row>
    <row r="24" spans="2:11" x14ac:dyDescent="0.2">
      <c r="B24" s="11" t="s">
        <v>102</v>
      </c>
    </row>
    <row r="25" spans="2:11" x14ac:dyDescent="0.2">
      <c r="B25" s="11" t="s">
        <v>103</v>
      </c>
      <c r="C25" s="13">
        <v>11056</v>
      </c>
      <c r="D25" s="13">
        <v>11284</v>
      </c>
      <c r="E25" s="13">
        <v>11104</v>
      </c>
      <c r="F25" s="13">
        <v>11519</v>
      </c>
      <c r="H25" s="13"/>
      <c r="I25" s="13"/>
      <c r="J25" s="13"/>
      <c r="K25" s="13"/>
    </row>
    <row r="26" spans="2:11" x14ac:dyDescent="0.2">
      <c r="B26" s="11" t="s">
        <v>104</v>
      </c>
      <c r="C26" s="13">
        <v>6829</v>
      </c>
      <c r="D26" s="13">
        <v>7906</v>
      </c>
      <c r="E26" s="13">
        <v>9038</v>
      </c>
      <c r="F26" s="13">
        <v>10833</v>
      </c>
      <c r="H26" s="13"/>
      <c r="I26" s="13"/>
      <c r="J26" s="13"/>
      <c r="K26" s="13"/>
    </row>
    <row r="28" spans="2:11" x14ac:dyDescent="0.2">
      <c r="B28" s="11" t="s">
        <v>105</v>
      </c>
      <c r="C28" s="13">
        <v>-215</v>
      </c>
      <c r="D28" s="13">
        <v>-4921</v>
      </c>
      <c r="E28" s="13">
        <v>1006</v>
      </c>
      <c r="F28" s="13">
        <v>-2227</v>
      </c>
      <c r="H28" s="13"/>
      <c r="I28" s="13"/>
      <c r="J28" s="13"/>
      <c r="K28" s="13"/>
    </row>
    <row r="29" spans="2:11" x14ac:dyDescent="0.2">
      <c r="B29" s="11" t="s">
        <v>106</v>
      </c>
    </row>
    <row r="30" spans="2:11" x14ac:dyDescent="0.2">
      <c r="B30" s="11" t="s">
        <v>64</v>
      </c>
      <c r="C30" s="13">
        <v>6917</v>
      </c>
      <c r="D30" s="13">
        <v>-10125</v>
      </c>
      <c r="E30" s="13">
        <v>-1823</v>
      </c>
      <c r="F30" s="13">
        <v>-1688</v>
      </c>
      <c r="H30" s="13"/>
      <c r="I30" s="13"/>
      <c r="J30" s="13"/>
      <c r="K30" s="13"/>
    </row>
    <row r="31" spans="2:11" x14ac:dyDescent="0.2">
      <c r="B31" s="11" t="s">
        <v>65</v>
      </c>
      <c r="C31" s="13">
        <v>1553</v>
      </c>
      <c r="D31" s="13">
        <v>-3903</v>
      </c>
      <c r="E31" s="13">
        <v>-7520</v>
      </c>
      <c r="F31" s="13">
        <v>1271</v>
      </c>
      <c r="H31" s="13"/>
      <c r="I31" s="13"/>
      <c r="J31" s="13"/>
      <c r="K31" s="13"/>
    </row>
    <row r="32" spans="2:11" x14ac:dyDescent="0.2">
      <c r="B32" s="11" t="s">
        <v>66</v>
      </c>
      <c r="C32" s="13">
        <v>-127</v>
      </c>
      <c r="D32" s="13">
        <v>-2642</v>
      </c>
      <c r="E32" s="13">
        <v>1484</v>
      </c>
      <c r="F32" s="13">
        <v>-1618</v>
      </c>
      <c r="H32" s="13"/>
      <c r="I32" s="13"/>
      <c r="J32" s="13"/>
      <c r="K32" s="13"/>
    </row>
    <row r="33" spans="2:11" x14ac:dyDescent="0.2">
      <c r="B33" s="11" t="s">
        <v>107</v>
      </c>
      <c r="C33" s="13">
        <v>-9588</v>
      </c>
      <c r="D33" s="13">
        <v>-8042</v>
      </c>
      <c r="E33" s="13">
        <v>-6499</v>
      </c>
      <c r="F33" s="13">
        <v>-5684</v>
      </c>
      <c r="H33" s="13"/>
      <c r="I33" s="13"/>
      <c r="J33" s="13"/>
      <c r="K33" s="13"/>
    </row>
    <row r="34" spans="2:11" x14ac:dyDescent="0.2">
      <c r="B34" s="11" t="s">
        <v>76</v>
      </c>
      <c r="C34" s="13">
        <v>-4062</v>
      </c>
      <c r="D34" s="13">
        <v>12326</v>
      </c>
      <c r="E34" s="13">
        <v>9448</v>
      </c>
      <c r="F34" s="13">
        <v>-1889</v>
      </c>
      <c r="H34" s="13"/>
      <c r="I34" s="13"/>
      <c r="J34" s="13"/>
      <c r="K34" s="13"/>
    </row>
    <row r="35" spans="2:11" x14ac:dyDescent="0.2">
      <c r="B35" s="11" t="s">
        <v>108</v>
      </c>
      <c r="C35" s="13">
        <v>10997</v>
      </c>
      <c r="D35" s="13">
        <v>7475</v>
      </c>
      <c r="E35" s="13">
        <v>6110</v>
      </c>
      <c r="F35" s="13">
        <v>3031</v>
      </c>
      <c r="H35" s="13"/>
      <c r="I35" s="13"/>
      <c r="J35" s="13"/>
      <c r="K35" s="13"/>
    </row>
    <row r="36" spans="2:11" x14ac:dyDescent="0.2">
      <c r="B36" s="11" t="s">
        <v>109</v>
      </c>
      <c r="C36" s="13">
        <v>80674</v>
      </c>
      <c r="D36" s="13">
        <v>104038</v>
      </c>
      <c r="E36" s="13">
        <v>122151</v>
      </c>
      <c r="F36" s="13">
        <v>110543</v>
      </c>
      <c r="H36" s="13"/>
      <c r="I36" s="13"/>
      <c r="J36" s="13"/>
      <c r="K36" s="13"/>
    </row>
    <row r="38" spans="2:11" x14ac:dyDescent="0.2">
      <c r="B38" s="11" t="s">
        <v>110</v>
      </c>
    </row>
    <row r="39" spans="2:11" x14ac:dyDescent="0.2">
      <c r="B39" s="11" t="s">
        <v>111</v>
      </c>
      <c r="C39" s="13">
        <v>-114938</v>
      </c>
      <c r="D39" s="13">
        <v>-109558</v>
      </c>
      <c r="E39" s="13">
        <v>-76923</v>
      </c>
      <c r="F39" s="13">
        <v>-29513</v>
      </c>
      <c r="H39" s="13"/>
      <c r="I39" s="13"/>
      <c r="J39" s="13"/>
      <c r="K39" s="13"/>
    </row>
    <row r="40" spans="2:11" x14ac:dyDescent="0.2">
      <c r="B40" s="11" t="s">
        <v>112</v>
      </c>
      <c r="C40" s="13">
        <v>69918</v>
      </c>
      <c r="D40" s="13">
        <v>59023</v>
      </c>
      <c r="E40" s="13">
        <v>29917</v>
      </c>
      <c r="F40" s="13">
        <v>39686</v>
      </c>
      <c r="H40" s="13"/>
      <c r="I40" s="13"/>
      <c r="J40" s="13"/>
      <c r="K40" s="13"/>
    </row>
    <row r="41" spans="2:11" x14ac:dyDescent="0.2">
      <c r="B41" s="11" t="s">
        <v>113</v>
      </c>
      <c r="C41" s="13">
        <v>50473</v>
      </c>
      <c r="D41" s="13">
        <v>47460</v>
      </c>
      <c r="E41" s="13">
        <v>37446</v>
      </c>
      <c r="F41" s="13">
        <v>5828</v>
      </c>
      <c r="H41" s="13"/>
      <c r="I41" s="13"/>
      <c r="J41" s="13"/>
      <c r="K41" s="13"/>
    </row>
    <row r="42" spans="2:11" x14ac:dyDescent="0.2">
      <c r="B42" s="11" t="s">
        <v>114</v>
      </c>
      <c r="C42" s="13">
        <v>-7309</v>
      </c>
      <c r="D42" s="13">
        <v>-11085</v>
      </c>
      <c r="E42" s="13">
        <v>-10708</v>
      </c>
      <c r="F42" s="13">
        <v>-10959</v>
      </c>
      <c r="H42" s="13"/>
      <c r="I42" s="13"/>
      <c r="J42" s="13"/>
      <c r="K42" s="13"/>
    </row>
    <row r="44" spans="2:11" x14ac:dyDescent="0.2">
      <c r="B44" s="11" t="s">
        <v>105</v>
      </c>
      <c r="C44" s="13">
        <v>-2433</v>
      </c>
      <c r="D44" s="13">
        <v>-385</v>
      </c>
      <c r="E44" s="13">
        <v>-2086</v>
      </c>
      <c r="F44" s="13">
        <v>-1337</v>
      </c>
      <c r="H44" s="13"/>
      <c r="I44" s="13"/>
      <c r="J44" s="13"/>
      <c r="K44" s="13"/>
    </row>
    <row r="45" spans="2:11" x14ac:dyDescent="0.2">
      <c r="B45" s="11" t="s">
        <v>115</v>
      </c>
      <c r="C45" s="13">
        <v>-4289</v>
      </c>
      <c r="D45" s="13">
        <v>-14545</v>
      </c>
      <c r="E45" s="13">
        <v>-22354</v>
      </c>
      <c r="F45" s="13">
        <v>3705</v>
      </c>
      <c r="H45" s="13"/>
      <c r="I45" s="13"/>
      <c r="J45" s="13"/>
      <c r="K45" s="13"/>
    </row>
    <row r="46" spans="2:11" x14ac:dyDescent="0.2">
      <c r="F46" s="14"/>
      <c r="K46" s="14"/>
    </row>
    <row r="47" spans="2:11" x14ac:dyDescent="0.2">
      <c r="B47" s="11" t="s">
        <v>116</v>
      </c>
    </row>
    <row r="48" spans="2:11" x14ac:dyDescent="0.2">
      <c r="B48" s="11" t="s">
        <v>117</v>
      </c>
    </row>
    <row r="49" spans="2:11" x14ac:dyDescent="0.2">
      <c r="B49" s="11" t="s">
        <v>118</v>
      </c>
      <c r="C49" s="13">
        <v>-3634</v>
      </c>
      <c r="D49" s="13">
        <v>-6556</v>
      </c>
      <c r="E49" s="13">
        <v>-6223</v>
      </c>
      <c r="F49" s="13">
        <v>-5431</v>
      </c>
      <c r="H49" s="13"/>
      <c r="I49" s="13"/>
      <c r="J49" s="13"/>
      <c r="K49" s="13"/>
    </row>
    <row r="50" spans="2:11" x14ac:dyDescent="0.2">
      <c r="B50" s="11" t="s">
        <v>119</v>
      </c>
      <c r="C50" s="13">
        <v>-14081</v>
      </c>
      <c r="D50" s="13">
        <v>-14467</v>
      </c>
      <c r="E50" s="13">
        <v>-14841</v>
      </c>
      <c r="F50" s="13">
        <v>-15025</v>
      </c>
      <c r="H50" s="13"/>
      <c r="I50" s="13"/>
      <c r="J50" s="13"/>
      <c r="K50" s="13"/>
    </row>
    <row r="51" spans="2:11" x14ac:dyDescent="0.2">
      <c r="B51" s="11" t="s">
        <v>120</v>
      </c>
      <c r="C51" s="13">
        <v>-72358</v>
      </c>
      <c r="D51" s="13">
        <v>-85971</v>
      </c>
      <c r="E51" s="13">
        <v>-89402</v>
      </c>
      <c r="F51" s="13">
        <v>-77550</v>
      </c>
      <c r="H51" s="13"/>
      <c r="I51" s="13"/>
      <c r="J51" s="13"/>
      <c r="K51" s="13"/>
    </row>
    <row r="52" spans="2:11" x14ac:dyDescent="0.2">
      <c r="B52" s="11" t="s">
        <v>121</v>
      </c>
      <c r="C52" s="13">
        <v>16091</v>
      </c>
      <c r="D52" s="13">
        <v>20393</v>
      </c>
      <c r="E52" s="13">
        <v>5465</v>
      </c>
      <c r="F52" s="13">
        <v>5228</v>
      </c>
      <c r="H52" s="13"/>
      <c r="I52" s="13"/>
      <c r="J52" s="13"/>
      <c r="K52" s="13"/>
    </row>
    <row r="53" spans="2:11" x14ac:dyDescent="0.2">
      <c r="B53" s="11" t="s">
        <v>122</v>
      </c>
      <c r="C53" s="13">
        <v>-12629</v>
      </c>
      <c r="D53" s="13">
        <v>-8750</v>
      </c>
      <c r="E53" s="13">
        <v>-9543</v>
      </c>
      <c r="F53" s="13">
        <v>-11151</v>
      </c>
      <c r="H53" s="13"/>
      <c r="I53" s="13"/>
      <c r="J53" s="13"/>
      <c r="K53" s="13"/>
    </row>
    <row r="54" spans="2:11" x14ac:dyDescent="0.2">
      <c r="B54" s="11" t="s">
        <v>123</v>
      </c>
      <c r="C54" s="13">
        <v>-963</v>
      </c>
      <c r="D54" s="13">
        <v>1022</v>
      </c>
      <c r="E54" s="13">
        <v>3955</v>
      </c>
      <c r="F54" s="13">
        <v>-3978</v>
      </c>
      <c r="H54" s="13"/>
      <c r="I54" s="13"/>
      <c r="J54" s="13"/>
      <c r="K54" s="13"/>
    </row>
    <row r="55" spans="2:11" x14ac:dyDescent="0.2">
      <c r="B55" s="11" t="s">
        <v>105</v>
      </c>
      <c r="C55" s="13">
        <v>754</v>
      </c>
      <c r="D55" s="13">
        <v>976</v>
      </c>
      <c r="E55" s="13">
        <v>-160</v>
      </c>
      <c r="F55" s="13">
        <v>-581</v>
      </c>
      <c r="H55" s="13"/>
      <c r="I55" s="13"/>
      <c r="J55" s="13"/>
      <c r="K55" s="13"/>
    </row>
    <row r="56" spans="2:11" x14ac:dyDescent="0.2">
      <c r="B56" s="11" t="s">
        <v>124</v>
      </c>
      <c r="C56" s="13">
        <v>-86820</v>
      </c>
      <c r="D56" s="13">
        <v>-93353</v>
      </c>
      <c r="E56" s="13">
        <v>-110749</v>
      </c>
      <c r="F56" s="13">
        <v>-108488</v>
      </c>
      <c r="H56" s="13"/>
      <c r="I56" s="13"/>
      <c r="J56" s="13"/>
      <c r="K56" s="13"/>
    </row>
    <row r="57" spans="2:11" x14ac:dyDescent="0.2">
      <c r="C57" s="14"/>
    </row>
    <row r="58" spans="2:11" x14ac:dyDescent="0.2">
      <c r="B58" s="11" t="s">
        <v>125</v>
      </c>
    </row>
    <row r="59" spans="2:11" x14ac:dyDescent="0.2">
      <c r="B59" s="11" t="s">
        <v>126</v>
      </c>
      <c r="C59" s="13">
        <v>-10435</v>
      </c>
      <c r="D59" s="13">
        <v>-3860</v>
      </c>
      <c r="E59" s="13">
        <v>-10952</v>
      </c>
      <c r="F59" s="13">
        <v>5760</v>
      </c>
      <c r="H59" s="13"/>
      <c r="I59" s="13"/>
      <c r="J59" s="13"/>
      <c r="K59" s="13"/>
    </row>
    <row r="60" spans="2:11" x14ac:dyDescent="0.2">
      <c r="B60" s="11" t="s">
        <v>127</v>
      </c>
    </row>
    <row r="61" spans="2:11" x14ac:dyDescent="0.2">
      <c r="B61" s="11" t="s">
        <v>99</v>
      </c>
      <c r="C61" s="12">
        <v>39789</v>
      </c>
      <c r="D61" s="12">
        <v>35929</v>
      </c>
      <c r="E61" s="12">
        <v>24977</v>
      </c>
      <c r="F61" s="12">
        <v>30737</v>
      </c>
      <c r="H61" s="12"/>
      <c r="I61" s="12"/>
      <c r="J61" s="12"/>
      <c r="K61" s="12"/>
    </row>
    <row r="63" spans="2:11" x14ac:dyDescent="0.2">
      <c r="B63" s="11" t="s">
        <v>128</v>
      </c>
    </row>
    <row r="64" spans="2:11" x14ac:dyDescent="0.2">
      <c r="B64" s="11" t="s">
        <v>129</v>
      </c>
      <c r="C64" s="12">
        <v>9501</v>
      </c>
      <c r="D64" s="12">
        <v>25385</v>
      </c>
      <c r="E64" s="12">
        <v>19573</v>
      </c>
      <c r="F64" s="12">
        <v>18679</v>
      </c>
      <c r="H64" s="12"/>
      <c r="I64" s="12"/>
      <c r="J64" s="12"/>
      <c r="K64" s="12"/>
    </row>
    <row r="65" spans="2:11" x14ac:dyDescent="0.2">
      <c r="B65" s="11" t="s">
        <v>130</v>
      </c>
      <c r="C65" s="12">
        <v>3002</v>
      </c>
      <c r="D65" s="12">
        <v>2687</v>
      </c>
      <c r="E65" s="12">
        <v>2865</v>
      </c>
      <c r="F65" s="12">
        <v>3803</v>
      </c>
      <c r="H65" s="12"/>
      <c r="I65" s="12"/>
      <c r="J65" s="12"/>
      <c r="K65" s="12"/>
    </row>
    <row r="66" spans="2:11" x14ac:dyDescent="0.2">
      <c r="H66" s="11"/>
      <c r="I66" s="11"/>
      <c r="J66" s="11"/>
    </row>
  </sheetData>
  <mergeCells count="9">
    <mergeCell ref="A1:E1"/>
    <mergeCell ref="A8:E8"/>
    <mergeCell ref="A6:E6"/>
    <mergeCell ref="A9:E9"/>
    <mergeCell ref="A3:E3"/>
    <mergeCell ref="A4:E4"/>
    <mergeCell ref="A2:E2"/>
    <mergeCell ref="A7:E7"/>
    <mergeCell ref="A5:E5"/>
  </mergeCells>
  <hyperlinks>
    <hyperlink ref="A8" location="Table_Of_Contents!A1" display="Table Of Contents" xr:uid="{00000000-0004-0000-0400-000000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E40"/>
  <sheetViews>
    <sheetView workbookViewId="0">
      <selection activeCell="E13" sqref="E13"/>
    </sheetView>
  </sheetViews>
  <sheetFormatPr baseColWidth="10" defaultColWidth="8.83203125" defaultRowHeight="15" x14ac:dyDescent="0.2"/>
  <cols>
    <col min="1" max="5" width="29.664062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199</v>
      </c>
      <c r="B2" s="20">
        <v>274515000000</v>
      </c>
      <c r="C2">
        <v>365817000000</v>
      </c>
      <c r="D2">
        <v>394328000000</v>
      </c>
      <c r="E2" s="20">
        <v>383285000000</v>
      </c>
    </row>
    <row r="3" spans="1:5" x14ac:dyDescent="0.2">
      <c r="A3" s="19" t="s">
        <v>200</v>
      </c>
      <c r="B3">
        <v>274515000000</v>
      </c>
      <c r="C3">
        <v>365817000000</v>
      </c>
      <c r="D3">
        <v>394328000000</v>
      </c>
      <c r="E3">
        <v>383285000000</v>
      </c>
    </row>
    <row r="4" spans="1:5" x14ac:dyDescent="0.2">
      <c r="A4" s="19" t="s">
        <v>201</v>
      </c>
      <c r="B4">
        <v>169559000000</v>
      </c>
      <c r="C4">
        <v>212981000000</v>
      </c>
      <c r="D4">
        <v>223546000000</v>
      </c>
      <c r="E4">
        <v>214137000000</v>
      </c>
    </row>
    <row r="5" spans="1:5" x14ac:dyDescent="0.2">
      <c r="A5" s="19" t="s">
        <v>202</v>
      </c>
      <c r="B5">
        <v>104956000000</v>
      </c>
      <c r="C5">
        <v>152836000000</v>
      </c>
      <c r="D5">
        <v>170782000000</v>
      </c>
      <c r="E5">
        <v>169148000000</v>
      </c>
    </row>
    <row r="6" spans="1:5" x14ac:dyDescent="0.2">
      <c r="A6" s="19" t="s">
        <v>203</v>
      </c>
      <c r="B6">
        <v>19916000000</v>
      </c>
      <c r="C6">
        <v>21973000000</v>
      </c>
      <c r="D6">
        <v>25094000000</v>
      </c>
      <c r="E6">
        <v>24932000000</v>
      </c>
    </row>
    <row r="7" spans="1:5" x14ac:dyDescent="0.2">
      <c r="A7" s="19" t="s">
        <v>15</v>
      </c>
      <c r="B7">
        <v>18752000000</v>
      </c>
      <c r="C7">
        <v>21914000000</v>
      </c>
      <c r="D7">
        <v>26251000000</v>
      </c>
      <c r="E7">
        <v>29915000000</v>
      </c>
    </row>
    <row r="8" spans="1:5" x14ac:dyDescent="0.2">
      <c r="A8" s="19" t="s">
        <v>204</v>
      </c>
      <c r="B8">
        <v>38668000000</v>
      </c>
      <c r="C8">
        <v>43887000000</v>
      </c>
      <c r="D8">
        <v>51345000000</v>
      </c>
      <c r="E8">
        <v>54847000000</v>
      </c>
    </row>
    <row r="9" spans="1:5" x14ac:dyDescent="0.2">
      <c r="A9" s="19" t="s">
        <v>205</v>
      </c>
      <c r="B9">
        <v>66288000000</v>
      </c>
      <c r="C9">
        <v>108949000000</v>
      </c>
      <c r="D9">
        <v>119437000000</v>
      </c>
      <c r="E9">
        <v>114301000000</v>
      </c>
    </row>
    <row r="10" spans="1:5" x14ac:dyDescent="0.2">
      <c r="A10" s="19" t="s">
        <v>206</v>
      </c>
      <c r="B10">
        <v>3763000000</v>
      </c>
      <c r="C10">
        <v>2843000000</v>
      </c>
      <c r="D10">
        <v>2825000000</v>
      </c>
      <c r="E10">
        <v>3750000000</v>
      </c>
    </row>
    <row r="11" spans="1:5" x14ac:dyDescent="0.2">
      <c r="A11" s="19" t="s">
        <v>207</v>
      </c>
      <c r="B11">
        <v>2873000000</v>
      </c>
      <c r="C11">
        <v>2645000000</v>
      </c>
      <c r="D11">
        <v>2931000000</v>
      </c>
      <c r="E11">
        <v>3933000000</v>
      </c>
    </row>
    <row r="12" spans="1:5" x14ac:dyDescent="0.2">
      <c r="A12" s="19" t="s">
        <v>208</v>
      </c>
      <c r="B12">
        <v>890000000</v>
      </c>
      <c r="C12">
        <v>198000000</v>
      </c>
      <c r="D12">
        <v>-106000000</v>
      </c>
      <c r="E12">
        <v>-183000000</v>
      </c>
    </row>
    <row r="13" spans="1:5" x14ac:dyDescent="0.2">
      <c r="A13" s="19" t="s">
        <v>209</v>
      </c>
      <c r="B13">
        <v>-87000000</v>
      </c>
      <c r="C13">
        <v>60000000</v>
      </c>
      <c r="D13">
        <v>-228000000</v>
      </c>
      <c r="E13">
        <v>-382000000</v>
      </c>
    </row>
    <row r="14" spans="1:5" x14ac:dyDescent="0.2">
      <c r="A14" s="19" t="s">
        <v>210</v>
      </c>
      <c r="B14">
        <v>-87000000</v>
      </c>
      <c r="C14">
        <v>60000000</v>
      </c>
      <c r="D14">
        <v>-228000000</v>
      </c>
      <c r="E14">
        <v>-382000000</v>
      </c>
    </row>
    <row r="15" spans="1:5" x14ac:dyDescent="0.2">
      <c r="A15" s="19" t="s">
        <v>211</v>
      </c>
      <c r="B15">
        <v>67091000000</v>
      </c>
      <c r="C15">
        <v>109207000000</v>
      </c>
      <c r="D15">
        <v>119103000000</v>
      </c>
      <c r="E15">
        <v>113736000000</v>
      </c>
    </row>
    <row r="16" spans="1:5" x14ac:dyDescent="0.2">
      <c r="A16" s="19" t="s">
        <v>212</v>
      </c>
      <c r="B16">
        <v>9680000000</v>
      </c>
      <c r="C16">
        <v>14527000000</v>
      </c>
      <c r="D16">
        <v>19300000000</v>
      </c>
      <c r="E16">
        <v>16741000000</v>
      </c>
    </row>
    <row r="17" spans="1:5" x14ac:dyDescent="0.2">
      <c r="A17" s="19" t="s">
        <v>213</v>
      </c>
      <c r="B17">
        <v>57411000000</v>
      </c>
      <c r="C17">
        <v>94680000000</v>
      </c>
      <c r="D17">
        <v>99803000000</v>
      </c>
      <c r="E17">
        <v>96995000000</v>
      </c>
    </row>
    <row r="18" spans="1:5" x14ac:dyDescent="0.2">
      <c r="A18" s="19" t="s">
        <v>214</v>
      </c>
      <c r="B18">
        <v>57411000000</v>
      </c>
      <c r="C18">
        <v>94680000000</v>
      </c>
      <c r="D18">
        <v>99803000000</v>
      </c>
      <c r="E18">
        <v>96995000000</v>
      </c>
    </row>
    <row r="19" spans="1:5" x14ac:dyDescent="0.2">
      <c r="A19" s="19" t="s">
        <v>29</v>
      </c>
      <c r="B19">
        <v>57411000000</v>
      </c>
      <c r="C19">
        <v>94680000000</v>
      </c>
      <c r="D19">
        <v>99803000000</v>
      </c>
      <c r="E19">
        <v>96995000000</v>
      </c>
    </row>
    <row r="20" spans="1:5" x14ac:dyDescent="0.2">
      <c r="A20" s="19" t="s">
        <v>215</v>
      </c>
      <c r="B20">
        <v>57411000000</v>
      </c>
      <c r="C20">
        <v>94680000000</v>
      </c>
      <c r="D20">
        <v>99803000000</v>
      </c>
      <c r="E20">
        <v>96995000000</v>
      </c>
    </row>
    <row r="21" spans="1:5" x14ac:dyDescent="0.2">
      <c r="A21" s="19" t="s">
        <v>216</v>
      </c>
      <c r="B21">
        <v>57411000000</v>
      </c>
      <c r="C21">
        <v>94680000000</v>
      </c>
      <c r="D21">
        <v>99803000000</v>
      </c>
      <c r="E21">
        <v>96995000000</v>
      </c>
    </row>
    <row r="22" spans="1:5" x14ac:dyDescent="0.2">
      <c r="A22" s="19" t="s">
        <v>217</v>
      </c>
      <c r="B22">
        <v>3.31</v>
      </c>
      <c r="C22">
        <v>5.67</v>
      </c>
      <c r="D22">
        <v>6.15</v>
      </c>
      <c r="E22">
        <v>6.16</v>
      </c>
    </row>
    <row r="23" spans="1:5" x14ac:dyDescent="0.2">
      <c r="A23" s="19" t="s">
        <v>218</v>
      </c>
      <c r="B23">
        <v>3.28</v>
      </c>
      <c r="C23">
        <v>5.61</v>
      </c>
      <c r="D23">
        <v>6.11</v>
      </c>
      <c r="E23">
        <v>6.13</v>
      </c>
    </row>
    <row r="24" spans="1:5" x14ac:dyDescent="0.2">
      <c r="A24" s="19" t="s">
        <v>219</v>
      </c>
      <c r="B24">
        <v>17352119000</v>
      </c>
      <c r="C24">
        <v>16701272000</v>
      </c>
      <c r="D24">
        <v>16215963000</v>
      </c>
      <c r="E24">
        <v>15744231000</v>
      </c>
    </row>
    <row r="25" spans="1:5" x14ac:dyDescent="0.2">
      <c r="A25" s="19" t="s">
        <v>220</v>
      </c>
      <c r="B25">
        <v>17528214000</v>
      </c>
      <c r="C25">
        <v>16864919000</v>
      </c>
      <c r="D25">
        <v>16325819000</v>
      </c>
      <c r="E25">
        <v>15812547000</v>
      </c>
    </row>
    <row r="26" spans="1:5" x14ac:dyDescent="0.2">
      <c r="A26" s="19" t="s">
        <v>221</v>
      </c>
      <c r="B26">
        <v>66288000000</v>
      </c>
      <c r="C26">
        <v>108949000000</v>
      </c>
      <c r="D26">
        <v>119437000000</v>
      </c>
      <c r="E26">
        <v>114301000000</v>
      </c>
    </row>
    <row r="27" spans="1:5" x14ac:dyDescent="0.2">
      <c r="A27" s="19" t="s">
        <v>222</v>
      </c>
      <c r="B27">
        <v>208227000000</v>
      </c>
      <c r="C27">
        <v>256868000000</v>
      </c>
      <c r="D27">
        <v>274891000000</v>
      </c>
      <c r="E27">
        <v>268984000000</v>
      </c>
    </row>
    <row r="28" spans="1:5" x14ac:dyDescent="0.2">
      <c r="A28" s="19" t="s">
        <v>223</v>
      </c>
      <c r="B28">
        <v>57411000000</v>
      </c>
      <c r="C28">
        <v>94680000000</v>
      </c>
      <c r="D28">
        <v>99803000000</v>
      </c>
      <c r="E28">
        <v>96995000000</v>
      </c>
    </row>
    <row r="29" spans="1:5" x14ac:dyDescent="0.2">
      <c r="A29" s="19" t="s">
        <v>224</v>
      </c>
      <c r="B29">
        <v>57411000000</v>
      </c>
      <c r="C29">
        <v>94680000000</v>
      </c>
      <c r="D29">
        <v>99803000000</v>
      </c>
      <c r="E29">
        <v>96995000000</v>
      </c>
    </row>
    <row r="30" spans="1:5" x14ac:dyDescent="0.2">
      <c r="A30" s="19" t="s">
        <v>225</v>
      </c>
      <c r="B30">
        <v>3763000000</v>
      </c>
      <c r="C30">
        <v>2843000000</v>
      </c>
      <c r="D30">
        <v>2825000000</v>
      </c>
      <c r="E30">
        <v>3750000000</v>
      </c>
    </row>
    <row r="31" spans="1:5" x14ac:dyDescent="0.2">
      <c r="A31" s="19" t="s">
        <v>26</v>
      </c>
      <c r="B31">
        <v>2873000000</v>
      </c>
      <c r="C31">
        <v>2645000000</v>
      </c>
      <c r="D31">
        <v>2931000000</v>
      </c>
      <c r="E31">
        <v>3933000000</v>
      </c>
    </row>
    <row r="32" spans="1:5" x14ac:dyDescent="0.2">
      <c r="A32" s="19" t="s">
        <v>226</v>
      </c>
      <c r="B32">
        <v>890000000</v>
      </c>
      <c r="C32">
        <v>198000000</v>
      </c>
      <c r="D32">
        <v>-106000000</v>
      </c>
      <c r="E32">
        <v>-183000000</v>
      </c>
    </row>
    <row r="33" spans="1:5" x14ac:dyDescent="0.2">
      <c r="A33" s="19" t="s">
        <v>227</v>
      </c>
      <c r="B33">
        <v>69964000000</v>
      </c>
      <c r="C33">
        <v>111852000000</v>
      </c>
      <c r="D33">
        <v>122034000000</v>
      </c>
      <c r="E33">
        <v>117669000000</v>
      </c>
    </row>
    <row r="34" spans="1:5" x14ac:dyDescent="0.2">
      <c r="A34" s="19" t="s">
        <v>21</v>
      </c>
      <c r="B34">
        <v>81020000000</v>
      </c>
      <c r="C34">
        <v>123136000000</v>
      </c>
      <c r="D34">
        <v>133138000000</v>
      </c>
      <c r="E34">
        <v>129188000000</v>
      </c>
    </row>
    <row r="35" spans="1:5" x14ac:dyDescent="0.2">
      <c r="A35" s="19" t="s">
        <v>228</v>
      </c>
      <c r="B35">
        <v>169559000000</v>
      </c>
      <c r="C35">
        <v>212981000000</v>
      </c>
      <c r="D35">
        <v>223546000000</v>
      </c>
      <c r="E35">
        <v>214137000000</v>
      </c>
    </row>
    <row r="36" spans="1:5" x14ac:dyDescent="0.2">
      <c r="A36" s="19" t="s">
        <v>229</v>
      </c>
      <c r="B36">
        <v>11056000000</v>
      </c>
      <c r="C36">
        <v>11284000000</v>
      </c>
      <c r="D36">
        <v>11104000000</v>
      </c>
      <c r="E36">
        <v>11519000000</v>
      </c>
    </row>
    <row r="37" spans="1:5" x14ac:dyDescent="0.2">
      <c r="A37" s="19" t="s">
        <v>28</v>
      </c>
      <c r="B37">
        <v>57411000000</v>
      </c>
      <c r="C37">
        <v>94680000000</v>
      </c>
      <c r="D37">
        <v>99803000000</v>
      </c>
      <c r="E37">
        <v>96995000000</v>
      </c>
    </row>
    <row r="38" spans="1:5" x14ac:dyDescent="0.2">
      <c r="A38" s="19" t="s">
        <v>230</v>
      </c>
      <c r="B38">
        <v>81020000000</v>
      </c>
      <c r="C38">
        <v>123136000000</v>
      </c>
      <c r="D38">
        <v>133138000000</v>
      </c>
      <c r="E38">
        <v>129188000000</v>
      </c>
    </row>
    <row r="39" spans="1:5" x14ac:dyDescent="0.2">
      <c r="A39" s="19" t="s">
        <v>231</v>
      </c>
      <c r="B39">
        <v>0.14399999999999999</v>
      </c>
      <c r="C39">
        <v>0.13300000000000001</v>
      </c>
      <c r="D39">
        <v>0.16200000000000001</v>
      </c>
      <c r="E39">
        <v>0.14699999999999999</v>
      </c>
    </row>
    <row r="40" spans="1:5" x14ac:dyDescent="0.2">
      <c r="A40" s="19" t="s">
        <v>232</v>
      </c>
      <c r="B40">
        <v>0</v>
      </c>
      <c r="C40">
        <v>0</v>
      </c>
      <c r="D40">
        <v>0</v>
      </c>
      <c r="E40">
        <v>0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E69"/>
  <sheetViews>
    <sheetView workbookViewId="0">
      <selection activeCell="A36" sqref="A36"/>
    </sheetView>
  </sheetViews>
  <sheetFormatPr baseColWidth="10" defaultColWidth="8.83203125" defaultRowHeight="15" x14ac:dyDescent="0.2"/>
  <cols>
    <col min="1" max="5" width="33.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131</v>
      </c>
      <c r="B2">
        <v>17773000000</v>
      </c>
      <c r="C2">
        <v>17305000000</v>
      </c>
      <c r="D2">
        <v>18546000000</v>
      </c>
      <c r="E2">
        <v>28359000000</v>
      </c>
    </row>
    <row r="3" spans="1:5" x14ac:dyDescent="0.2">
      <c r="A3" s="19" t="s">
        <v>132</v>
      </c>
      <c r="B3">
        <v>20243000000</v>
      </c>
      <c r="C3">
        <v>17635000000</v>
      </c>
      <c r="D3">
        <v>5100000000</v>
      </c>
      <c r="E3">
        <v>1606000000</v>
      </c>
    </row>
    <row r="4" spans="1:5" x14ac:dyDescent="0.2">
      <c r="A4" s="19" t="s">
        <v>133</v>
      </c>
      <c r="B4">
        <v>38016000000</v>
      </c>
      <c r="C4">
        <v>34940000000</v>
      </c>
      <c r="D4">
        <v>23646000000</v>
      </c>
      <c r="E4">
        <v>29965000000</v>
      </c>
    </row>
    <row r="5" spans="1:5" x14ac:dyDescent="0.2">
      <c r="A5" s="19" t="s">
        <v>134</v>
      </c>
      <c r="B5">
        <v>52927000000</v>
      </c>
      <c r="C5">
        <v>27699000000</v>
      </c>
      <c r="D5">
        <v>24658000000</v>
      </c>
      <c r="E5">
        <v>31590000000</v>
      </c>
    </row>
    <row r="6" spans="1:5" x14ac:dyDescent="0.2">
      <c r="A6" s="19" t="s">
        <v>135</v>
      </c>
      <c r="B6">
        <v>90943000000</v>
      </c>
      <c r="C6">
        <v>62639000000</v>
      </c>
      <c r="D6">
        <v>48304000000</v>
      </c>
      <c r="E6">
        <v>61555000000</v>
      </c>
    </row>
    <row r="7" spans="1:5" x14ac:dyDescent="0.2">
      <c r="A7" s="19" t="s">
        <v>136</v>
      </c>
      <c r="B7">
        <v>16120000000</v>
      </c>
      <c r="C7">
        <v>26278000000</v>
      </c>
      <c r="D7">
        <v>28184000000</v>
      </c>
      <c r="E7">
        <v>29508000000</v>
      </c>
    </row>
    <row r="8" spans="1:5" x14ac:dyDescent="0.2">
      <c r="A8" s="19" t="s">
        <v>137</v>
      </c>
      <c r="B8">
        <v>21325000000</v>
      </c>
      <c r="C8">
        <v>25228000000</v>
      </c>
      <c r="D8">
        <v>32748000000</v>
      </c>
      <c r="E8">
        <v>31477000000</v>
      </c>
    </row>
    <row r="9" spans="1:5" x14ac:dyDescent="0.2">
      <c r="A9" s="130" t="s">
        <v>138</v>
      </c>
      <c r="B9">
        <v>37445000000</v>
      </c>
      <c r="C9">
        <v>51506000000</v>
      </c>
      <c r="D9">
        <v>60932000000</v>
      </c>
      <c r="E9">
        <v>60985000000</v>
      </c>
    </row>
    <row r="10" spans="1:5" x14ac:dyDescent="0.2">
      <c r="A10" s="19" t="s">
        <v>139</v>
      </c>
      <c r="B10">
        <v>4061000000</v>
      </c>
      <c r="C10">
        <v>6580000000</v>
      </c>
      <c r="D10">
        <v>4946000000</v>
      </c>
      <c r="E10">
        <v>6331000000</v>
      </c>
    </row>
    <row r="11" spans="1:5" x14ac:dyDescent="0.2">
      <c r="A11" s="19" t="s">
        <v>140</v>
      </c>
      <c r="B11">
        <v>11264000000</v>
      </c>
      <c r="C11">
        <v>14111000000</v>
      </c>
      <c r="D11">
        <v>21223000000</v>
      </c>
      <c r="E11">
        <v>14695000000</v>
      </c>
    </row>
    <row r="12" spans="1:5" x14ac:dyDescent="0.2">
      <c r="A12" s="19" t="s">
        <v>141</v>
      </c>
      <c r="B12">
        <v>143713000000</v>
      </c>
      <c r="C12">
        <v>134836000000</v>
      </c>
      <c r="D12">
        <v>135405000000</v>
      </c>
      <c r="E12">
        <v>143566000000</v>
      </c>
    </row>
    <row r="13" spans="1:5" x14ac:dyDescent="0.2">
      <c r="A13" s="19" t="s">
        <v>142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9" t="s">
        <v>143</v>
      </c>
      <c r="B14">
        <v>17952000000</v>
      </c>
      <c r="C14">
        <v>20041000000</v>
      </c>
      <c r="D14">
        <v>22126000000</v>
      </c>
      <c r="E14">
        <v>23446000000</v>
      </c>
    </row>
    <row r="15" spans="1:5" x14ac:dyDescent="0.2">
      <c r="A15" s="19" t="s">
        <v>144</v>
      </c>
      <c r="B15">
        <v>75291000000</v>
      </c>
      <c r="C15">
        <v>78659000000</v>
      </c>
      <c r="D15">
        <v>81060000000</v>
      </c>
      <c r="E15">
        <v>78314000000</v>
      </c>
    </row>
    <row r="16" spans="1:5" x14ac:dyDescent="0.2">
      <c r="A16" s="19" t="s">
        <v>145</v>
      </c>
      <c r="B16">
        <v>8570000000</v>
      </c>
      <c r="C16">
        <v>10087000000</v>
      </c>
      <c r="D16">
        <v>10417000000</v>
      </c>
      <c r="E16">
        <v>10661000000</v>
      </c>
    </row>
    <row r="17" spans="1:5" x14ac:dyDescent="0.2">
      <c r="A17" s="19" t="s">
        <v>146</v>
      </c>
      <c r="B17">
        <v>10283000000</v>
      </c>
      <c r="C17">
        <v>11023000000</v>
      </c>
      <c r="D17">
        <v>11271000000</v>
      </c>
      <c r="E17">
        <v>12839000000</v>
      </c>
    </row>
    <row r="18" spans="1:5" x14ac:dyDescent="0.2">
      <c r="A18" s="19" t="s">
        <v>147</v>
      </c>
      <c r="B18">
        <v>112096000000</v>
      </c>
      <c r="C18">
        <v>119810000000</v>
      </c>
      <c r="D18">
        <v>124874000000</v>
      </c>
      <c r="E18">
        <v>125260000000</v>
      </c>
    </row>
    <row r="19" spans="1:5" x14ac:dyDescent="0.2">
      <c r="A19" s="19" t="s">
        <v>148</v>
      </c>
      <c r="B19">
        <v>-66760000000</v>
      </c>
      <c r="C19">
        <v>-70283000000</v>
      </c>
      <c r="D19">
        <v>-72340000000</v>
      </c>
      <c r="E19">
        <v>-70884000000</v>
      </c>
    </row>
    <row r="20" spans="1:5" x14ac:dyDescent="0.2">
      <c r="A20" s="19" t="s">
        <v>149</v>
      </c>
      <c r="B20">
        <v>45336000000</v>
      </c>
      <c r="C20">
        <v>49527000000</v>
      </c>
      <c r="D20">
        <v>52534000000</v>
      </c>
      <c r="E20">
        <v>54376000000</v>
      </c>
    </row>
    <row r="21" spans="1:5" x14ac:dyDescent="0.2">
      <c r="A21" s="19" t="s">
        <v>150</v>
      </c>
      <c r="B21">
        <v>100887000000</v>
      </c>
      <c r="C21">
        <v>127877000000</v>
      </c>
      <c r="D21">
        <v>120805000000</v>
      </c>
      <c r="E21">
        <v>100544000000</v>
      </c>
    </row>
    <row r="22" spans="1:5" x14ac:dyDescent="0.2">
      <c r="A22" s="19" t="s">
        <v>151</v>
      </c>
      <c r="B22">
        <v>100887000000</v>
      </c>
      <c r="C22">
        <v>127877000000</v>
      </c>
      <c r="D22">
        <v>120805000000</v>
      </c>
      <c r="E22">
        <v>100544000000</v>
      </c>
    </row>
    <row r="23" spans="1:5" x14ac:dyDescent="0.2">
      <c r="A23" s="19" t="s">
        <v>152</v>
      </c>
      <c r="B23">
        <v>100887000000</v>
      </c>
      <c r="C23">
        <v>127877000000</v>
      </c>
      <c r="D23">
        <v>120805000000</v>
      </c>
    </row>
    <row r="24" spans="1:5" x14ac:dyDescent="0.2">
      <c r="A24" s="19" t="s">
        <v>153</v>
      </c>
      <c r="B24">
        <v>100887000000</v>
      </c>
      <c r="C24">
        <v>127877000000</v>
      </c>
      <c r="D24">
        <v>120805000000</v>
      </c>
      <c r="E24">
        <v>100544000000</v>
      </c>
    </row>
    <row r="25" spans="1:5" x14ac:dyDescent="0.2">
      <c r="A25" s="19" t="s">
        <v>154</v>
      </c>
      <c r="D25">
        <v>15375000000</v>
      </c>
      <c r="E25">
        <v>17852000000</v>
      </c>
    </row>
    <row r="26" spans="1:5" x14ac:dyDescent="0.2">
      <c r="A26" s="19" t="s">
        <v>155</v>
      </c>
      <c r="D26">
        <v>15375000000</v>
      </c>
      <c r="E26">
        <v>17852000000</v>
      </c>
    </row>
    <row r="27" spans="1:5" x14ac:dyDescent="0.2">
      <c r="A27" s="19" t="s">
        <v>156</v>
      </c>
      <c r="B27">
        <v>33952000000</v>
      </c>
      <c r="C27">
        <v>38762000000</v>
      </c>
      <c r="D27">
        <v>28636000000</v>
      </c>
      <c r="E27">
        <v>36245000000</v>
      </c>
    </row>
    <row r="28" spans="1:5" x14ac:dyDescent="0.2">
      <c r="A28" s="19" t="s">
        <v>157</v>
      </c>
      <c r="B28">
        <v>180175000000</v>
      </c>
      <c r="C28">
        <v>216166000000</v>
      </c>
      <c r="D28">
        <v>217350000000</v>
      </c>
      <c r="E28">
        <v>209017000000</v>
      </c>
    </row>
    <row r="29" spans="1:5" x14ac:dyDescent="0.2">
      <c r="A29" s="19" t="s">
        <v>158</v>
      </c>
      <c r="B29">
        <v>323888000000</v>
      </c>
      <c r="C29">
        <v>351002000000</v>
      </c>
      <c r="D29">
        <v>352755000000</v>
      </c>
      <c r="E29">
        <v>352583000000</v>
      </c>
    </row>
    <row r="30" spans="1:5" x14ac:dyDescent="0.2">
      <c r="A30" s="19" t="s">
        <v>159</v>
      </c>
      <c r="B30">
        <v>42296000000</v>
      </c>
      <c r="C30">
        <v>54763000000</v>
      </c>
      <c r="D30">
        <v>64115000000</v>
      </c>
      <c r="E30">
        <v>62611000000</v>
      </c>
    </row>
    <row r="31" spans="1:5" x14ac:dyDescent="0.2">
      <c r="A31" s="19" t="s">
        <v>160</v>
      </c>
      <c r="D31">
        <v>6552000000</v>
      </c>
      <c r="E31">
        <v>8819000000</v>
      </c>
    </row>
    <row r="32" spans="1:5" x14ac:dyDescent="0.2">
      <c r="A32" s="19" t="s">
        <v>161</v>
      </c>
      <c r="D32">
        <v>6552000000</v>
      </c>
      <c r="E32">
        <v>8819000000</v>
      </c>
    </row>
    <row r="33" spans="1:5" x14ac:dyDescent="0.2">
      <c r="A33" s="19" t="s">
        <v>162</v>
      </c>
      <c r="B33">
        <v>42296000000</v>
      </c>
      <c r="C33">
        <v>54763000000</v>
      </c>
      <c r="D33">
        <v>70667000000</v>
      </c>
      <c r="E33">
        <v>71430000000</v>
      </c>
    </row>
    <row r="34" spans="1:5" x14ac:dyDescent="0.2">
      <c r="A34" s="19" t="s">
        <v>163</v>
      </c>
      <c r="B34">
        <v>42296000000</v>
      </c>
      <c r="C34">
        <v>54763000000</v>
      </c>
      <c r="D34">
        <v>70667000000</v>
      </c>
      <c r="E34">
        <v>71430000000</v>
      </c>
    </row>
    <row r="35" spans="1:5" x14ac:dyDescent="0.2">
      <c r="A35" s="19" t="s">
        <v>164</v>
      </c>
      <c r="B35">
        <v>4996000000</v>
      </c>
      <c r="C35">
        <v>6000000000</v>
      </c>
      <c r="D35">
        <v>9982000000</v>
      </c>
      <c r="E35">
        <v>5985000000</v>
      </c>
    </row>
    <row r="36" spans="1:5" x14ac:dyDescent="0.2">
      <c r="A36" s="19" t="s">
        <v>165</v>
      </c>
      <c r="B36">
        <v>8773000000</v>
      </c>
      <c r="C36">
        <v>9613000000</v>
      </c>
      <c r="D36">
        <v>11128000000</v>
      </c>
      <c r="E36">
        <v>9822000000</v>
      </c>
    </row>
    <row r="37" spans="1:5" x14ac:dyDescent="0.2">
      <c r="A37" s="19" t="s">
        <v>166</v>
      </c>
      <c r="B37">
        <v>13769000000</v>
      </c>
      <c r="C37">
        <v>15613000000</v>
      </c>
      <c r="D37">
        <v>21110000000</v>
      </c>
      <c r="E37">
        <v>15807000000</v>
      </c>
    </row>
    <row r="38" spans="1:5" x14ac:dyDescent="0.2">
      <c r="A38" s="19" t="s">
        <v>167</v>
      </c>
      <c r="B38">
        <v>1460000000</v>
      </c>
      <c r="C38">
        <v>1528000000</v>
      </c>
      <c r="D38">
        <v>1663000000</v>
      </c>
      <c r="E38">
        <v>1575000000</v>
      </c>
    </row>
    <row r="39" spans="1:5" x14ac:dyDescent="0.2">
      <c r="A39" s="19" t="s">
        <v>168</v>
      </c>
      <c r="B39">
        <v>15229000000</v>
      </c>
      <c r="C39">
        <v>17141000000</v>
      </c>
      <c r="D39">
        <v>22773000000</v>
      </c>
      <c r="E39">
        <v>17382000000</v>
      </c>
    </row>
    <row r="40" spans="1:5" x14ac:dyDescent="0.2">
      <c r="A40" s="19" t="s">
        <v>169</v>
      </c>
      <c r="B40">
        <v>6643000000</v>
      </c>
      <c r="C40">
        <v>7612000000</v>
      </c>
      <c r="D40">
        <v>7912000000</v>
      </c>
      <c r="E40">
        <v>8061000000</v>
      </c>
    </row>
    <row r="41" spans="1:5" x14ac:dyDescent="0.2">
      <c r="A41" s="19" t="s">
        <v>170</v>
      </c>
      <c r="B41">
        <v>6643000000</v>
      </c>
      <c r="C41">
        <v>7612000000</v>
      </c>
      <c r="D41">
        <v>7912000000</v>
      </c>
      <c r="E41">
        <v>8061000000</v>
      </c>
    </row>
    <row r="42" spans="1:5" x14ac:dyDescent="0.2">
      <c r="A42" s="19" t="s">
        <v>171</v>
      </c>
      <c r="B42">
        <v>41224000000</v>
      </c>
      <c r="C42">
        <v>45965000000</v>
      </c>
      <c r="D42">
        <v>52630000000</v>
      </c>
      <c r="E42">
        <v>48435000000</v>
      </c>
    </row>
    <row r="43" spans="1:5" x14ac:dyDescent="0.2">
      <c r="A43" s="19" t="s">
        <v>172</v>
      </c>
      <c r="B43">
        <v>105392000000</v>
      </c>
      <c r="C43">
        <v>125481000000</v>
      </c>
      <c r="D43">
        <v>153982000000</v>
      </c>
      <c r="E43">
        <v>145308000000</v>
      </c>
    </row>
    <row r="44" spans="1:5" x14ac:dyDescent="0.2">
      <c r="A44" s="19" t="s">
        <v>173</v>
      </c>
      <c r="B44">
        <v>98667000000</v>
      </c>
      <c r="C44">
        <v>109106000000</v>
      </c>
      <c r="D44">
        <v>98959000000</v>
      </c>
      <c r="E44">
        <v>95281000000</v>
      </c>
    </row>
    <row r="45" spans="1:5" x14ac:dyDescent="0.2">
      <c r="A45" s="19" t="s">
        <v>174</v>
      </c>
      <c r="B45">
        <v>8382000000</v>
      </c>
      <c r="C45">
        <v>10275000000</v>
      </c>
      <c r="D45">
        <v>10748000000</v>
      </c>
      <c r="E45">
        <v>11267000000</v>
      </c>
    </row>
    <row r="46" spans="1:5" x14ac:dyDescent="0.2">
      <c r="A46" s="19" t="s">
        <v>175</v>
      </c>
      <c r="B46">
        <v>107049000000</v>
      </c>
      <c r="C46">
        <v>119381000000</v>
      </c>
      <c r="D46">
        <v>109707000000</v>
      </c>
      <c r="E46">
        <v>106548000000</v>
      </c>
    </row>
    <row r="47" spans="1:5" x14ac:dyDescent="0.2">
      <c r="A47" s="19" t="s">
        <v>176</v>
      </c>
      <c r="B47">
        <v>28170000000</v>
      </c>
      <c r="C47">
        <v>24689000000</v>
      </c>
      <c r="D47">
        <v>16657000000</v>
      </c>
      <c r="E47">
        <v>15457000000</v>
      </c>
    </row>
    <row r="48" spans="1:5" x14ac:dyDescent="0.2">
      <c r="A48" s="19" t="s">
        <v>177</v>
      </c>
      <c r="B48">
        <v>17938000000</v>
      </c>
      <c r="C48">
        <v>18361000000</v>
      </c>
      <c r="D48">
        <v>21737000000</v>
      </c>
      <c r="E48">
        <v>23124000000</v>
      </c>
    </row>
    <row r="49" spans="1:5" x14ac:dyDescent="0.2">
      <c r="A49" s="19" t="s">
        <v>178</v>
      </c>
      <c r="B49">
        <v>153157000000</v>
      </c>
      <c r="C49">
        <v>162431000000</v>
      </c>
      <c r="D49">
        <v>148101000000</v>
      </c>
      <c r="E49">
        <v>145129000000</v>
      </c>
    </row>
    <row r="50" spans="1:5" x14ac:dyDescent="0.2">
      <c r="A50" s="19" t="s">
        <v>179</v>
      </c>
      <c r="B50">
        <v>258549000000</v>
      </c>
      <c r="C50">
        <v>287912000000</v>
      </c>
      <c r="D50">
        <v>302083000000</v>
      </c>
      <c r="E50">
        <v>290437000000</v>
      </c>
    </row>
    <row r="51" spans="1:5" x14ac:dyDescent="0.2">
      <c r="A51" s="19" t="s">
        <v>180</v>
      </c>
      <c r="B51">
        <v>50779000000</v>
      </c>
      <c r="C51">
        <v>57365000000</v>
      </c>
      <c r="D51">
        <v>64849000000</v>
      </c>
      <c r="E51">
        <v>73812000000</v>
      </c>
    </row>
    <row r="52" spans="1:5" x14ac:dyDescent="0.2">
      <c r="A52" s="19" t="s">
        <v>181</v>
      </c>
      <c r="B52">
        <v>50779000000</v>
      </c>
      <c r="C52">
        <v>57365000000</v>
      </c>
      <c r="D52">
        <v>64849000000</v>
      </c>
      <c r="E52">
        <v>73812000000</v>
      </c>
    </row>
    <row r="53" spans="1:5" x14ac:dyDescent="0.2">
      <c r="A53" s="19" t="s">
        <v>182</v>
      </c>
      <c r="B53">
        <v>14966000000</v>
      </c>
      <c r="C53">
        <v>5562000000</v>
      </c>
      <c r="D53">
        <v>-3068000000</v>
      </c>
      <c r="E53">
        <v>-214000000</v>
      </c>
    </row>
    <row r="54" spans="1:5" x14ac:dyDescent="0.2">
      <c r="A54" s="19" t="s">
        <v>183</v>
      </c>
      <c r="B54">
        <v>-406000000</v>
      </c>
      <c r="C54">
        <v>163000000</v>
      </c>
      <c r="D54">
        <v>-11109000000</v>
      </c>
      <c r="E54">
        <v>-11452000000</v>
      </c>
    </row>
    <row r="55" spans="1:5" x14ac:dyDescent="0.2">
      <c r="A55" s="19" t="s">
        <v>184</v>
      </c>
      <c r="B55">
        <v>-406000000</v>
      </c>
      <c r="C55">
        <v>163000000</v>
      </c>
      <c r="D55">
        <v>-11109000000</v>
      </c>
      <c r="E55">
        <v>-11452000000</v>
      </c>
    </row>
    <row r="56" spans="1:5" x14ac:dyDescent="0.2">
      <c r="A56" s="19" t="s">
        <v>185</v>
      </c>
      <c r="B56">
        <v>65339000000</v>
      </c>
      <c r="C56">
        <v>63090000000</v>
      </c>
      <c r="D56">
        <v>50672000000</v>
      </c>
      <c r="E56">
        <v>62146000000</v>
      </c>
    </row>
    <row r="57" spans="1:5" x14ac:dyDescent="0.2">
      <c r="A57" s="19" t="s">
        <v>186</v>
      </c>
      <c r="B57">
        <v>65339000000</v>
      </c>
      <c r="C57">
        <v>63090000000</v>
      </c>
      <c r="D57">
        <v>50672000000</v>
      </c>
      <c r="E57">
        <v>62146000000</v>
      </c>
    </row>
    <row r="58" spans="1:5" x14ac:dyDescent="0.2">
      <c r="A58" s="19" t="s">
        <v>187</v>
      </c>
      <c r="B58">
        <v>164006000000</v>
      </c>
      <c r="C58">
        <v>172196000000</v>
      </c>
      <c r="D58">
        <v>149631000000</v>
      </c>
      <c r="E58">
        <v>157427000000</v>
      </c>
    </row>
    <row r="59" spans="1:5" x14ac:dyDescent="0.2">
      <c r="A59" s="19" t="s">
        <v>188</v>
      </c>
      <c r="B59">
        <v>65339000000</v>
      </c>
      <c r="C59">
        <v>63090000000</v>
      </c>
      <c r="D59">
        <v>50672000000</v>
      </c>
      <c r="E59">
        <v>62146000000</v>
      </c>
    </row>
    <row r="60" spans="1:5" x14ac:dyDescent="0.2">
      <c r="A60" s="19" t="s">
        <v>189</v>
      </c>
      <c r="B60">
        <v>9842000000</v>
      </c>
      <c r="C60">
        <v>11803000000</v>
      </c>
      <c r="D60">
        <v>12411000000</v>
      </c>
      <c r="E60">
        <v>12842000000</v>
      </c>
    </row>
    <row r="61" spans="1:5" x14ac:dyDescent="0.2">
      <c r="A61" s="19" t="s">
        <v>190</v>
      </c>
      <c r="B61">
        <v>65339000000</v>
      </c>
      <c r="C61">
        <v>63090000000</v>
      </c>
      <c r="D61">
        <v>50672000000</v>
      </c>
      <c r="E61">
        <v>62146000000</v>
      </c>
    </row>
    <row r="62" spans="1:5" x14ac:dyDescent="0.2">
      <c r="A62" s="19" t="s">
        <v>191</v>
      </c>
      <c r="B62">
        <v>38321000000</v>
      </c>
      <c r="C62">
        <v>9355000000</v>
      </c>
      <c r="D62">
        <v>-18577000000</v>
      </c>
      <c r="E62">
        <v>-1742000000</v>
      </c>
    </row>
    <row r="63" spans="1:5" x14ac:dyDescent="0.2">
      <c r="A63" s="19" t="s">
        <v>192</v>
      </c>
      <c r="B63">
        <v>177775000000</v>
      </c>
      <c r="C63">
        <v>187809000000</v>
      </c>
      <c r="D63">
        <v>170741000000</v>
      </c>
      <c r="E63">
        <v>173234000000</v>
      </c>
    </row>
    <row r="64" spans="1:5" x14ac:dyDescent="0.2">
      <c r="A64" s="19" t="s">
        <v>193</v>
      </c>
      <c r="B64">
        <v>65339000000</v>
      </c>
      <c r="C64">
        <v>63090000000</v>
      </c>
      <c r="D64">
        <v>50672000000</v>
      </c>
      <c r="E64">
        <v>62146000000</v>
      </c>
    </row>
    <row r="65" spans="1:5" x14ac:dyDescent="0.2">
      <c r="A65" s="19" t="s">
        <v>194</v>
      </c>
      <c r="B65">
        <v>122278000000</v>
      </c>
      <c r="C65">
        <v>136522000000</v>
      </c>
      <c r="D65">
        <v>132480000000</v>
      </c>
      <c r="E65">
        <v>123930000000</v>
      </c>
    </row>
    <row r="66" spans="1:5" x14ac:dyDescent="0.2">
      <c r="A66" s="19" t="s">
        <v>195</v>
      </c>
      <c r="B66">
        <v>74420000000</v>
      </c>
      <c r="C66">
        <v>89779000000</v>
      </c>
      <c r="D66">
        <v>96423000000</v>
      </c>
      <c r="E66">
        <v>81123000000</v>
      </c>
    </row>
    <row r="67" spans="1:5" x14ac:dyDescent="0.2">
      <c r="A67" s="19" t="s">
        <v>196</v>
      </c>
      <c r="B67">
        <v>16976763000</v>
      </c>
      <c r="C67">
        <v>16426786000</v>
      </c>
      <c r="D67">
        <v>15943425000</v>
      </c>
      <c r="E67">
        <v>15550061000</v>
      </c>
    </row>
    <row r="68" spans="1:5" x14ac:dyDescent="0.2">
      <c r="A68" s="19" t="s">
        <v>197</v>
      </c>
      <c r="B68">
        <v>16976763000</v>
      </c>
      <c r="C68">
        <v>16426786000</v>
      </c>
      <c r="D68">
        <v>15943425000</v>
      </c>
      <c r="E68">
        <v>15550061000</v>
      </c>
    </row>
    <row r="69" spans="1:5" x14ac:dyDescent="0.2">
      <c r="A69" s="19" t="s">
        <v>198</v>
      </c>
      <c r="E69">
        <v>0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E56"/>
  <sheetViews>
    <sheetView topLeftCell="A25" workbookViewId="0">
      <selection activeCell="C31" sqref="C31"/>
    </sheetView>
  </sheetViews>
  <sheetFormatPr baseColWidth="10" defaultColWidth="8.83203125" defaultRowHeight="15" x14ac:dyDescent="0.2"/>
  <cols>
    <col min="1" max="5" width="40.8320312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233</v>
      </c>
      <c r="B2">
        <v>57411000000</v>
      </c>
      <c r="C2">
        <v>94680000000</v>
      </c>
      <c r="D2">
        <v>99803000000</v>
      </c>
      <c r="E2">
        <v>96995000000</v>
      </c>
    </row>
    <row r="3" spans="1:5" x14ac:dyDescent="0.2">
      <c r="A3" s="19" t="s">
        <v>24</v>
      </c>
      <c r="B3">
        <v>11056000000</v>
      </c>
      <c r="C3">
        <v>11284000000</v>
      </c>
      <c r="D3">
        <v>11104000000</v>
      </c>
      <c r="E3">
        <v>11519000000</v>
      </c>
    </row>
    <row r="4" spans="1:5" x14ac:dyDescent="0.2">
      <c r="A4" s="19" t="s">
        <v>234</v>
      </c>
      <c r="B4">
        <v>11056000000</v>
      </c>
      <c r="C4">
        <v>11284000000</v>
      </c>
      <c r="D4">
        <v>11104000000</v>
      </c>
      <c r="E4">
        <v>11519000000</v>
      </c>
    </row>
    <row r="5" spans="1:5" x14ac:dyDescent="0.2">
      <c r="A5" s="19" t="s">
        <v>235</v>
      </c>
      <c r="B5">
        <v>-215000000</v>
      </c>
      <c r="C5">
        <v>-4774000000</v>
      </c>
      <c r="D5">
        <v>895000000</v>
      </c>
    </row>
    <row r="6" spans="1:5" x14ac:dyDescent="0.2">
      <c r="A6" s="19" t="s">
        <v>236</v>
      </c>
      <c r="B6">
        <v>-215000000</v>
      </c>
      <c r="C6">
        <v>-4774000000</v>
      </c>
      <c r="D6">
        <v>895000000</v>
      </c>
    </row>
    <row r="7" spans="1:5" x14ac:dyDescent="0.2">
      <c r="A7" s="19" t="s">
        <v>237</v>
      </c>
      <c r="B7">
        <v>6829000000</v>
      </c>
      <c r="C7">
        <v>7906000000</v>
      </c>
      <c r="D7">
        <v>9038000000</v>
      </c>
      <c r="E7">
        <v>10833000000</v>
      </c>
    </row>
    <row r="8" spans="1:5" x14ac:dyDescent="0.2">
      <c r="A8" s="19" t="s">
        <v>238</v>
      </c>
      <c r="B8">
        <v>-97000000</v>
      </c>
      <c r="C8">
        <v>-4921000000</v>
      </c>
      <c r="D8">
        <v>1006000000</v>
      </c>
      <c r="E8">
        <v>-2227000000</v>
      </c>
    </row>
    <row r="9" spans="1:5" x14ac:dyDescent="0.2">
      <c r="A9" s="19" t="s">
        <v>239</v>
      </c>
      <c r="B9">
        <v>6917000000</v>
      </c>
      <c r="C9">
        <v>-10125000000</v>
      </c>
      <c r="D9">
        <v>-1823000000</v>
      </c>
      <c r="E9">
        <v>-1688000000</v>
      </c>
    </row>
    <row r="10" spans="1:5" x14ac:dyDescent="0.2">
      <c r="A10" s="19" t="s">
        <v>240</v>
      </c>
      <c r="B10">
        <v>8470000000</v>
      </c>
      <c r="C10">
        <v>-14028000000</v>
      </c>
      <c r="D10">
        <v>-9343000000</v>
      </c>
      <c r="E10">
        <v>-417000000</v>
      </c>
    </row>
    <row r="11" spans="1:5" x14ac:dyDescent="0.2">
      <c r="A11" s="19" t="s">
        <v>241</v>
      </c>
      <c r="B11">
        <v>-127000000</v>
      </c>
      <c r="C11">
        <v>-2642000000</v>
      </c>
      <c r="D11">
        <v>1484000000</v>
      </c>
      <c r="E11">
        <v>-1618000000</v>
      </c>
    </row>
    <row r="12" spans="1:5" x14ac:dyDescent="0.2">
      <c r="A12" s="19" t="s">
        <v>242</v>
      </c>
      <c r="B12">
        <v>-4062000000</v>
      </c>
      <c r="C12">
        <v>12326000000</v>
      </c>
      <c r="D12">
        <v>9448000000</v>
      </c>
      <c r="E12">
        <v>-1889000000</v>
      </c>
    </row>
    <row r="13" spans="1:5" x14ac:dyDescent="0.2">
      <c r="A13" s="19" t="s">
        <v>243</v>
      </c>
      <c r="B13">
        <v>-4062000000</v>
      </c>
      <c r="C13">
        <v>12326000000</v>
      </c>
      <c r="D13">
        <v>9448000000</v>
      </c>
      <c r="E13">
        <v>-1889000000</v>
      </c>
    </row>
    <row r="14" spans="1:5" x14ac:dyDescent="0.2">
      <c r="A14" s="19" t="s">
        <v>244</v>
      </c>
      <c r="B14">
        <v>-4062000000</v>
      </c>
      <c r="C14">
        <v>12326000000</v>
      </c>
      <c r="D14">
        <v>9448000000</v>
      </c>
      <c r="E14">
        <v>-1889000000</v>
      </c>
    </row>
    <row r="15" spans="1:5" x14ac:dyDescent="0.2">
      <c r="A15" s="19" t="s">
        <v>245</v>
      </c>
      <c r="B15">
        <v>-9588000000</v>
      </c>
      <c r="C15">
        <v>-8042000000</v>
      </c>
      <c r="D15">
        <v>-6499000000</v>
      </c>
      <c r="E15">
        <v>-5684000000</v>
      </c>
    </row>
    <row r="16" spans="1:5" x14ac:dyDescent="0.2">
      <c r="A16" s="19" t="s">
        <v>246</v>
      </c>
      <c r="B16">
        <v>8916000000</v>
      </c>
      <c r="C16">
        <v>7475000000</v>
      </c>
      <c r="D16">
        <v>6110000000</v>
      </c>
      <c r="E16">
        <v>3031000000</v>
      </c>
    </row>
    <row r="17" spans="1:5" x14ac:dyDescent="0.2">
      <c r="A17" s="19" t="s">
        <v>247</v>
      </c>
      <c r="B17">
        <v>2081000000</v>
      </c>
      <c r="C17">
        <v>1676000000</v>
      </c>
      <c r="D17">
        <v>478000000</v>
      </c>
    </row>
    <row r="18" spans="1:5" x14ac:dyDescent="0.2">
      <c r="A18" s="19" t="s">
        <v>248</v>
      </c>
      <c r="B18">
        <v>5690000000</v>
      </c>
      <c r="C18">
        <v>-4911000000</v>
      </c>
      <c r="D18">
        <v>1200000000</v>
      </c>
      <c r="E18">
        <v>-6577000000</v>
      </c>
    </row>
    <row r="19" spans="1:5" x14ac:dyDescent="0.2">
      <c r="A19" s="19" t="s">
        <v>249</v>
      </c>
      <c r="B19">
        <v>80674000000</v>
      </c>
      <c r="C19">
        <v>104038000000</v>
      </c>
      <c r="D19">
        <v>122151000000</v>
      </c>
      <c r="E19">
        <v>110543000000</v>
      </c>
    </row>
    <row r="20" spans="1:5" x14ac:dyDescent="0.2">
      <c r="A20" s="19" t="s">
        <v>250</v>
      </c>
      <c r="B20">
        <v>80674000000</v>
      </c>
      <c r="C20">
        <v>104038000000</v>
      </c>
      <c r="D20">
        <v>122151000000</v>
      </c>
      <c r="E20">
        <v>110543000000</v>
      </c>
    </row>
    <row r="21" spans="1:5" x14ac:dyDescent="0.2">
      <c r="A21" s="19" t="s">
        <v>251</v>
      </c>
      <c r="B21">
        <v>-7309000000</v>
      </c>
      <c r="C21">
        <v>-11085000000</v>
      </c>
      <c r="D21">
        <v>-10708000000</v>
      </c>
      <c r="E21">
        <v>-10959000000</v>
      </c>
    </row>
    <row r="22" spans="1:5" x14ac:dyDescent="0.2">
      <c r="A22" s="19" t="s">
        <v>252</v>
      </c>
      <c r="B22">
        <v>-7309000000</v>
      </c>
      <c r="C22">
        <v>-11085000000</v>
      </c>
      <c r="D22">
        <v>-10708000000</v>
      </c>
      <c r="E22">
        <v>-10959000000</v>
      </c>
    </row>
    <row r="23" spans="1:5" x14ac:dyDescent="0.2">
      <c r="A23" s="19" t="s">
        <v>253</v>
      </c>
      <c r="B23">
        <v>-1524000000</v>
      </c>
      <c r="C23">
        <v>-33000000</v>
      </c>
      <c r="D23">
        <v>-306000000</v>
      </c>
    </row>
    <row r="24" spans="1:5" x14ac:dyDescent="0.2">
      <c r="A24" s="19" t="s">
        <v>254</v>
      </c>
      <c r="B24">
        <v>-1524000000</v>
      </c>
      <c r="C24">
        <v>-33000000</v>
      </c>
      <c r="D24">
        <v>-306000000</v>
      </c>
    </row>
    <row r="25" spans="1:5" x14ac:dyDescent="0.2">
      <c r="A25" s="19" t="s">
        <v>255</v>
      </c>
      <c r="B25">
        <v>-114938000000</v>
      </c>
      <c r="C25">
        <v>-109558000000</v>
      </c>
      <c r="D25">
        <v>-76923000000</v>
      </c>
      <c r="E25">
        <v>-29513000000</v>
      </c>
    </row>
    <row r="26" spans="1:5" x14ac:dyDescent="0.2">
      <c r="A26" s="19" t="s">
        <v>256</v>
      </c>
      <c r="B26">
        <v>120391000000</v>
      </c>
      <c r="C26">
        <v>106483000000</v>
      </c>
      <c r="D26">
        <v>67363000000</v>
      </c>
      <c r="E26">
        <v>45514000000</v>
      </c>
    </row>
    <row r="27" spans="1:5" x14ac:dyDescent="0.2">
      <c r="A27" s="19" t="s">
        <v>257</v>
      </c>
      <c r="B27">
        <v>5453000000</v>
      </c>
      <c r="C27">
        <v>-3075000000</v>
      </c>
      <c r="D27">
        <v>-9560000000</v>
      </c>
      <c r="E27">
        <v>16001000000</v>
      </c>
    </row>
    <row r="28" spans="1:5" x14ac:dyDescent="0.2">
      <c r="A28" s="19" t="s">
        <v>258</v>
      </c>
      <c r="B28">
        <v>-909000000</v>
      </c>
      <c r="C28">
        <v>-385000000</v>
      </c>
      <c r="D28">
        <v>-2086000000</v>
      </c>
      <c r="E28">
        <v>-1337000000</v>
      </c>
    </row>
    <row r="29" spans="1:5" x14ac:dyDescent="0.2">
      <c r="A29" s="19" t="s">
        <v>259</v>
      </c>
      <c r="B29">
        <v>-4289000000</v>
      </c>
      <c r="C29">
        <v>-14545000000</v>
      </c>
      <c r="D29">
        <v>-22354000000</v>
      </c>
      <c r="E29">
        <v>3705000000</v>
      </c>
    </row>
    <row r="30" spans="1:5" x14ac:dyDescent="0.2">
      <c r="A30" s="19" t="s">
        <v>260</v>
      </c>
      <c r="B30">
        <v>-4289000000</v>
      </c>
      <c r="C30">
        <v>-14545000000</v>
      </c>
      <c r="D30">
        <v>-22354000000</v>
      </c>
      <c r="E30">
        <v>3705000000</v>
      </c>
    </row>
    <row r="31" spans="1:5" x14ac:dyDescent="0.2">
      <c r="A31" s="19" t="s">
        <v>261</v>
      </c>
      <c r="B31" s="20">
        <v>16091000000</v>
      </c>
      <c r="C31">
        <v>20393000000</v>
      </c>
      <c r="D31">
        <v>5465000000</v>
      </c>
      <c r="E31">
        <v>5228000000</v>
      </c>
    </row>
    <row r="32" spans="1:5" x14ac:dyDescent="0.2">
      <c r="A32" s="19" t="s">
        <v>262</v>
      </c>
      <c r="B32" s="20">
        <v>-12629000000</v>
      </c>
      <c r="C32">
        <v>-8750000000</v>
      </c>
      <c r="D32">
        <v>-9543000000</v>
      </c>
      <c r="E32">
        <v>-11151000000</v>
      </c>
    </row>
    <row r="33" spans="1:5" x14ac:dyDescent="0.2">
      <c r="A33" s="19" t="s">
        <v>263</v>
      </c>
      <c r="B33" s="20">
        <v>3462000000</v>
      </c>
      <c r="C33">
        <v>11643000000</v>
      </c>
      <c r="D33">
        <v>-4078000000</v>
      </c>
      <c r="E33">
        <v>-5923000000</v>
      </c>
    </row>
    <row r="34" spans="1:5" x14ac:dyDescent="0.2">
      <c r="A34" s="19" t="s">
        <v>264</v>
      </c>
      <c r="B34" s="20">
        <v>-963000000</v>
      </c>
      <c r="C34">
        <v>1022000000</v>
      </c>
      <c r="D34">
        <v>3955000000</v>
      </c>
      <c r="E34">
        <v>-3978000000</v>
      </c>
    </row>
    <row r="35" spans="1:5" x14ac:dyDescent="0.2">
      <c r="A35" s="19" t="s">
        <v>265</v>
      </c>
      <c r="B35" s="20">
        <v>2499000000</v>
      </c>
      <c r="C35">
        <v>12665000000</v>
      </c>
      <c r="D35">
        <v>-123000000</v>
      </c>
      <c r="E35">
        <v>-9901000000</v>
      </c>
    </row>
    <row r="36" spans="1:5" x14ac:dyDescent="0.2">
      <c r="A36" s="19" t="s">
        <v>266</v>
      </c>
      <c r="B36" s="20">
        <v>880000000</v>
      </c>
      <c r="C36">
        <v>1105000000</v>
      </c>
    </row>
    <row r="37" spans="1:5" x14ac:dyDescent="0.2">
      <c r="A37" s="19" t="s">
        <v>267</v>
      </c>
      <c r="B37" s="20">
        <v>-72358000000</v>
      </c>
      <c r="C37">
        <v>-85971000000</v>
      </c>
      <c r="D37">
        <v>-89402000000</v>
      </c>
      <c r="E37">
        <v>-77550000000</v>
      </c>
    </row>
    <row r="38" spans="1:5" x14ac:dyDescent="0.2">
      <c r="A38" s="19" t="s">
        <v>268</v>
      </c>
      <c r="B38" s="20">
        <v>-72358000000</v>
      </c>
      <c r="C38">
        <v>-85971000000</v>
      </c>
      <c r="D38">
        <v>-89402000000</v>
      </c>
      <c r="E38">
        <v>-77550000000</v>
      </c>
    </row>
    <row r="39" spans="1:5" x14ac:dyDescent="0.2">
      <c r="A39" s="19" t="s">
        <v>269</v>
      </c>
      <c r="B39" s="20">
        <v>-14081000000</v>
      </c>
      <c r="C39">
        <v>-14467000000</v>
      </c>
      <c r="D39">
        <v>-14841000000</v>
      </c>
      <c r="E39">
        <v>-15025000000</v>
      </c>
    </row>
    <row r="40" spans="1:5" x14ac:dyDescent="0.2">
      <c r="A40" s="19" t="s">
        <v>270</v>
      </c>
      <c r="B40" s="20">
        <v>-14081000000</v>
      </c>
      <c r="C40">
        <v>-14467000000</v>
      </c>
      <c r="D40">
        <v>-14841000000</v>
      </c>
      <c r="E40">
        <v>-15025000000</v>
      </c>
    </row>
    <row r="41" spans="1:5" x14ac:dyDescent="0.2">
      <c r="A41" s="19" t="s">
        <v>271</v>
      </c>
      <c r="B41" s="20">
        <v>-2880000000</v>
      </c>
      <c r="C41">
        <v>-5580000000</v>
      </c>
      <c r="D41">
        <v>-6383000000</v>
      </c>
      <c r="E41">
        <v>-6012000000</v>
      </c>
    </row>
    <row r="42" spans="1:5" x14ac:dyDescent="0.2">
      <c r="A42" s="19" t="s">
        <v>272</v>
      </c>
      <c r="B42" s="20">
        <v>-86820000000</v>
      </c>
      <c r="C42">
        <v>-93353000000</v>
      </c>
      <c r="D42">
        <v>-110749000000</v>
      </c>
      <c r="E42">
        <v>-108488000000</v>
      </c>
    </row>
    <row r="43" spans="1:5" x14ac:dyDescent="0.2">
      <c r="A43" s="19" t="s">
        <v>273</v>
      </c>
      <c r="B43">
        <v>-86820000000</v>
      </c>
      <c r="C43">
        <v>-93353000000</v>
      </c>
      <c r="D43">
        <v>-110749000000</v>
      </c>
      <c r="E43">
        <v>-108488000000</v>
      </c>
    </row>
    <row r="44" spans="1:5" x14ac:dyDescent="0.2">
      <c r="A44" s="19" t="s">
        <v>274</v>
      </c>
      <c r="B44">
        <v>-10435000000</v>
      </c>
      <c r="C44">
        <v>-3860000000</v>
      </c>
      <c r="D44">
        <v>-10952000000</v>
      </c>
      <c r="E44">
        <v>5760000000</v>
      </c>
    </row>
    <row r="45" spans="1:5" x14ac:dyDescent="0.2">
      <c r="A45" s="19" t="s">
        <v>275</v>
      </c>
      <c r="B45">
        <v>50224000000</v>
      </c>
      <c r="C45">
        <v>39789000000</v>
      </c>
      <c r="D45">
        <v>35929000000</v>
      </c>
      <c r="E45">
        <v>24977000000</v>
      </c>
    </row>
    <row r="46" spans="1:5" x14ac:dyDescent="0.2">
      <c r="A46" s="19" t="s">
        <v>276</v>
      </c>
      <c r="B46">
        <v>39789000000</v>
      </c>
      <c r="C46">
        <v>35929000000</v>
      </c>
      <c r="D46">
        <v>24977000000</v>
      </c>
      <c r="E46">
        <v>30737000000</v>
      </c>
    </row>
    <row r="47" spans="1:5" x14ac:dyDescent="0.2">
      <c r="A47" s="19" t="s">
        <v>277</v>
      </c>
      <c r="B47">
        <v>9501000000</v>
      </c>
      <c r="C47">
        <v>25385000000</v>
      </c>
      <c r="D47">
        <v>19573000000</v>
      </c>
      <c r="E47">
        <v>18679000000</v>
      </c>
    </row>
    <row r="48" spans="1:5" x14ac:dyDescent="0.2">
      <c r="A48" s="19" t="s">
        <v>278</v>
      </c>
      <c r="B48">
        <v>3002000000</v>
      </c>
      <c r="C48">
        <v>2687000000</v>
      </c>
      <c r="D48">
        <v>2865000000</v>
      </c>
      <c r="E48">
        <v>3803000000</v>
      </c>
    </row>
    <row r="49" spans="1:5" x14ac:dyDescent="0.2">
      <c r="A49" s="19" t="s">
        <v>279</v>
      </c>
      <c r="B49">
        <v>-7309000000</v>
      </c>
      <c r="C49">
        <v>-11085000000</v>
      </c>
      <c r="D49">
        <v>-10708000000</v>
      </c>
      <c r="E49">
        <v>-10959000000</v>
      </c>
    </row>
    <row r="50" spans="1:5" x14ac:dyDescent="0.2">
      <c r="A50" s="19" t="s">
        <v>280</v>
      </c>
      <c r="B50">
        <v>880000000</v>
      </c>
      <c r="C50">
        <v>1105000000</v>
      </c>
    </row>
    <row r="51" spans="1:5" x14ac:dyDescent="0.2">
      <c r="A51" s="19" t="s">
        <v>281</v>
      </c>
      <c r="B51">
        <v>16091000000</v>
      </c>
      <c r="C51">
        <v>20393000000</v>
      </c>
      <c r="D51">
        <v>5465000000</v>
      </c>
      <c r="E51">
        <v>5228000000</v>
      </c>
    </row>
    <row r="52" spans="1:5" x14ac:dyDescent="0.2">
      <c r="A52" s="19" t="s">
        <v>282</v>
      </c>
      <c r="B52">
        <v>-12629000000</v>
      </c>
      <c r="C52">
        <v>-8750000000</v>
      </c>
      <c r="D52">
        <v>-9543000000</v>
      </c>
      <c r="E52">
        <v>-11151000000</v>
      </c>
    </row>
    <row r="53" spans="1:5" x14ac:dyDescent="0.2">
      <c r="A53" s="19" t="s">
        <v>283</v>
      </c>
      <c r="B53">
        <v>-72358000000</v>
      </c>
      <c r="C53">
        <v>-85971000000</v>
      </c>
      <c r="D53">
        <v>-89402000000</v>
      </c>
      <c r="E53">
        <v>-77550000000</v>
      </c>
    </row>
    <row r="54" spans="1:5" x14ac:dyDescent="0.2">
      <c r="A54" s="19" t="s">
        <v>284</v>
      </c>
      <c r="B54">
        <v>73365000000</v>
      </c>
      <c r="C54">
        <v>92953000000</v>
      </c>
      <c r="D54">
        <v>111443000000</v>
      </c>
      <c r="E54">
        <v>99584000000</v>
      </c>
    </row>
    <row r="56" spans="1:5" x14ac:dyDescent="0.2">
      <c r="B56" s="88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Comparable Analysis</vt:lpstr>
      <vt:lpstr>Statement Model</vt:lpstr>
      <vt:lpstr>DCF</vt:lpstr>
      <vt:lpstr>Income Statement SEC</vt:lpstr>
      <vt:lpstr>Balance Sheet SEC</vt:lpstr>
      <vt:lpstr>Cash Flow Statement SEC</vt:lpstr>
      <vt:lpstr>Income Statement YFinance</vt:lpstr>
      <vt:lpstr>Balance Sheet YFinance</vt:lpstr>
      <vt:lpstr>Cash Flow Statement YFinance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Herber</cp:lastModifiedBy>
  <dcterms:created xsi:type="dcterms:W3CDTF">2024-08-15T14:22:08Z</dcterms:created>
  <dcterms:modified xsi:type="dcterms:W3CDTF">2024-08-27T07:49:32Z</dcterms:modified>
</cp:coreProperties>
</file>