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redherber/Desktop/Portfolio/spreadsheets/"/>
    </mc:Choice>
  </mc:AlternateContent>
  <xr:revisionPtr revIDLastSave="0" documentId="13_ncr:1_{F23C4F34-6DCB-1747-913E-10FABEFF6E11}" xr6:coauthVersionLast="47" xr6:coauthVersionMax="47" xr10:uidLastSave="{00000000-0000-0000-0000-000000000000}"/>
  <bookViews>
    <workbookView xWindow="2020" yWindow="1840" windowWidth="28480" windowHeight="17180" activeTab="2" xr2:uid="{00000000-000D-0000-FFFF-FFFF00000000}"/>
  </bookViews>
  <sheets>
    <sheet name="Comparable Analysis" sheetId="1" r:id="rId1"/>
    <sheet name="Statement Model" sheetId="2" r:id="rId2"/>
    <sheet name="DCF" sheetId="3" r:id="rId3"/>
    <sheet name="Income Statement" sheetId="11" r:id="rId4"/>
    <sheet name="Balance Sheet" sheetId="10" r:id="rId5"/>
    <sheet name="Cash Flow Statement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4" i="3"/>
  <c r="F13" i="3"/>
  <c r="D95" i="2"/>
  <c r="E95" i="2"/>
  <c r="F95" i="2"/>
  <c r="C95" i="2"/>
  <c r="H116" i="2"/>
  <c r="I116" i="2"/>
  <c r="J116" i="2" s="1"/>
  <c r="K116" i="2" s="1"/>
  <c r="G116" i="2"/>
  <c r="G119" i="2"/>
  <c r="G123" i="2"/>
  <c r="H103" i="2" l="1"/>
  <c r="I103" i="2"/>
  <c r="J103" i="2" s="1"/>
  <c r="K103" i="2" s="1"/>
  <c r="G103" i="2"/>
  <c r="F92" i="2"/>
  <c r="D92" i="2"/>
  <c r="E92" i="2"/>
  <c r="C92" i="2"/>
  <c r="H97" i="2"/>
  <c r="I97" i="2" s="1"/>
  <c r="G97" i="2"/>
  <c r="H96" i="2"/>
  <c r="I96" i="2"/>
  <c r="J96" i="2"/>
  <c r="K96" i="2"/>
  <c r="G96" i="2"/>
  <c r="H79" i="2"/>
  <c r="I79" i="2"/>
  <c r="J79" i="2"/>
  <c r="K79" i="2"/>
  <c r="F79" i="2"/>
  <c r="G79" i="2"/>
  <c r="H78" i="2"/>
  <c r="I78" i="2" s="1"/>
  <c r="J78" i="2" s="1"/>
  <c r="G78" i="2"/>
  <c r="H76" i="2"/>
  <c r="I76" i="2" s="1"/>
  <c r="J76" i="2" s="1"/>
  <c r="K76" i="2" s="1"/>
  <c r="G76" i="2"/>
  <c r="H75" i="2"/>
  <c r="I75" i="2"/>
  <c r="J75" i="2"/>
  <c r="K75" i="2"/>
  <c r="G75" i="2"/>
  <c r="H74" i="2"/>
  <c r="I74" i="2"/>
  <c r="J74" i="2" s="1"/>
  <c r="K74" i="2" s="1"/>
  <c r="G74" i="2"/>
  <c r="H70" i="2"/>
  <c r="I70" i="2"/>
  <c r="J70" i="2"/>
  <c r="K70" i="2" s="1"/>
  <c r="G70" i="2"/>
  <c r="G53" i="2"/>
  <c r="C7" i="2"/>
  <c r="F124" i="2"/>
  <c r="D124" i="2"/>
  <c r="E124" i="2"/>
  <c r="C124" i="2"/>
  <c r="D120" i="2"/>
  <c r="E120" i="2"/>
  <c r="F120" i="2"/>
  <c r="C120" i="2"/>
  <c r="D118" i="2"/>
  <c r="E118" i="2"/>
  <c r="F118" i="2"/>
  <c r="C118" i="2"/>
  <c r="D116" i="2"/>
  <c r="E116" i="2"/>
  <c r="F116" i="2"/>
  <c r="D117" i="2"/>
  <c r="E117" i="2"/>
  <c r="F117" i="2"/>
  <c r="D119" i="2"/>
  <c r="E119" i="2"/>
  <c r="F119" i="2"/>
  <c r="D122" i="2"/>
  <c r="E122" i="2"/>
  <c r="F122" i="2"/>
  <c r="C122" i="2"/>
  <c r="C119" i="2"/>
  <c r="C117" i="2"/>
  <c r="C116" i="2"/>
  <c r="D111" i="2"/>
  <c r="E111" i="2"/>
  <c r="F111" i="2"/>
  <c r="C111" i="2"/>
  <c r="D109" i="2"/>
  <c r="E109" i="2"/>
  <c r="F109" i="2"/>
  <c r="D108" i="2"/>
  <c r="E108" i="2"/>
  <c r="F108" i="2"/>
  <c r="C108" i="2"/>
  <c r="F38" i="12"/>
  <c r="C109" i="2"/>
  <c r="D112" i="2"/>
  <c r="E112" i="2"/>
  <c r="F112" i="2"/>
  <c r="C112" i="2"/>
  <c r="D110" i="2"/>
  <c r="E110" i="2"/>
  <c r="F110" i="2"/>
  <c r="C110" i="2"/>
  <c r="D100" i="2"/>
  <c r="E100" i="2"/>
  <c r="F100" i="2"/>
  <c r="D101" i="2"/>
  <c r="E101" i="2"/>
  <c r="F101" i="2"/>
  <c r="D103" i="2"/>
  <c r="E103" i="2"/>
  <c r="F103" i="2"/>
  <c r="D104" i="2"/>
  <c r="E104" i="2"/>
  <c r="F104" i="2"/>
  <c r="C104" i="2"/>
  <c r="C103" i="2"/>
  <c r="C101" i="2"/>
  <c r="J97" i="2" l="1"/>
  <c r="K97" i="2"/>
  <c r="K78" i="2"/>
  <c r="C113" i="2"/>
  <c r="F105" i="2"/>
  <c r="E105" i="2"/>
  <c r="D105" i="2"/>
  <c r="C100" i="2" l="1"/>
  <c r="C105" i="2" s="1"/>
  <c r="D98" i="2"/>
  <c r="D121" i="2" s="1"/>
  <c r="E98" i="2"/>
  <c r="E121" i="2" s="1"/>
  <c r="F98" i="2"/>
  <c r="F121" i="2" s="1"/>
  <c r="C98" i="2"/>
  <c r="C121" i="2" s="1"/>
  <c r="D97" i="2"/>
  <c r="E97" i="2"/>
  <c r="F97" i="2"/>
  <c r="C97" i="2"/>
  <c r="D96" i="2"/>
  <c r="E96" i="2"/>
  <c r="F96" i="2"/>
  <c r="C96" i="2"/>
  <c r="D93" i="2"/>
  <c r="E93" i="2"/>
  <c r="F93" i="2"/>
  <c r="D94" i="2"/>
  <c r="E94" i="2"/>
  <c r="F94" i="2"/>
  <c r="C94" i="2"/>
  <c r="C93" i="2"/>
  <c r="G91" i="2"/>
  <c r="H91" i="2" s="1"/>
  <c r="I91" i="2" s="1"/>
  <c r="J91" i="2" s="1"/>
  <c r="K91" i="2" s="1"/>
  <c r="D91" i="2"/>
  <c r="E91" i="2"/>
  <c r="F91" i="2"/>
  <c r="C91" i="2"/>
  <c r="D90" i="2"/>
  <c r="E90" i="2"/>
  <c r="F90" i="2"/>
  <c r="G90" i="2" s="1"/>
  <c r="H90" i="2" s="1"/>
  <c r="I90" i="2" s="1"/>
  <c r="J90" i="2" s="1"/>
  <c r="K90" i="2" s="1"/>
  <c r="C90" i="2"/>
  <c r="D88" i="2"/>
  <c r="D31" i="2" s="1"/>
  <c r="E88" i="2"/>
  <c r="E19" i="2" s="1"/>
  <c r="F88" i="2"/>
  <c r="F19" i="2" s="1"/>
  <c r="C88" i="2"/>
  <c r="F31" i="2"/>
  <c r="C31" i="2"/>
  <c r="D19" i="2"/>
  <c r="D70" i="2"/>
  <c r="E70" i="2"/>
  <c r="F70" i="2"/>
  <c r="D65" i="2"/>
  <c r="E65" i="2"/>
  <c r="F65" i="2"/>
  <c r="D67" i="2"/>
  <c r="E67" i="2"/>
  <c r="F67" i="2"/>
  <c r="G67" i="2" s="1"/>
  <c r="H67" i="2" s="1"/>
  <c r="I67" i="2" s="1"/>
  <c r="J67" i="2" s="1"/>
  <c r="K67" i="2" s="1"/>
  <c r="C70" i="2"/>
  <c r="C65" i="2"/>
  <c r="D78" i="2"/>
  <c r="E78" i="2"/>
  <c r="F78" i="2"/>
  <c r="D77" i="2"/>
  <c r="E77" i="2"/>
  <c r="F77" i="2"/>
  <c r="D76" i="2"/>
  <c r="E76" i="2"/>
  <c r="F76" i="2"/>
  <c r="D75" i="2"/>
  <c r="E75" i="2"/>
  <c r="F75" i="2"/>
  <c r="D74" i="2"/>
  <c r="E74" i="2"/>
  <c r="F74" i="2"/>
  <c r="C76" i="2"/>
  <c r="C75" i="2"/>
  <c r="C74" i="2"/>
  <c r="C78" i="2"/>
  <c r="C77" i="2"/>
  <c r="C67" i="2"/>
  <c r="D58" i="2"/>
  <c r="E58" i="2"/>
  <c r="F58" i="2"/>
  <c r="C58" i="2"/>
  <c r="D56" i="2"/>
  <c r="E56" i="2"/>
  <c r="F56" i="2"/>
  <c r="C56" i="2"/>
  <c r="D59" i="2"/>
  <c r="E59" i="2"/>
  <c r="F59" i="2"/>
  <c r="C59" i="2"/>
  <c r="D57" i="2"/>
  <c r="E57" i="2"/>
  <c r="F57" i="2"/>
  <c r="G57" i="2" s="1"/>
  <c r="H57" i="2" s="1"/>
  <c r="I57" i="2" s="1"/>
  <c r="J57" i="2" s="1"/>
  <c r="K57" i="2" s="1"/>
  <c r="C57" i="2"/>
  <c r="D53" i="2"/>
  <c r="E53" i="2"/>
  <c r="F53" i="2"/>
  <c r="H53" i="2" s="1"/>
  <c r="I53" i="2" s="1"/>
  <c r="J53" i="2" s="1"/>
  <c r="K53" i="2" s="1"/>
  <c r="C53" i="2"/>
  <c r="D49" i="2"/>
  <c r="E49" i="2"/>
  <c r="F49" i="2"/>
  <c r="C49" i="2"/>
  <c r="D51" i="2"/>
  <c r="E51" i="2"/>
  <c r="F51" i="2"/>
  <c r="C51" i="2"/>
  <c r="D47" i="2"/>
  <c r="E47" i="2"/>
  <c r="F47" i="2"/>
  <c r="C47" i="2"/>
  <c r="D36" i="2"/>
  <c r="E36" i="2"/>
  <c r="F36" i="2"/>
  <c r="C36" i="2"/>
  <c r="D41" i="2"/>
  <c r="E41" i="2"/>
  <c r="F41" i="2"/>
  <c r="C41" i="2"/>
  <c r="D38" i="2"/>
  <c r="E38" i="2"/>
  <c r="F38" i="2"/>
  <c r="C38" i="2"/>
  <c r="D39" i="2"/>
  <c r="D87" i="2" s="1"/>
  <c r="E39" i="2"/>
  <c r="E87" i="2" s="1"/>
  <c r="F39" i="2"/>
  <c r="F87" i="2" s="1"/>
  <c r="C39" i="2"/>
  <c r="C87" i="2" s="1"/>
  <c r="D29" i="2"/>
  <c r="E29" i="2"/>
  <c r="F29" i="2"/>
  <c r="C29" i="2"/>
  <c r="D21" i="2"/>
  <c r="E21" i="2"/>
  <c r="F21" i="2"/>
  <c r="C21" i="2"/>
  <c r="D9" i="2"/>
  <c r="D44" i="2" s="1"/>
  <c r="D85" i="2" s="1"/>
  <c r="E9" i="2"/>
  <c r="E44" i="2" s="1"/>
  <c r="E85" i="2" s="1"/>
  <c r="F9" i="2"/>
  <c r="F44" i="2" s="1"/>
  <c r="F85" i="2" s="1"/>
  <c r="C9" i="2"/>
  <c r="C44" i="2" s="1"/>
  <c r="C85" i="2" s="1"/>
  <c r="D16" i="2"/>
  <c r="E16" i="2"/>
  <c r="F16" i="2"/>
  <c r="C16" i="2"/>
  <c r="D14" i="2"/>
  <c r="E14" i="2"/>
  <c r="F14" i="2"/>
  <c r="C14" i="2"/>
  <c r="F11" i="2"/>
  <c r="G11" i="2" s="1"/>
  <c r="E11" i="2"/>
  <c r="D11" i="2"/>
  <c r="C11" i="2"/>
  <c r="C16" i="3"/>
  <c r="F17" i="3"/>
  <c r="F15" i="3"/>
  <c r="F6" i="3"/>
  <c r="F9" i="3" s="1"/>
  <c r="G111" i="2"/>
  <c r="G110" i="2"/>
  <c r="J108" i="2"/>
  <c r="G71" i="2"/>
  <c r="G48" i="2"/>
  <c r="H11" i="2" l="1"/>
  <c r="I11" i="2" s="1"/>
  <c r="G122" i="2"/>
  <c r="G100" i="2" s="1"/>
  <c r="F72" i="2"/>
  <c r="E72" i="2"/>
  <c r="D72" i="2"/>
  <c r="E31" i="2"/>
  <c r="C72" i="2"/>
  <c r="F66" i="2"/>
  <c r="D79" i="2"/>
  <c r="E79" i="2"/>
  <c r="C79" i="2"/>
  <c r="E54" i="2"/>
  <c r="D54" i="2"/>
  <c r="C50" i="2"/>
  <c r="F30" i="2"/>
  <c r="D60" i="2"/>
  <c r="C52" i="2"/>
  <c r="C60" i="2"/>
  <c r="D30" i="2"/>
  <c r="F23" i="2"/>
  <c r="F27" i="2" s="1"/>
  <c r="E23" i="2"/>
  <c r="E26" i="2" s="1"/>
  <c r="D23" i="2"/>
  <c r="D26" i="2" s="1"/>
  <c r="C54" i="2"/>
  <c r="F54" i="2"/>
  <c r="E30" i="2"/>
  <c r="E60" i="2"/>
  <c r="F60" i="2"/>
  <c r="C30" i="2"/>
  <c r="D20" i="2"/>
  <c r="E22" i="2"/>
  <c r="E17" i="2"/>
  <c r="D12" i="2"/>
  <c r="C15" i="2"/>
  <c r="D37" i="2"/>
  <c r="D50" i="2"/>
  <c r="F15" i="2"/>
  <c r="E20" i="2"/>
  <c r="F20" i="2"/>
  <c r="F37" i="2"/>
  <c r="D89" i="2"/>
  <c r="G9" i="2"/>
  <c r="C23" i="3" s="1"/>
  <c r="C22" i="2"/>
  <c r="D52" i="2"/>
  <c r="D69" i="2"/>
  <c r="F89" i="2"/>
  <c r="C123" i="2"/>
  <c r="F17" i="2"/>
  <c r="D22" i="2"/>
  <c r="E66" i="2"/>
  <c r="E69" i="2"/>
  <c r="D123" i="2"/>
  <c r="D17" i="2"/>
  <c r="F69" i="2"/>
  <c r="F22" i="2"/>
  <c r="C37" i="2"/>
  <c r="F123" i="2"/>
  <c r="E123" i="2"/>
  <c r="F113" i="2"/>
  <c r="H110" i="2"/>
  <c r="H71" i="2"/>
  <c r="F20" i="3"/>
  <c r="C3" i="3" s="1"/>
  <c r="D113" i="2"/>
  <c r="E113" i="2"/>
  <c r="H48" i="2"/>
  <c r="I48" i="2" s="1"/>
  <c r="J48" i="2" s="1"/>
  <c r="F12" i="2"/>
  <c r="E37" i="2"/>
  <c r="E50" i="2"/>
  <c r="E89" i="2"/>
  <c r="K108" i="2"/>
  <c r="D15" i="2"/>
  <c r="F50" i="2"/>
  <c r="G59" i="2"/>
  <c r="H59" i="2" s="1"/>
  <c r="I59" i="2" s="1"/>
  <c r="J59" i="2" s="1"/>
  <c r="K59" i="2" s="1"/>
  <c r="C66" i="2"/>
  <c r="E52" i="2"/>
  <c r="D66" i="2"/>
  <c r="F52" i="2"/>
  <c r="G77" i="2"/>
  <c r="H111" i="2"/>
  <c r="I111" i="2" s="1"/>
  <c r="E15" i="2"/>
  <c r="C17" i="2"/>
  <c r="C69" i="2"/>
  <c r="G108" i="2"/>
  <c r="G113" i="2" s="1"/>
  <c r="H108" i="2"/>
  <c r="I108" i="2"/>
  <c r="E12" i="2"/>
  <c r="C81" i="2" l="1"/>
  <c r="G105" i="2"/>
  <c r="E62" i="2"/>
  <c r="D62" i="2"/>
  <c r="F62" i="2"/>
  <c r="D27" i="2"/>
  <c r="D32" i="2" s="1"/>
  <c r="D33" i="2" s="1"/>
  <c r="C62" i="2"/>
  <c r="H22" i="2"/>
  <c r="H21" i="2" s="1"/>
  <c r="E27" i="2"/>
  <c r="E32" i="2" s="1"/>
  <c r="E33" i="2" s="1"/>
  <c r="F26" i="2"/>
  <c r="D81" i="2"/>
  <c r="G30" i="2"/>
  <c r="G29" i="2" s="1"/>
  <c r="G66" i="2"/>
  <c r="H66" i="2" s="1"/>
  <c r="H50" i="2"/>
  <c r="H49" i="2" s="1"/>
  <c r="K48" i="2"/>
  <c r="J15" i="2"/>
  <c r="G50" i="2"/>
  <c r="G49" i="2" s="1"/>
  <c r="G93" i="2" s="1"/>
  <c r="H93" i="2" s="1"/>
  <c r="I93" i="2" s="1"/>
  <c r="J93" i="2" s="1"/>
  <c r="K93" i="2" s="1"/>
  <c r="K30" i="2"/>
  <c r="H30" i="2"/>
  <c r="I30" i="2"/>
  <c r="J30" i="2"/>
  <c r="F81" i="2"/>
  <c r="E81" i="2"/>
  <c r="H123" i="2"/>
  <c r="H122" i="2" s="1"/>
  <c r="I123" i="2"/>
  <c r="I122" i="2" s="1"/>
  <c r="I100" i="2" s="1"/>
  <c r="I105" i="2" s="1"/>
  <c r="K15" i="2"/>
  <c r="J22" i="2"/>
  <c r="I22" i="2"/>
  <c r="I21" i="2" s="1"/>
  <c r="I15" i="2"/>
  <c r="I14" i="2" s="1"/>
  <c r="G22" i="2"/>
  <c r="G21" i="2" s="1"/>
  <c r="I50" i="2"/>
  <c r="I49" i="2" s="1"/>
  <c r="K22" i="2"/>
  <c r="H15" i="2"/>
  <c r="H14" i="2" s="1"/>
  <c r="H16" i="2" s="1"/>
  <c r="J123" i="2"/>
  <c r="K123" i="2"/>
  <c r="G44" i="2"/>
  <c r="G85" i="2" s="1"/>
  <c r="H9" i="2"/>
  <c r="J71" i="2"/>
  <c r="K69" i="2"/>
  <c r="J69" i="2"/>
  <c r="I69" i="2"/>
  <c r="I68" i="2" s="1"/>
  <c r="H69" i="2"/>
  <c r="H68" i="2" s="1"/>
  <c r="G69" i="2"/>
  <c r="G68" i="2" s="1"/>
  <c r="I71" i="2"/>
  <c r="G15" i="2"/>
  <c r="G14" i="2" s="1"/>
  <c r="H113" i="2"/>
  <c r="J50" i="2"/>
  <c r="J11" i="2"/>
  <c r="F32" i="2"/>
  <c r="F33" i="2" s="1"/>
  <c r="F28" i="2"/>
  <c r="I110" i="2"/>
  <c r="I113" i="2" s="1"/>
  <c r="K50" i="2"/>
  <c r="H77" i="2"/>
  <c r="J52" i="2"/>
  <c r="I52" i="2"/>
  <c r="I51" i="2" s="1"/>
  <c r="H52" i="2"/>
  <c r="H51" i="2" s="1"/>
  <c r="G52" i="2"/>
  <c r="G51" i="2" s="1"/>
  <c r="K52" i="2"/>
  <c r="J111" i="2"/>
  <c r="K111" i="2" s="1"/>
  <c r="H100" i="2" l="1"/>
  <c r="H105" i="2" s="1"/>
  <c r="K71" i="2"/>
  <c r="E28" i="2"/>
  <c r="D28" i="2"/>
  <c r="H65" i="2"/>
  <c r="H72" i="2" s="1"/>
  <c r="H44" i="2"/>
  <c r="H85" i="2" s="1"/>
  <c r="I9" i="2"/>
  <c r="D23" i="3"/>
  <c r="I77" i="2"/>
  <c r="H29" i="2"/>
  <c r="K11" i="2"/>
  <c r="J51" i="2"/>
  <c r="J49" i="2"/>
  <c r="J122" i="2"/>
  <c r="J100" i="2" s="1"/>
  <c r="J105" i="2" s="1"/>
  <c r="J68" i="2"/>
  <c r="J21" i="2"/>
  <c r="J14" i="2"/>
  <c r="H94" i="2"/>
  <c r="G94" i="2"/>
  <c r="I94" i="2"/>
  <c r="I66" i="2"/>
  <c r="J66" i="2"/>
  <c r="J110" i="2"/>
  <c r="J113" i="2" s="1"/>
  <c r="I16" i="2"/>
  <c r="G65" i="2"/>
  <c r="G72" i="2" s="1"/>
  <c r="G16" i="2"/>
  <c r="K110" i="2" l="1"/>
  <c r="K113" i="2" s="1"/>
  <c r="H81" i="2"/>
  <c r="K66" i="2"/>
  <c r="E23" i="3"/>
  <c r="I44" i="2"/>
  <c r="I85" i="2" s="1"/>
  <c r="J9" i="2"/>
  <c r="K51" i="2"/>
  <c r="K94" i="2" s="1"/>
  <c r="K49" i="2"/>
  <c r="K122" i="2"/>
  <c r="K100" i="2" s="1"/>
  <c r="K105" i="2" s="1"/>
  <c r="K21" i="2"/>
  <c r="K68" i="2"/>
  <c r="K14" i="2"/>
  <c r="K16" i="2" s="1"/>
  <c r="I65" i="2"/>
  <c r="I72" i="2" s="1"/>
  <c r="G81" i="2"/>
  <c r="H95" i="2"/>
  <c r="G95" i="2"/>
  <c r="J65" i="2"/>
  <c r="J72" i="2" s="1"/>
  <c r="J94" i="2"/>
  <c r="J16" i="2"/>
  <c r="J77" i="2"/>
  <c r="I29" i="2"/>
  <c r="K9" i="2" l="1"/>
  <c r="F23" i="3"/>
  <c r="J44" i="2"/>
  <c r="J85" i="2" s="1"/>
  <c r="K65" i="2"/>
  <c r="K72" i="2" s="1"/>
  <c r="I81" i="2"/>
  <c r="J95" i="2"/>
  <c r="I95" i="2"/>
  <c r="K77" i="2"/>
  <c r="J29" i="2"/>
  <c r="J81" i="2" l="1"/>
  <c r="K95" i="2"/>
  <c r="K44" i="2"/>
  <c r="K85" i="2" s="1"/>
  <c r="G23" i="3"/>
  <c r="K29" i="2"/>
  <c r="K81" i="2"/>
  <c r="C89" i="2" l="1"/>
  <c r="I89" i="2" s="1"/>
  <c r="I88" i="2" s="1"/>
  <c r="C19" i="2"/>
  <c r="C23" i="2" s="1"/>
  <c r="G31" i="2"/>
  <c r="G89" i="2" l="1"/>
  <c r="G88" i="2" s="1"/>
  <c r="G56" i="2" s="1"/>
  <c r="G60" i="2" s="1"/>
  <c r="C26" i="2"/>
  <c r="C27" i="2"/>
  <c r="J31" i="2"/>
  <c r="H89" i="2"/>
  <c r="H88" i="2" s="1"/>
  <c r="K89" i="2"/>
  <c r="K88" i="2" s="1"/>
  <c r="H31" i="2"/>
  <c r="I31" i="2"/>
  <c r="C20" i="2"/>
  <c r="K31" i="2"/>
  <c r="J89" i="2"/>
  <c r="J88" i="2" s="1"/>
  <c r="H56" i="2" l="1"/>
  <c r="H60" i="2" s="1"/>
  <c r="I56" i="2"/>
  <c r="K20" i="2"/>
  <c r="K19" i="2" s="1"/>
  <c r="K23" i="2" s="1"/>
  <c r="J20" i="2"/>
  <c r="J19" i="2" s="1"/>
  <c r="J23" i="2" s="1"/>
  <c r="G20" i="2"/>
  <c r="G19" i="2" s="1"/>
  <c r="G23" i="2" s="1"/>
  <c r="H20" i="2"/>
  <c r="H19" i="2" s="1"/>
  <c r="H23" i="2" s="1"/>
  <c r="I20" i="2"/>
  <c r="I19" i="2" s="1"/>
  <c r="I23" i="2" s="1"/>
  <c r="C32" i="2"/>
  <c r="C33" i="2" s="1"/>
  <c r="C28" i="2"/>
  <c r="H27" i="2" l="1"/>
  <c r="H26" i="2"/>
  <c r="I27" i="2"/>
  <c r="I26" i="2"/>
  <c r="G27" i="2"/>
  <c r="G26" i="2"/>
  <c r="J26" i="2"/>
  <c r="J27" i="2"/>
  <c r="K26" i="2"/>
  <c r="K27" i="2"/>
  <c r="I60" i="2"/>
  <c r="J56" i="2"/>
  <c r="J28" i="2" l="1"/>
  <c r="J32" i="2"/>
  <c r="F25" i="3" s="1"/>
  <c r="G32" i="2"/>
  <c r="C25" i="3" s="1"/>
  <c r="G28" i="2"/>
  <c r="K56" i="2"/>
  <c r="K60" i="2" s="1"/>
  <c r="J60" i="2"/>
  <c r="I32" i="2"/>
  <c r="E25" i="3" s="1"/>
  <c r="I28" i="2"/>
  <c r="K32" i="2"/>
  <c r="G25" i="3" s="1"/>
  <c r="K28" i="2"/>
  <c r="H28" i="2"/>
  <c r="H32" i="2"/>
  <c r="D25" i="3" s="1"/>
  <c r="H36" i="2" l="1"/>
  <c r="H33" i="2"/>
  <c r="I33" i="2"/>
  <c r="I36" i="2"/>
  <c r="K36" i="2"/>
  <c r="K33" i="2"/>
  <c r="G36" i="2"/>
  <c r="G33" i="2"/>
  <c r="J36" i="2"/>
  <c r="J33" i="2"/>
  <c r="G38" i="2" l="1"/>
  <c r="G39" i="2" s="1"/>
  <c r="G37" i="2"/>
  <c r="K37" i="2"/>
  <c r="K38" i="2"/>
  <c r="K39" i="2" s="1"/>
  <c r="I37" i="2"/>
  <c r="I38" i="2"/>
  <c r="I39" i="2" s="1"/>
  <c r="J37" i="2"/>
  <c r="J38" i="2"/>
  <c r="J39" i="2" s="1"/>
  <c r="H38" i="2"/>
  <c r="H39" i="2" s="1"/>
  <c r="H37" i="2"/>
  <c r="K87" i="2" l="1"/>
  <c r="K98" i="2" s="1"/>
  <c r="K41" i="2"/>
  <c r="H41" i="2"/>
  <c r="H87" i="2"/>
  <c r="H98" i="2" s="1"/>
  <c r="I87" i="2"/>
  <c r="I98" i="2" s="1"/>
  <c r="I41" i="2"/>
  <c r="J87" i="2"/>
  <c r="J98" i="2" s="1"/>
  <c r="J41" i="2"/>
  <c r="G87" i="2"/>
  <c r="G98" i="2" s="1"/>
  <c r="G41" i="2"/>
  <c r="G117" i="2" l="1"/>
  <c r="G118" i="2" s="1"/>
  <c r="G47" i="2" s="1"/>
  <c r="G54" i="2" s="1"/>
  <c r="G92" i="2" s="1"/>
  <c r="G121" i="2"/>
  <c r="G124" i="2" s="1"/>
  <c r="C27" i="3" s="1"/>
  <c r="C28" i="3" s="1"/>
  <c r="H119" i="2"/>
  <c r="G62" i="2" l="1"/>
  <c r="K121" i="2"/>
  <c r="K124" i="2" s="1"/>
  <c r="K117" i="2"/>
  <c r="I121" i="2"/>
  <c r="I124" i="2" s="1"/>
  <c r="H121" i="2"/>
  <c r="H124" i="2" s="1"/>
  <c r="J117" i="2"/>
  <c r="H117" i="2"/>
  <c r="H47" i="2" s="1"/>
  <c r="H54" i="2" s="1"/>
  <c r="I117" i="2"/>
  <c r="J121" i="2"/>
  <c r="J124" i="2" s="1"/>
  <c r="H118" i="2" l="1"/>
  <c r="I119" i="2" s="1"/>
  <c r="I118" i="2" s="1"/>
  <c r="I47" i="2" s="1"/>
  <c r="I54" i="2" s="1"/>
  <c r="I92" i="2" s="1"/>
  <c r="E27" i="3" s="1"/>
  <c r="E28" i="3" s="1"/>
  <c r="H62" i="2"/>
  <c r="H92" i="2"/>
  <c r="D27" i="3" s="1"/>
  <c r="D28" i="3" s="1"/>
  <c r="J119" i="2" l="1"/>
  <c r="J118" i="2" s="1"/>
  <c r="J47" i="2" s="1"/>
  <c r="J54" i="2" s="1"/>
  <c r="I62" i="2"/>
  <c r="K119" i="2" l="1"/>
  <c r="K118" i="2" s="1"/>
  <c r="K47" i="2" s="1"/>
  <c r="K54" i="2" s="1"/>
  <c r="K62" i="2" s="1"/>
  <c r="J62" i="2"/>
  <c r="J92" i="2"/>
  <c r="F27" i="3" s="1"/>
  <c r="F28" i="3" s="1"/>
  <c r="K92" i="2" l="1"/>
  <c r="G27" i="3" s="1"/>
  <c r="C6" i="3" s="1"/>
  <c r="C8" i="3" s="1"/>
  <c r="G28" i="3" l="1"/>
  <c r="C9" i="3" s="1"/>
  <c r="C10" i="3" s="1"/>
  <c r="C13" i="3" s="1"/>
  <c r="C15" i="3" s="1"/>
  <c r="C18" i="3" s="1"/>
  <c r="B18" i="3" s="1"/>
  <c r="C19" i="3" l="1"/>
  <c r="B19" i="3" s="1"/>
</calcChain>
</file>

<file path=xl/sharedStrings.xml><?xml version="1.0" encoding="utf-8"?>
<sst xmlns="http://schemas.openxmlformats.org/spreadsheetml/2006/main" count="314" uniqueCount="281">
  <si>
    <t>Ticker</t>
  </si>
  <si>
    <t>Currency</t>
  </si>
  <si>
    <t>USD</t>
  </si>
  <si>
    <t>Current Year</t>
  </si>
  <si>
    <t>Price</t>
  </si>
  <si>
    <t>Shares Outstanding</t>
  </si>
  <si>
    <t>Estimated Tax Rate</t>
  </si>
  <si>
    <t xml:space="preserve">Income Statement </t>
  </si>
  <si>
    <t>Comments</t>
  </si>
  <si>
    <t>Total net sales</t>
  </si>
  <si>
    <t>net sales growth</t>
  </si>
  <si>
    <t>Total cost of sales</t>
  </si>
  <si>
    <t>COGS% of Revenue</t>
  </si>
  <si>
    <t>average</t>
  </si>
  <si>
    <t>Gross margin</t>
  </si>
  <si>
    <t>Gross Profit Ratio</t>
  </si>
  <si>
    <t>Selling, general and administrative</t>
  </si>
  <si>
    <t xml:space="preserve">Sales and Administration to revenue </t>
  </si>
  <si>
    <t>Total operating expenses</t>
  </si>
  <si>
    <t>Costs and Expenses</t>
  </si>
  <si>
    <t>EBIT</t>
  </si>
  <si>
    <t>interest expense</t>
  </si>
  <si>
    <t>Interest Expenses as % of LT Debt</t>
  </si>
  <si>
    <t>Depreciation And Amortization</t>
  </si>
  <si>
    <t>avergae previous 4 years</t>
  </si>
  <si>
    <t xml:space="preserve">EBITDA </t>
  </si>
  <si>
    <t>EBITDA Ratio</t>
  </si>
  <si>
    <t>Other income/(expense), net</t>
  </si>
  <si>
    <t>Income before provision for income taxes</t>
  </si>
  <si>
    <t>income before tax rato</t>
  </si>
  <si>
    <t>Provision for income taxes</t>
  </si>
  <si>
    <t>Net income</t>
  </si>
  <si>
    <t>EPS</t>
  </si>
  <si>
    <t>Balance Sheet</t>
  </si>
  <si>
    <t>Assets</t>
  </si>
  <si>
    <t>Cash And Cash Equivalents</t>
  </si>
  <si>
    <t>Short Term Investments</t>
  </si>
  <si>
    <t>Net Receivables</t>
  </si>
  <si>
    <t>Net Receivable(% of Revenue)</t>
  </si>
  <si>
    <t>Inventory</t>
  </si>
  <si>
    <t>Inventory(% of Revenue)</t>
  </si>
  <si>
    <t>Other Current Assets</t>
  </si>
  <si>
    <t>Total Current Assets</t>
  </si>
  <si>
    <t>Property Plant Equipment Net</t>
  </si>
  <si>
    <t>Long Term Investments</t>
  </si>
  <si>
    <t>Other Non Current Assets</t>
  </si>
  <si>
    <t>Total Non Current Assets</t>
  </si>
  <si>
    <t>Total Assets</t>
  </si>
  <si>
    <t>Liabilities</t>
  </si>
  <si>
    <t>Account Payables</t>
  </si>
  <si>
    <t>AP (% of COGS)</t>
  </si>
  <si>
    <t>Short Term Debt</t>
  </si>
  <si>
    <t>Deferred Revenue</t>
  </si>
  <si>
    <t>Deferred Revenue (% of Revenue)</t>
  </si>
  <si>
    <t>Other Current Liabilities</t>
  </si>
  <si>
    <t>Total Current Liabilities</t>
  </si>
  <si>
    <t>Long Term Debt</t>
  </si>
  <si>
    <t>Other Non Current Liabilities</t>
  </si>
  <si>
    <t>Total Non Current Liabilities</t>
  </si>
  <si>
    <t>Total Liabilities</t>
  </si>
  <si>
    <t>Cash Flows</t>
  </si>
  <si>
    <t>Net Income</t>
  </si>
  <si>
    <t>D&amp;A (% of Revenue)</t>
  </si>
  <si>
    <t>Average Historicals</t>
  </si>
  <si>
    <t>Deferred Income Tax</t>
  </si>
  <si>
    <t>Stock Based Compensation</t>
  </si>
  <si>
    <t>Change In Working Capital</t>
  </si>
  <si>
    <t>Other Working Capital</t>
  </si>
  <si>
    <t>Other Non Cash Items</t>
  </si>
  <si>
    <t>Net Cash Provided By Operating Activities</t>
  </si>
  <si>
    <t>Investments In Property Plant And Equipment</t>
  </si>
  <si>
    <t>Acquisitions Net</t>
  </si>
  <si>
    <t>Purchases Of Investments</t>
  </si>
  <si>
    <t>Net Cash Used For Investing Activites</t>
  </si>
  <si>
    <t>Common Stock Repurchased</t>
  </si>
  <si>
    <t>Dividends Paid</t>
  </si>
  <si>
    <t>Other Financing Activites</t>
  </si>
  <si>
    <t>Net Cash Used Provided By Financing Activities</t>
  </si>
  <si>
    <t>Effect Of Forex Changes On Cash</t>
  </si>
  <si>
    <t>Net Change In Cash</t>
  </si>
  <si>
    <t>Cash At End Of Period</t>
  </si>
  <si>
    <t>Cash At Beginning Of Period</t>
  </si>
  <si>
    <t>Operating Cash Flow</t>
  </si>
  <si>
    <t>Capital Expenditure</t>
  </si>
  <si>
    <t>CapEx (% of Revenue)</t>
  </si>
  <si>
    <t>Free Cash Flow</t>
  </si>
  <si>
    <t>DFC Assumptions</t>
  </si>
  <si>
    <t>WACC Calculations</t>
  </si>
  <si>
    <t>Discount Rate</t>
  </si>
  <si>
    <t>US 10y</t>
  </si>
  <si>
    <t>US 5Y</t>
  </si>
  <si>
    <t>Terminal Growth Rate</t>
  </si>
  <si>
    <t>Terminal Value</t>
  </si>
  <si>
    <t>Risk Free Rate</t>
  </si>
  <si>
    <t>Beta</t>
  </si>
  <si>
    <t>PV of Terminal Value</t>
  </si>
  <si>
    <t>Market Risk Premium</t>
  </si>
  <si>
    <t>Sum of PV of Cash Flows</t>
  </si>
  <si>
    <t xml:space="preserve">Cost of Equity </t>
  </si>
  <si>
    <t>Enterprise Value</t>
  </si>
  <si>
    <t>Tax Rate</t>
  </si>
  <si>
    <t>Balance sheet adjustments</t>
  </si>
  <si>
    <t>Market Cap</t>
  </si>
  <si>
    <t>implied equity value</t>
  </si>
  <si>
    <t xml:space="preserve">cash and Cash equivelants </t>
  </si>
  <si>
    <t>total Debt</t>
  </si>
  <si>
    <t>implied price per share</t>
  </si>
  <si>
    <t>Value of Equity</t>
  </si>
  <si>
    <t>current price</t>
  </si>
  <si>
    <t>Value of Debt</t>
  </si>
  <si>
    <t>Cost of Debt</t>
  </si>
  <si>
    <t>WACC</t>
  </si>
  <si>
    <t>Cash Flow Projections</t>
  </si>
  <si>
    <t>EBITDA</t>
  </si>
  <si>
    <t>Present Value of Free Cash Flow</t>
  </si>
  <si>
    <t>Operating income</t>
  </si>
  <si>
    <t>Operating Revenue</t>
  </si>
  <si>
    <t>Total Revenue</t>
  </si>
  <si>
    <t>Cost Of Revenue</t>
  </si>
  <si>
    <t>Gross Profit</t>
  </si>
  <si>
    <t>Selling General And Administration</t>
  </si>
  <si>
    <t>Operating Expense</t>
  </si>
  <si>
    <t>Operating Income</t>
  </si>
  <si>
    <t>Interest Income Non Operating</t>
  </si>
  <si>
    <t>Interest Expense Non Operating</t>
  </si>
  <si>
    <t>Net Non Operating Interest Income Expense</t>
  </si>
  <si>
    <t>Other Non Operating Income Expenses</t>
  </si>
  <si>
    <t>Other Income Expense</t>
  </si>
  <si>
    <t>Pretax Income</t>
  </si>
  <si>
    <t>Tax Provision</t>
  </si>
  <si>
    <t>Net Income Continuous Operations</t>
  </si>
  <si>
    <t>Net Income Including Noncontrolling Interests</t>
  </si>
  <si>
    <t>Net Income Common Stockholders</t>
  </si>
  <si>
    <t>Diluted NI Availto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</si>
  <si>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</si>
  <si>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</si>
  <si>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</si>
  <si>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</si>
  <si>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</si>
  <si>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</si>
  <si>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And Discontinued Operation</t>
  </si>
  <si>
    <t>Normalized Income</t>
  </si>
  <si>
    <t>Interest Income</t>
  </si>
  <si>
    <t>Interest Expense</t>
  </si>
  <si>
    <t>Net Interest Income</t>
  </si>
  <si>
    <t>Reconciled Cost Of Revenue</t>
  </si>
  <si>
    <t>Reconciled Depreciation</t>
  </si>
  <si>
    <t>Net Income From Continuing Operation Net Minority Interest</t>
  </si>
  <si>
    <t>Normalized EBITDA</t>
  </si>
  <si>
    <t>Tax Rate For Calcs</t>
  </si>
  <si>
    <t>Tax Effect Of Unusual Items</t>
  </si>
  <si>
    <t>Cash Cash Equivalents And Short Term Investments</t>
  </si>
  <si>
    <t>Accounts Receivable</t>
  </si>
  <si>
    <t>Receivables</t>
  </si>
  <si>
    <t>Current Assets</t>
  </si>
  <si>
    <t>Properties</t>
  </si>
  <si>
    <t>Land And Improvements</t>
  </si>
  <si>
    <t>Machinery Furniture Equipment</t>
  </si>
  <si>
    <t>Other Properties</t>
  </si>
  <si>
    <t>Gross PPE</t>
  </si>
  <si>
    <t>Accumulated Depreciation</t>
  </si>
  <si>
    <t>Net PPE</t>
  </si>
  <si>
    <t>Investments And Advances</t>
  </si>
  <si>
    <t>Accounts Payable</t>
  </si>
  <si>
    <t>Income Tax Payable</t>
  </si>
  <si>
    <t>Total Tax Payable</t>
  </si>
  <si>
    <t>Payables</t>
  </si>
  <si>
    <t>Payables And Accrued Expenses</t>
  </si>
  <si>
    <t>Other Current Borrowings</t>
  </si>
  <si>
    <t>Current Debt</t>
  </si>
  <si>
    <t>Current Capital Lease Obligation</t>
  </si>
  <si>
    <t>Current Debt And Capital Lease Obligation</t>
  </si>
  <si>
    <t>Current Liabilities</t>
  </si>
  <si>
    <t>Long Term Capital Lease Obligation</t>
  </si>
  <si>
    <t>Long Term Debt And Capital Lease Obligation</t>
  </si>
  <si>
    <t>Tradeand Other Payables Non Current</t>
  </si>
  <si>
    <t>Total Non Current Liabilities Net Minority Interest</t>
  </si>
  <si>
    <t>Total Liabilities Net Minority Interest</t>
  </si>
  <si>
    <t>Common Stock</t>
  </si>
  <si>
    <t>Capital Stock</t>
  </si>
  <si>
    <t>Retained Earnings</t>
  </si>
  <si>
    <t>Other Equity Adjustments</t>
  </si>
  <si>
    <t>Gains Losses Not Affecting Retained Earnings</t>
  </si>
  <si>
    <t>Stockholders Equity</t>
  </si>
  <si>
    <t>Total Equity Gross 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</si>
  <si>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</si>
  <si>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</si>
  <si>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</si>
  <si>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</si>
  <si>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</si>
  <si>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</si>
  <si>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</si>
  <si>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</si>
  <si>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</si>
  <si>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</si>
  <si>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</si>
  <si>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</si>
  <si>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Net Income From Continuing Operations</t>
  </si>
  <si>
    <t>Depreciation Amortization Depletion</t>
  </si>
  <si>
    <t>Deferred Tax</t>
  </si>
  <si>
    <t>Changes In Account Receivables</t>
  </si>
  <si>
    <t>Change In Receivables</t>
  </si>
  <si>
    <t>Change In Inventory</t>
  </si>
  <si>
    <t>Change In Account Payable</t>
  </si>
  <si>
    <t>Change In Payable</t>
  </si>
  <si>
    <t>Change In Payables And Accrued Expense</t>
  </si>
  <si>
    <t>Change In Other Working Capital</t>
  </si>
  <si>
    <t>Cash Flow From Continuing Operating Activities</t>
  </si>
  <si>
    <t>Net PPE Purchase And Sale</t>
  </si>
  <si>
    <t>Purchase Of Business</t>
  </si>
  <si>
    <t>Net Business Purchase And Sale</t>
  </si>
  <si>
    <t>Net Other Investing Changes</t>
  </si>
  <si>
    <t>Cash Flow From Continuing Investing Activities</t>
  </si>
  <si>
    <t>Investing Cash Flow</t>
  </si>
  <si>
    <t>Long Term Debt Issuance</t>
  </si>
  <si>
    <t>Long Term Debt Payments</t>
  </si>
  <si>
    <t>Net Long Term Debt Issuance</t>
  </si>
  <si>
    <t>Net Short Term Debt Issuance</t>
  </si>
  <si>
    <t>Net Issuance Payments Of Debt</t>
  </si>
  <si>
    <t>Common Stock Payments</t>
  </si>
  <si>
    <t>Net Common Stock Issuance</t>
  </si>
  <si>
    <t>Common Stock Dividend Paid</t>
  </si>
  <si>
    <t>Cash Dividends Paid</t>
  </si>
  <si>
    <t>Net Other Financing Charges</t>
  </si>
  <si>
    <t>Cash Flow From Continuing Financing Activities</t>
  </si>
  <si>
    <t>Financing Cash Flow</t>
  </si>
  <si>
    <t>Changes In Cash</t>
  </si>
  <si>
    <t>Beginning Cash Position</t>
  </si>
  <si>
    <t>End Cash Position</t>
  </si>
  <si>
    <t>Income Tax Paid Supplemental Data</t>
  </si>
  <si>
    <t>Interest Paid Supplemental Data</t>
  </si>
  <si>
    <t>Issuance Of Debt</t>
  </si>
  <si>
    <t>Repayment Of Debt</t>
  </si>
  <si>
    <t>Repurchase Of Capital Stock</t>
  </si>
  <si>
    <t>Prepaid Assets</t>
  </si>
  <si>
    <t>Buildings And Improvements</t>
  </si>
  <si>
    <t>Goodwill</t>
  </si>
  <si>
    <t>Goodwill And Other Intangible Assets</t>
  </si>
  <si>
    <t>Investmentsin Associatesat Cost</t>
  </si>
  <si>
    <t>Long Term Equity Investment</t>
  </si>
  <si>
    <t>Interest Payable</t>
  </si>
  <si>
    <t>Current Accrued Expenses</t>
  </si>
  <si>
    <t>Non Current Deferred Taxes Liabilities</t>
  </si>
  <si>
    <t>Non Current Deferred Revenue</t>
  </si>
  <si>
    <t>Non Current Deferred Liabilities</t>
  </si>
  <si>
    <t>Preferred Stock</t>
  </si>
  <si>
    <t>Additional Paid In Capital</t>
  </si>
  <si>
    <t>Treasury Stock</t>
  </si>
  <si>
    <t>Depreciation And Amortization In Income Statement</t>
  </si>
  <si>
    <t>Depreciation Amortization Depletion Income Statement</t>
  </si>
  <si>
    <t>Gain On Sale Of Security</t>
  </si>
  <si>
    <t>Earnings From Equity Interest</t>
  </si>
  <si>
    <t>Impairment Of Capital Assets</t>
  </si>
  <si>
    <t>Write Off</t>
  </si>
  <si>
    <t>Gain On Sale Of Business</t>
  </si>
  <si>
    <t>Gain On Sale Of Ppe</t>
  </si>
  <si>
    <t>Special Income Charges</t>
  </si>
  <si>
    <t>Rent Expense Supplemental</t>
  </si>
  <si>
    <t>Total Unusual Items Excluding Goodwill</t>
  </si>
  <si>
    <t>Total Unusual Items</t>
  </si>
  <si>
    <t>Gain Loss On Sale Of Business</t>
  </si>
  <si>
    <t>Operating Gains Losses</t>
  </si>
  <si>
    <t>Change In Income Tax Payable</t>
  </si>
  <si>
    <t>Change In Tax Payable</t>
  </si>
  <si>
    <t>Change In Accrued Expense</t>
  </si>
  <si>
    <t>Capital Expenditure Reported</t>
  </si>
  <si>
    <t>Sale Of PPE</t>
  </si>
  <si>
    <t>Sale Of Business</t>
  </si>
  <si>
    <t>Proceeds From Stock Option Exercised</t>
  </si>
  <si>
    <t>Effect Of Exchange Rate Changes</t>
  </si>
  <si>
    <t>Other Cash Adjustment Outside Changein Cash</t>
  </si>
  <si>
    <t>Depreciation And Amortization to revenue</t>
  </si>
  <si>
    <t>Operating income Ratio</t>
  </si>
  <si>
    <t>Current capital Lease Obligations</t>
  </si>
  <si>
    <t>Changes In Inventory</t>
  </si>
  <si>
    <t>Changes In Accounts Receivables</t>
  </si>
  <si>
    <t>Changes In Accounts Payables</t>
  </si>
  <si>
    <t>Net Debt Payments</t>
  </si>
  <si>
    <t>Repurchase of Capital stock</t>
  </si>
  <si>
    <t>aligned some what with the USA inflation</t>
  </si>
  <si>
    <t>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</si>
</sst>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4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/>
    <xf numFmtId="44" fontId="2" fillId="0" borderId="0"/>
    <xf numFmtId="9" fontId="2" fillId="0" borderId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44" fontId="0" fillId="0" borderId="0" xfId="0" applyNumberFormat="1"/>
    <xf numFmtId="43" fontId="2" fillId="0" borderId="0" xfId="1"/>
    <xf numFmtId="9" fontId="2" fillId="0" borderId="0" xfId="3"/>
    <xf numFmtId="44" fontId="0" fillId="0" borderId="0" xfId="2" applyFont="1"/>
    <xf numFmtId="9" fontId="0" fillId="0" borderId="0" xfId="3" applyFont="1"/>
    <xf numFmtId="0" fontId="0" fillId="0" borderId="10" xfId="0" applyBorder="1"/>
    <xf numFmtId="0" fontId="6" fillId="0" borderId="8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8" xfId="0" applyBorder="1" applyAlignment="1">
      <alignment horizontal="left" indent="3"/>
    </xf>
    <xf numFmtId="0" fontId="3" fillId="0" borderId="8" xfId="0" applyFont="1" applyBorder="1"/>
    <xf numFmtId="9" fontId="2" fillId="0" borderId="1" xfId="3" applyBorder="1"/>
    <xf numFmtId="44" fontId="0" fillId="0" borderId="7" xfId="2" applyFont="1" applyBorder="1"/>
    <xf numFmtId="44" fontId="0" fillId="0" borderId="6" xfId="2" applyFont="1" applyBorder="1"/>
    <xf numFmtId="0" fontId="3" fillId="0" borderId="10" xfId="0" applyFont="1" applyBorder="1"/>
    <xf numFmtId="44" fontId="0" fillId="0" borderId="8" xfId="2" applyFont="1" applyBorder="1"/>
    <xf numFmtId="9" fontId="0" fillId="0" borderId="8" xfId="3" applyFont="1" applyBorder="1"/>
    <xf numFmtId="0" fontId="0" fillId="0" borderId="8" xfId="0" applyBorder="1"/>
    <xf numFmtId="9" fontId="2" fillId="0" borderId="8" xfId="3" applyBorder="1"/>
    <xf numFmtId="44" fontId="0" fillId="0" borderId="14" xfId="2" applyFont="1" applyBorder="1"/>
    <xf numFmtId="14" fontId="0" fillId="0" borderId="12" xfId="0" applyNumberFormat="1" applyBorder="1" applyAlignment="1">
      <alignment horizontal="right"/>
    </xf>
    <xf numFmtId="0" fontId="0" fillId="0" borderId="11" xfId="0" applyBorder="1"/>
    <xf numFmtId="9" fontId="0" fillId="2" borderId="0" xfId="0" applyNumberFormat="1" applyFill="1"/>
    <xf numFmtId="8" fontId="0" fillId="0" borderId="10" xfId="0" applyNumberFormat="1" applyBorder="1" applyAlignment="1">
      <alignment horizontal="right"/>
    </xf>
    <xf numFmtId="0" fontId="0" fillId="0" borderId="15" xfId="0" applyBorder="1"/>
    <xf numFmtId="44" fontId="0" fillId="0" borderId="8" xfId="0" applyNumberFormat="1" applyBorder="1"/>
    <xf numFmtId="44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9" fontId="0" fillId="2" borderId="8" xfId="0" applyNumberFormat="1" applyFill="1" applyBorder="1"/>
    <xf numFmtId="0" fontId="0" fillId="0" borderId="9" xfId="0" applyBorder="1"/>
    <xf numFmtId="0" fontId="8" fillId="3" borderId="7" xfId="0" applyFont="1" applyFill="1" applyBorder="1"/>
    <xf numFmtId="0" fontId="8" fillId="3" borderId="6" xfId="0" applyFont="1" applyFill="1" applyBorder="1"/>
    <xf numFmtId="0" fontId="8" fillId="3" borderId="12" xfId="0" applyFont="1" applyFill="1" applyBorder="1" applyAlignment="1">
      <alignment vertical="top"/>
    </xf>
    <xf numFmtId="0" fontId="3" fillId="0" borderId="11" xfId="0" applyFont="1" applyBorder="1"/>
    <xf numFmtId="0" fontId="8" fillId="3" borderId="4" xfId="0" applyFont="1" applyFill="1" applyBorder="1" applyAlignment="1">
      <alignment horizontal="left" vertical="top"/>
    </xf>
    <xf numFmtId="0" fontId="8" fillId="3" borderId="13" xfId="0" applyFont="1" applyFill="1" applyBorder="1"/>
    <xf numFmtId="0" fontId="8" fillId="3" borderId="13" xfId="0" applyFont="1" applyFill="1" applyBorder="1" applyAlignment="1">
      <alignment horizontal="left" vertical="top"/>
    </xf>
    <xf numFmtId="0" fontId="0" fillId="0" borderId="14" xfId="0" applyBorder="1"/>
    <xf numFmtId="0" fontId="0" fillId="4" borderId="8" xfId="0" applyFill="1" applyBorder="1"/>
    <xf numFmtId="39" fontId="0" fillId="4" borderId="8" xfId="0" applyNumberFormat="1" applyFill="1" applyBorder="1"/>
    <xf numFmtId="0" fontId="0" fillId="4" borderId="8" xfId="0" applyFill="1" applyBorder="1" applyAlignment="1">
      <alignment horizontal="left" indent="1"/>
    </xf>
    <xf numFmtId="39" fontId="7" fillId="4" borderId="8" xfId="0" applyNumberFormat="1" applyFont="1" applyFill="1" applyBorder="1"/>
    <xf numFmtId="0" fontId="10" fillId="4" borderId="8" xfId="0" applyFont="1" applyFill="1" applyBorder="1" applyAlignment="1">
      <alignment horizontal="left" indent="1"/>
    </xf>
    <xf numFmtId="42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5" fontId="2" fillId="0" borderId="0" xfId="1" applyNumberFormat="1"/>
    <xf numFmtId="165" fontId="0" fillId="0" borderId="7" xfId="2" applyNumberFormat="1" applyFont="1" applyBorder="1"/>
    <xf numFmtId="0" fontId="0" fillId="4" borderId="8" xfId="0" applyFill="1" applyBorder="1" applyAlignment="1">
      <alignment horizontal="left" indent="2"/>
    </xf>
    <xf numFmtId="0" fontId="8" fillId="3" borderId="4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7" fillId="4" borderId="8" xfId="0" applyFont="1" applyFill="1" applyBorder="1"/>
    <xf numFmtId="42" fontId="0" fillId="0" borderId="1" xfId="0" applyNumberFormat="1" applyBorder="1"/>
    <xf numFmtId="166" fontId="2" fillId="0" borderId="0" xfId="1" applyNumberFormat="1"/>
    <xf numFmtId="37" fontId="0" fillId="0" borderId="0" xfId="0" applyNumberFormat="1"/>
    <xf numFmtId="37" fontId="0" fillId="0" borderId="1" xfId="0" applyNumberFormat="1" applyBorder="1"/>
    <xf numFmtId="0" fontId="0" fillId="4" borderId="9" xfId="0" applyFill="1" applyBorder="1"/>
    <xf numFmtId="42" fontId="0" fillId="0" borderId="7" xfId="0" applyNumberFormat="1" applyBorder="1"/>
    <xf numFmtId="42" fontId="0" fillId="0" borderId="6" xfId="0" applyNumberFormat="1" applyBorder="1"/>
    <xf numFmtId="39" fontId="7" fillId="4" borderId="9" xfId="0" applyNumberFormat="1" applyFont="1" applyFill="1" applyBorder="1"/>
    <xf numFmtId="0" fontId="11" fillId="3" borderId="12" xfId="0" applyFont="1" applyFill="1" applyBorder="1" applyAlignment="1">
      <alignment vertical="top"/>
    </xf>
    <xf numFmtId="0" fontId="11" fillId="3" borderId="14" xfId="0" applyFont="1" applyFill="1" applyBorder="1"/>
    <xf numFmtId="0" fontId="11" fillId="3" borderId="7" xfId="0" applyFont="1" applyFill="1" applyBorder="1"/>
    <xf numFmtId="0" fontId="11" fillId="3" borderId="6" xfId="0" applyFont="1" applyFill="1" applyBorder="1"/>
    <xf numFmtId="43" fontId="0" fillId="0" borderId="0" xfId="0" applyNumberFormat="1"/>
    <xf numFmtId="44" fontId="2" fillId="0" borderId="0" xfId="2"/>
    <xf numFmtId="0" fontId="0" fillId="0" borderId="4" xfId="0" applyBorder="1"/>
    <xf numFmtId="0" fontId="0" fillId="0" borderId="5" xfId="0" applyBorder="1"/>
    <xf numFmtId="0" fontId="0" fillId="0" borderId="13" xfId="0" applyBorder="1"/>
    <xf numFmtId="43" fontId="0" fillId="0" borderId="1" xfId="0" applyNumberFormat="1" applyBorder="1"/>
    <xf numFmtId="10" fontId="0" fillId="0" borderId="1" xfId="0" applyNumberFormat="1" applyBorder="1"/>
    <xf numFmtId="10" fontId="2" fillId="0" borderId="0" xfId="3" applyNumberFormat="1"/>
    <xf numFmtId="167" fontId="0" fillId="0" borderId="1" xfId="0" applyNumberFormat="1" applyBorder="1"/>
    <xf numFmtId="10" fontId="0" fillId="4" borderId="6" xfId="0" applyNumberFormat="1" applyFill="1" applyBorder="1"/>
    <xf numFmtId="3" fontId="0" fillId="0" borderId="1" xfId="0" applyNumberFormat="1" applyBorder="1"/>
    <xf numFmtId="44" fontId="0" fillId="0" borderId="6" xfId="0" applyNumberFormat="1" applyBorder="1"/>
    <xf numFmtId="10" fontId="0" fillId="4" borderId="15" xfId="3" applyNumberFormat="1" applyFont="1" applyFill="1" applyBorder="1"/>
    <xf numFmtId="0" fontId="0" fillId="5" borderId="10" xfId="0" applyFill="1" applyBorder="1"/>
    <xf numFmtId="168" fontId="0" fillId="0" borderId="0" xfId="0" applyNumberFormat="1"/>
    <xf numFmtId="43" fontId="2" fillId="0" borderId="7" xfId="1" applyBorder="1"/>
    <xf numFmtId="0" fontId="1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 indent="2"/>
    </xf>
    <xf numFmtId="0" fontId="4" fillId="0" borderId="8" xfId="0" applyFont="1" applyBorder="1" applyAlignment="1">
      <alignment horizontal="left" vertical="top"/>
    </xf>
    <xf numFmtId="0" fontId="11" fillId="3" borderId="15" xfId="0" applyFont="1" applyFill="1" applyBorder="1"/>
    <xf numFmtId="14" fontId="0" fillId="0" borderId="11" xfId="0" applyNumberFormat="1" applyBorder="1" applyAlignment="1">
      <alignment horizontal="right"/>
    </xf>
    <xf numFmtId="44" fontId="0" fillId="0" borderId="14" xfId="0" applyNumberFormat="1" applyBorder="1"/>
    <xf numFmtId="44" fontId="0" fillId="0" borderId="7" xfId="0" applyNumberFormat="1" applyBorder="1"/>
    <xf numFmtId="6" fontId="0" fillId="4" borderId="1" xfId="0" applyNumberFormat="1" applyFill="1" applyBorder="1"/>
    <xf numFmtId="165" fontId="0" fillId="4" borderId="1" xfId="0" applyNumberFormat="1" applyFill="1" applyBorder="1"/>
    <xf numFmtId="6" fontId="0" fillId="0" borderId="1" xfId="0" applyNumberFormat="1" applyBorder="1"/>
    <xf numFmtId="8" fontId="0" fillId="0" borderId="1" xfId="0" applyNumberFormat="1" applyBorder="1"/>
    <xf numFmtId="44" fontId="0" fillId="4" borderId="1" xfId="0" applyNumberFormat="1" applyFill="1" applyBorder="1"/>
    <xf numFmtId="9" fontId="0" fillId="4" borderId="15" xfId="3" applyFont="1" applyFill="1" applyBorder="1"/>
    <xf numFmtId="165" fontId="0" fillId="0" borderId="7" xfId="0" applyNumberFormat="1" applyBorder="1"/>
    <xf numFmtId="165" fontId="0" fillId="0" borderId="2" xfId="2" applyNumberFormat="1" applyFont="1" applyBorder="1"/>
    <xf numFmtId="0" fontId="11" fillId="3" borderId="14" xfId="0" applyFont="1" applyFill="1" applyBorder="1" applyAlignment="1">
      <alignment vertical="top"/>
    </xf>
    <xf numFmtId="0" fontId="9" fillId="4" borderId="4" xfId="0" applyFont="1" applyFill="1" applyBorder="1" applyAlignment="1">
      <alignment horizontal="left" vertical="center"/>
    </xf>
    <xf numFmtId="44" fontId="2" fillId="0" borderId="7" xfId="2" applyBorder="1"/>
    <xf numFmtId="44" fontId="2" fillId="0" borderId="6" xfId="2" applyBorder="1"/>
    <xf numFmtId="44" fontId="2" fillId="0" borderId="1" xfId="2" applyBorder="1"/>
    <xf numFmtId="44" fontId="2" fillId="0" borderId="14" xfId="2" applyBorder="1"/>
    <xf numFmtId="10" fontId="0" fillId="2" borderId="8" xfId="0" applyNumberFormat="1" applyFill="1" applyBorder="1"/>
    <xf numFmtId="10" fontId="0" fillId="2" borderId="0" xfId="0" applyNumberFormat="1" applyFill="1"/>
    <xf numFmtId="0" fontId="0" fillId="0" borderId="0" xfId="0" applyAlignment="1">
      <alignment horizontal="right"/>
    </xf>
    <xf numFmtId="14" fontId="0" fillId="0" borderId="0" xfId="0" applyNumberFormat="1"/>
    <xf numFmtId="165" fontId="0" fillId="4" borderId="7" xfId="0" applyNumberFormat="1" applyFill="1" applyBorder="1"/>
    <xf numFmtId="0" fontId="0" fillId="0" borderId="0" xfId="0" applyAlignment="1">
      <alignment wrapText="1"/>
    </xf>
    <xf numFmtId="165" fontId="0" fillId="4" borderId="2" xfId="0" applyNumberFormat="1" applyFill="1" applyBorder="1"/>
    <xf numFmtId="167" fontId="2" fillId="0" borderId="1" xfId="3" applyNumberFormat="1" applyBorder="1"/>
    <xf numFmtId="164" fontId="12" fillId="0" borderId="16" xfId="0" applyNumberFormat="1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3" fillId="0" borderId="0" xfId="1" applyNumberFormat="1" applyFont="1"/>
    <xf numFmtId="10" fontId="2" fillId="0" borderId="1" xfId="3" applyNumberFormat="1" applyBorder="1"/>
    <xf numFmtId="0" fontId="12" fillId="2" borderId="16" xfId="0" applyFont="1" applyFill="1" applyBorder="1" applyAlignment="1">
      <alignment horizontal="center" vertical="top"/>
    </xf>
    <xf numFmtId="44" fontId="2" fillId="0" borderId="0" xfId="3" applyNumberFormat="1"/>
    <xf numFmtId="0" fontId="0" fillId="6" borderId="0" xfId="0" applyFill="1"/>
    <xf numFmtId="0" fontId="0" fillId="2" borderId="0" xfId="0" applyFill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"/>
  <sheetViews>
    <sheetView showGridLines="0" zoomScaleNormal="100" workbookViewId="0">
      <selection activeCell="L17" sqref="L17"/>
    </sheetView>
  </sheetViews>
  <sheetFormatPr baseColWidth="10" defaultRowHeight="15" x14ac:dyDescent="0.2"/>
  <cols>
    <col min="1" max="1" width="3" customWidth="1"/>
    <col min="2" max="2" width="38.83203125" customWidth="1"/>
    <col min="3" max="11" width="28.5" customWidth="1"/>
    <col min="12" max="12" width="29.83203125" customWidth="1"/>
  </cols>
  <sheetData>
    <row r="1" spans="1:12" x14ac:dyDescent="0.2">
      <c r="G1" s="111"/>
      <c r="H1" s="111"/>
      <c r="I1" s="111"/>
      <c r="J1" s="111"/>
      <c r="K1" s="111"/>
    </row>
    <row r="2" spans="1:12" x14ac:dyDescent="0.2">
      <c r="A2" s="1"/>
      <c r="B2" s="55" t="s">
        <v>0</v>
      </c>
      <c r="C2" s="3" t="s">
        <v>280</v>
      </c>
    </row>
    <row r="3" spans="1:12" x14ac:dyDescent="0.2">
      <c r="A3" s="1"/>
      <c r="B3" s="56" t="s">
        <v>1</v>
      </c>
      <c r="C3" s="4" t="s">
        <v>2</v>
      </c>
      <c r="G3" s="7"/>
      <c r="H3" s="7"/>
      <c r="I3" s="7"/>
      <c r="J3" s="7"/>
      <c r="K3" s="7"/>
    </row>
    <row r="4" spans="1:12" x14ac:dyDescent="0.2">
      <c r="A4" s="1"/>
      <c r="B4" s="56" t="s">
        <v>3</v>
      </c>
      <c r="C4" s="4">
        <v>2024</v>
      </c>
      <c r="G4" s="7"/>
      <c r="H4" s="7"/>
      <c r="I4" s="7"/>
      <c r="J4" s="7"/>
      <c r="K4" s="7"/>
    </row>
    <row r="5" spans="1:12" x14ac:dyDescent="0.2">
      <c r="A5" s="1"/>
      <c r="B5" s="56" t="s">
        <v>4</v>
      </c>
      <c r="C5" s="28">
        <v>278.49</v>
      </c>
      <c r="G5" s="7"/>
      <c r="H5" s="7"/>
      <c r="I5" s="7"/>
      <c r="J5" s="7"/>
      <c r="K5" s="7"/>
    </row>
    <row r="6" spans="1:12" x14ac:dyDescent="0.2">
      <c r="A6" s="1"/>
      <c r="B6" s="56" t="s">
        <v>5</v>
      </c>
      <c r="C6" s="7">
        <v>721800000</v>
      </c>
      <c r="D6" s="7"/>
      <c r="G6" s="7"/>
      <c r="H6" s="7"/>
      <c r="I6" s="7"/>
      <c r="J6" s="7"/>
      <c r="K6" s="7"/>
    </row>
    <row r="7" spans="1:12" x14ac:dyDescent="0.2">
      <c r="A7" s="1"/>
      <c r="B7" s="57" t="s">
        <v>6</v>
      </c>
      <c r="C7" s="5">
        <f>'Income Statement'!E50</f>
        <v>0.19500000000000001</v>
      </c>
      <c r="G7" s="71"/>
      <c r="H7" s="71"/>
      <c r="I7" s="71"/>
      <c r="J7" s="71"/>
      <c r="K7" s="71"/>
    </row>
    <row r="8" spans="1:12" ht="32" customHeight="1" x14ac:dyDescent="0.2">
      <c r="B8" s="74"/>
    </row>
    <row r="9" spans="1:12" ht="32" customHeight="1" x14ac:dyDescent="0.25">
      <c r="A9" s="1"/>
      <c r="B9" s="102" t="s">
        <v>7</v>
      </c>
      <c r="C9" s="69">
        <f>'Income Statement'!B1</f>
        <v>2020</v>
      </c>
      <c r="D9" s="69">
        <f>'Income Statement'!C1</f>
        <v>2021</v>
      </c>
      <c r="E9" s="69">
        <f>'Income Statement'!D1</f>
        <v>2022</v>
      </c>
      <c r="F9" s="69">
        <f>'Income Statement'!E1</f>
        <v>2023</v>
      </c>
      <c r="G9" s="68">
        <f>F9+1</f>
        <v>2024</v>
      </c>
      <c r="H9" s="69">
        <f>G9+1</f>
        <v>2025</v>
      </c>
      <c r="I9" s="69">
        <f>H9+1</f>
        <v>2026</v>
      </c>
      <c r="J9" s="69">
        <f>I9+1</f>
        <v>2027</v>
      </c>
      <c r="K9" s="69">
        <f>J9+1</f>
        <v>2028</v>
      </c>
      <c r="L9" s="25" t="s">
        <v>8</v>
      </c>
    </row>
    <row r="10" spans="1:12" x14ac:dyDescent="0.2">
      <c r="B10" s="73"/>
      <c r="C10" s="9"/>
      <c r="D10" s="9"/>
      <c r="E10" s="9"/>
      <c r="F10" s="9"/>
      <c r="G10" s="22"/>
      <c r="L10" s="11"/>
    </row>
    <row r="11" spans="1:12" x14ac:dyDescent="0.2">
      <c r="B11" s="87" t="s">
        <v>9</v>
      </c>
      <c r="C11" s="50">
        <f>'Income Statement'!B3</f>
        <v>19207800000</v>
      </c>
      <c r="D11" s="50">
        <f>'Income Statement'!C3</f>
        <v>23222900000</v>
      </c>
      <c r="E11" s="50">
        <f>'Income Statement'!D3</f>
        <v>23182600000</v>
      </c>
      <c r="F11" s="50">
        <f>'Income Statement'!E3</f>
        <v>25493700000</v>
      </c>
      <c r="G11" s="30">
        <f>F11*(1+G12)</f>
        <v>26768385000</v>
      </c>
      <c r="H11" s="6">
        <f>G11*(1+H12)</f>
        <v>27839120400</v>
      </c>
      <c r="I11" s="6">
        <f>H11*(1+I12)</f>
        <v>28674294012</v>
      </c>
      <c r="J11" s="6">
        <f>I11*(1+J12)</f>
        <v>29247779892.240002</v>
      </c>
      <c r="K11" s="6">
        <f>J11*(1+K12)</f>
        <v>29832735490.084801</v>
      </c>
      <c r="L11" s="11"/>
    </row>
    <row r="12" spans="1:12" x14ac:dyDescent="0.2">
      <c r="B12" s="88" t="s">
        <v>10</v>
      </c>
      <c r="C12" s="8"/>
      <c r="D12" s="8">
        <f>(D11-C11)/C11</f>
        <v>0.20903487125022127</v>
      </c>
      <c r="E12" s="78">
        <f>(E11-D11)/D11</f>
        <v>-1.7353560494167395E-3</v>
      </c>
      <c r="F12" s="8">
        <f>(F11-E11)/E11</f>
        <v>9.9691147671098157E-2</v>
      </c>
      <c r="G12" s="108">
        <v>0.05</v>
      </c>
      <c r="H12" s="109">
        <v>0.04</v>
      </c>
      <c r="I12" s="109">
        <v>0.03</v>
      </c>
      <c r="J12" s="109">
        <v>0.02</v>
      </c>
      <c r="K12" s="109">
        <v>0.02</v>
      </c>
      <c r="L12" s="84" t="s">
        <v>279</v>
      </c>
    </row>
    <row r="13" spans="1:12" x14ac:dyDescent="0.2">
      <c r="B13" s="22"/>
      <c r="C13" s="50"/>
      <c r="D13" s="50"/>
      <c r="E13" s="50"/>
      <c r="F13" s="50"/>
      <c r="G13" s="22"/>
      <c r="L13" s="11"/>
    </row>
    <row r="14" spans="1:12" x14ac:dyDescent="0.2">
      <c r="B14" s="12" t="s">
        <v>11</v>
      </c>
      <c r="C14" s="50">
        <f>'Income Statement'!B4</f>
        <v>9455700000</v>
      </c>
      <c r="D14" s="50">
        <f>'Income Statement'!C4</f>
        <v>10642700000</v>
      </c>
      <c r="E14" s="50">
        <f>'Income Statement'!D4</f>
        <v>9975400000</v>
      </c>
      <c r="F14" s="50">
        <f>'Income Statement'!E4</f>
        <v>10931200000</v>
      </c>
      <c r="G14" s="20">
        <f>G11*G15</f>
        <v>12110327881.857138</v>
      </c>
      <c r="H14" s="9">
        <f>H11*H15</f>
        <v>12594740997.131424</v>
      </c>
      <c r="I14" s="9">
        <f>I11*I15</f>
        <v>12972583227.045366</v>
      </c>
      <c r="J14" s="9">
        <f>J11*J15</f>
        <v>13232034891.586275</v>
      </c>
      <c r="K14" s="9">
        <f>K11*K15</f>
        <v>13496675589.417999</v>
      </c>
      <c r="L14" s="11"/>
    </row>
    <row r="15" spans="1:12" x14ac:dyDescent="0.2">
      <c r="B15" s="88" t="s">
        <v>12</v>
      </c>
      <c r="C15" s="8">
        <f>C14/C11</f>
        <v>0.49228438446880957</v>
      </c>
      <c r="D15" s="8">
        <f>D14/D11</f>
        <v>0.45828471035055912</v>
      </c>
      <c r="E15" s="8">
        <f>E14/E11</f>
        <v>0.43029686057646682</v>
      </c>
      <c r="F15" s="8">
        <f>F14/F11</f>
        <v>0.42878044379591823</v>
      </c>
      <c r="G15" s="34">
        <f>AVERAGE($C$15:$F$15)</f>
        <v>0.45241159979793844</v>
      </c>
      <c r="H15" s="27">
        <f>AVERAGE($C$15:$F$15)</f>
        <v>0.45241159979793844</v>
      </c>
      <c r="I15" s="27">
        <f>AVERAGE($C$15:$F$15)</f>
        <v>0.45241159979793844</v>
      </c>
      <c r="J15" s="27">
        <f>AVERAGE($C$15:$F$15)</f>
        <v>0.45241159979793844</v>
      </c>
      <c r="K15" s="27">
        <f>AVERAGE($C$15:$F$15)</f>
        <v>0.45241159979793844</v>
      </c>
      <c r="L15" s="11" t="s">
        <v>13</v>
      </c>
    </row>
    <row r="16" spans="1:12" ht="16" customHeight="1" x14ac:dyDescent="0.2">
      <c r="B16" s="13" t="s">
        <v>14</v>
      </c>
      <c r="C16" s="53">
        <f>'Income Statement'!B5</f>
        <v>9752100000</v>
      </c>
      <c r="D16" s="53">
        <f>'Income Statement'!C5</f>
        <v>12580200000</v>
      </c>
      <c r="E16" s="53">
        <f>'Income Statement'!D5</f>
        <v>13207200000</v>
      </c>
      <c r="F16" s="53">
        <f>'Income Statement'!E5</f>
        <v>14562500000</v>
      </c>
      <c r="G16" s="92">
        <f>G11-G14</f>
        <v>14658057118.142862</v>
      </c>
      <c r="H16" s="93">
        <f>H11-H14</f>
        <v>15244379402.868576</v>
      </c>
      <c r="I16" s="93">
        <f>I11-I14</f>
        <v>15701710784.954634</v>
      </c>
      <c r="J16" s="93">
        <f>J11-J14</f>
        <v>16015745000.653727</v>
      </c>
      <c r="K16" s="82">
        <f>K11-K14</f>
        <v>16336059900.666801</v>
      </c>
      <c r="L16" s="11"/>
    </row>
    <row r="17" spans="2:12" ht="16" customHeight="1" x14ac:dyDescent="0.2">
      <c r="B17" s="88" t="s">
        <v>15</v>
      </c>
      <c r="C17" s="8">
        <f>C16/C11</f>
        <v>0.50771561553119049</v>
      </c>
      <c r="D17" s="8">
        <f>D16/D11</f>
        <v>0.54171528964944082</v>
      </c>
      <c r="E17" s="8">
        <f>E16/E11</f>
        <v>0.56970313942353312</v>
      </c>
      <c r="F17" s="8">
        <f>F16/F11</f>
        <v>0.57121955620408182</v>
      </c>
      <c r="G17" s="22"/>
      <c r="H17" s="32"/>
      <c r="I17" s="32"/>
      <c r="J17" s="32"/>
      <c r="K17" s="32"/>
      <c r="L17" s="11"/>
    </row>
    <row r="18" spans="2:12" x14ac:dyDescent="0.2">
      <c r="B18" s="22"/>
      <c r="C18" s="50"/>
      <c r="D18" s="50"/>
      <c r="E18" s="50"/>
      <c r="F18" s="50"/>
      <c r="G18" s="22"/>
      <c r="L18" s="11"/>
    </row>
    <row r="19" spans="2:12" x14ac:dyDescent="0.2">
      <c r="B19" s="89" t="s">
        <v>23</v>
      </c>
      <c r="C19" s="50">
        <f>C88</f>
        <v>1751400000</v>
      </c>
      <c r="D19" s="50">
        <f t="shared" ref="D19:F19" si="0">D88</f>
        <v>1868100000</v>
      </c>
      <c r="E19" s="50">
        <f t="shared" si="0"/>
        <v>1870600000</v>
      </c>
      <c r="F19" s="50">
        <f t="shared" si="0"/>
        <v>1978200000</v>
      </c>
      <c r="G19" s="30">
        <f>G11*G20</f>
        <v>2207784964.6871614</v>
      </c>
      <c r="H19" s="6">
        <f>H11*H20</f>
        <v>2296096363.2746477</v>
      </c>
      <c r="I19" s="6">
        <f>I11*I20</f>
        <v>2364979254.1728873</v>
      </c>
      <c r="J19" s="6">
        <f>J11*J20</f>
        <v>2412278839.2563453</v>
      </c>
      <c r="K19" s="6">
        <f>K11*K20</f>
        <v>2460524416.041472</v>
      </c>
      <c r="L19" s="11"/>
    </row>
    <row r="20" spans="2:12" x14ac:dyDescent="0.2">
      <c r="B20" s="14" t="s">
        <v>271</v>
      </c>
      <c r="C20" s="8">
        <f>C19/C11</f>
        <v>9.1181707431356007E-2</v>
      </c>
      <c r="D20" s="8">
        <f>D19/D11</f>
        <v>8.0442149774575963E-2</v>
      </c>
      <c r="E20" s="8">
        <f>E19/E11</f>
        <v>8.0689827715614296E-2</v>
      </c>
      <c r="F20" s="8">
        <f>F19/F11</f>
        <v>7.7595641276079971E-2</v>
      </c>
      <c r="G20" s="34">
        <f>AVERAGE($C$20:$F$20)</f>
        <v>8.2477331549406563E-2</v>
      </c>
      <c r="H20" s="27">
        <f>AVERAGE($C$20:$F$20)</f>
        <v>8.2477331549406563E-2</v>
      </c>
      <c r="I20" s="27">
        <f>AVERAGE($C$20:$F$20)</f>
        <v>8.2477331549406563E-2</v>
      </c>
      <c r="J20" s="27">
        <f>AVERAGE($C$20:$F$20)</f>
        <v>8.2477331549406563E-2</v>
      </c>
      <c r="K20" s="27">
        <f>AVERAGE($C$20:$F$20)</f>
        <v>8.2477331549406563E-2</v>
      </c>
      <c r="L20" s="11" t="s">
        <v>13</v>
      </c>
    </row>
    <row r="21" spans="2:12" x14ac:dyDescent="0.2">
      <c r="B21" s="12" t="s">
        <v>16</v>
      </c>
      <c r="C21" s="50">
        <f>'Income Statement'!B6</f>
        <v>2245000000</v>
      </c>
      <c r="D21" s="50">
        <f>'Income Statement'!C6</f>
        <v>2377800000</v>
      </c>
      <c r="E21" s="50">
        <f>'Income Statement'!D6</f>
        <v>2492200000</v>
      </c>
      <c r="F21" s="50">
        <f>'Income Statement'!E6</f>
        <v>2435200000</v>
      </c>
      <c r="G21" s="30">
        <f>G11*G22</f>
        <v>2826036067.2878761</v>
      </c>
      <c r="H21" s="6">
        <f>H11*H22</f>
        <v>2939077509.9793911</v>
      </c>
      <c r="I21" s="6">
        <f>I11*I22</f>
        <v>3027249835.2787728</v>
      </c>
      <c r="J21" s="6">
        <f>J11*J22</f>
        <v>3087794831.9843483</v>
      </c>
      <c r="K21" s="6">
        <f>K11*K22</f>
        <v>3149550728.6240354</v>
      </c>
      <c r="L21" s="11"/>
    </row>
    <row r="22" spans="2:12" x14ac:dyDescent="0.2">
      <c r="B22" s="14" t="s">
        <v>17</v>
      </c>
      <c r="C22" s="8">
        <f>C21/C11</f>
        <v>0.11687960099542893</v>
      </c>
      <c r="D22" s="8">
        <f>D21/D11</f>
        <v>0.10239031301000305</v>
      </c>
      <c r="E22" s="8">
        <f>E21/E11</f>
        <v>0.10750304107390889</v>
      </c>
      <c r="F22" s="8">
        <f>F21/F11</f>
        <v>9.5521638679360005E-2</v>
      </c>
      <c r="G22" s="34">
        <f>AVERAGE($C$22:$F$22)</f>
        <v>0.10557364843967523</v>
      </c>
      <c r="H22" s="27">
        <f>AVERAGE($C$22:$F$22)</f>
        <v>0.10557364843967523</v>
      </c>
      <c r="I22" s="27">
        <f>AVERAGE($C$22:$F$22)</f>
        <v>0.10557364843967523</v>
      </c>
      <c r="J22" s="27">
        <f>AVERAGE($C$22:$F$22)</f>
        <v>0.10557364843967523</v>
      </c>
      <c r="K22" s="27">
        <f>AVERAGE($C$22:$F$22)</f>
        <v>0.10557364843967523</v>
      </c>
      <c r="L22" s="11" t="s">
        <v>13</v>
      </c>
    </row>
    <row r="23" spans="2:12" x14ac:dyDescent="0.2">
      <c r="B23" s="13" t="s">
        <v>18</v>
      </c>
      <c r="C23" s="50">
        <f>C19+C21</f>
        <v>3996400000</v>
      </c>
      <c r="D23" s="50">
        <f t="shared" ref="D23:F23" si="1">D19+D21</f>
        <v>4245900000</v>
      </c>
      <c r="E23" s="50">
        <f t="shared" si="1"/>
        <v>4362800000</v>
      </c>
      <c r="F23" s="50">
        <f t="shared" si="1"/>
        <v>4413400000</v>
      </c>
      <c r="G23" s="72">
        <f>G19+G21</f>
        <v>5033821031.9750376</v>
      </c>
      <c r="H23" s="72">
        <f>H19+H21</f>
        <v>5235173873.2540388</v>
      </c>
      <c r="I23" s="72">
        <f>I19+I21</f>
        <v>5392229089.4516602</v>
      </c>
      <c r="J23" s="72">
        <f>J19+J21</f>
        <v>5500073671.240694</v>
      </c>
      <c r="K23" s="72">
        <f>K19+K21</f>
        <v>5610075144.6655073</v>
      </c>
      <c r="L23" s="11"/>
    </row>
    <row r="24" spans="2:12" x14ac:dyDescent="0.2">
      <c r="B24" s="22"/>
      <c r="C24" s="51"/>
      <c r="D24" s="51"/>
      <c r="E24" s="51"/>
      <c r="F24" s="51"/>
      <c r="G24" s="22"/>
      <c r="L24" s="11"/>
    </row>
    <row r="25" spans="2:12" x14ac:dyDescent="0.2">
      <c r="B25" s="22"/>
      <c r="C25" s="51"/>
      <c r="D25" s="51"/>
      <c r="E25" s="51"/>
      <c r="F25" s="51"/>
      <c r="G25" s="30"/>
      <c r="H25" s="6"/>
      <c r="I25" s="6"/>
      <c r="J25" s="6"/>
      <c r="K25" s="6"/>
      <c r="L25" s="11"/>
    </row>
    <row r="26" spans="2:12" x14ac:dyDescent="0.2">
      <c r="B26" s="89" t="s">
        <v>19</v>
      </c>
      <c r="C26" s="101">
        <f t="shared" ref="C26:K26" si="2">C14+C23</f>
        <v>13452100000</v>
      </c>
      <c r="D26" s="50">
        <f t="shared" si="2"/>
        <v>14888600000</v>
      </c>
      <c r="E26" s="50">
        <f t="shared" si="2"/>
        <v>14338200000</v>
      </c>
      <c r="F26" s="50">
        <f t="shared" si="2"/>
        <v>15344600000</v>
      </c>
      <c r="G26" s="20">
        <f t="shared" si="2"/>
        <v>17144148913.832176</v>
      </c>
      <c r="H26" s="9">
        <f t="shared" si="2"/>
        <v>17829914870.385464</v>
      </c>
      <c r="I26" s="9">
        <f t="shared" si="2"/>
        <v>18364812316.497025</v>
      </c>
      <c r="J26" s="9">
        <f t="shared" si="2"/>
        <v>18732108562.826969</v>
      </c>
      <c r="K26" s="9">
        <f t="shared" si="2"/>
        <v>19106750734.083508</v>
      </c>
      <c r="L26" s="11"/>
    </row>
    <row r="27" spans="2:12" ht="16" customHeight="1" x14ac:dyDescent="0.2">
      <c r="B27" s="15" t="s">
        <v>115</v>
      </c>
      <c r="C27" s="53">
        <f t="shared" ref="C27:K27" si="3">C16-C23</f>
        <v>5755700000</v>
      </c>
      <c r="D27" s="53">
        <f t="shared" si="3"/>
        <v>8334300000</v>
      </c>
      <c r="E27" s="53">
        <f t="shared" si="3"/>
        <v>8844400000</v>
      </c>
      <c r="F27" s="53">
        <f t="shared" si="3"/>
        <v>10149100000</v>
      </c>
      <c r="G27" s="24">
        <f t="shared" si="3"/>
        <v>9624236086.1678238</v>
      </c>
      <c r="H27" s="17">
        <f t="shared" si="3"/>
        <v>10009205529.614536</v>
      </c>
      <c r="I27" s="17">
        <f t="shared" si="3"/>
        <v>10309481695.502974</v>
      </c>
      <c r="J27" s="17">
        <f t="shared" si="3"/>
        <v>10515671329.413033</v>
      </c>
      <c r="K27" s="18">
        <f t="shared" si="3"/>
        <v>10725984756.001293</v>
      </c>
      <c r="L27" s="11"/>
    </row>
    <row r="28" spans="2:12" ht="16" customHeight="1" x14ac:dyDescent="0.2">
      <c r="B28" s="88" t="s">
        <v>272</v>
      </c>
      <c r="C28" s="8">
        <f t="shared" ref="C28:K28" si="4">C27/C11</f>
        <v>0.29965430710440549</v>
      </c>
      <c r="D28" s="8">
        <f t="shared" si="4"/>
        <v>0.35888282686486184</v>
      </c>
      <c r="E28" s="8">
        <f t="shared" si="4"/>
        <v>0.38151027063401</v>
      </c>
      <c r="F28" s="8">
        <f t="shared" si="4"/>
        <v>0.39810227624864181</v>
      </c>
      <c r="G28" s="21">
        <f t="shared" si="4"/>
        <v>0.35953742021297974</v>
      </c>
      <c r="H28" s="10">
        <f t="shared" si="4"/>
        <v>0.35953742021297974</v>
      </c>
      <c r="I28" s="10">
        <f t="shared" si="4"/>
        <v>0.35953742021297974</v>
      </c>
      <c r="J28" s="10">
        <f t="shared" si="4"/>
        <v>0.35953742021297974</v>
      </c>
      <c r="K28" s="10">
        <f t="shared" si="4"/>
        <v>0.35953742021297974</v>
      </c>
      <c r="L28" s="11"/>
    </row>
    <row r="29" spans="2:12" x14ac:dyDescent="0.2">
      <c r="B29" s="22" t="s">
        <v>21</v>
      </c>
      <c r="C29" s="52">
        <f>'Income Statement'!B40</f>
        <v>1218100000</v>
      </c>
      <c r="D29" s="52">
        <f>'Income Statement'!C40</f>
        <v>1185800000</v>
      </c>
      <c r="E29" s="52">
        <f>'Income Statement'!D40</f>
        <v>1207000000</v>
      </c>
      <c r="F29" s="52">
        <f>'Income Statement'!E40</f>
        <v>1360800000</v>
      </c>
      <c r="G29" s="72">
        <f>G77*G30</f>
        <v>1283084086.7512913</v>
      </c>
      <c r="H29" s="72">
        <f>H77*H30</f>
        <v>1283084086.7512913</v>
      </c>
      <c r="I29" s="72">
        <f>I77*I30</f>
        <v>1283084086.7512913</v>
      </c>
      <c r="J29" s="72">
        <f>J77*J30</f>
        <v>1283084086.7512913</v>
      </c>
      <c r="K29" s="72">
        <f>K77*K30</f>
        <v>1283084086.7512913</v>
      </c>
      <c r="L29" s="11"/>
    </row>
    <row r="30" spans="2:12" x14ac:dyDescent="0.2">
      <c r="B30" s="88" t="s">
        <v>22</v>
      </c>
      <c r="C30" s="8">
        <f>C29/C77</f>
        <v>3.4608259841803803E-2</v>
      </c>
      <c r="D30" s="8">
        <f>D29/D77</f>
        <v>3.3287763139795694E-2</v>
      </c>
      <c r="E30" s="8">
        <f>E29/E77</f>
        <v>3.3617892406032836E-2</v>
      </c>
      <c r="F30" s="8">
        <f>F29/F77</f>
        <v>3.6627019694290351E-2</v>
      </c>
      <c r="G30" s="34">
        <f>AVERAGE($C$30:$F$30)</f>
        <v>3.4535233770480671E-2</v>
      </c>
      <c r="H30" s="27">
        <f>AVERAGE($C$30:$F$30)</f>
        <v>3.4535233770480671E-2</v>
      </c>
      <c r="I30" s="27">
        <f>AVERAGE($C$30:$F$30)</f>
        <v>3.4535233770480671E-2</v>
      </c>
      <c r="J30" s="27">
        <f>AVERAGE($C$30:$F$30)</f>
        <v>3.4535233770480671E-2</v>
      </c>
      <c r="K30" s="27">
        <f>AVERAGE($C$30:$F$30)</f>
        <v>3.4535233770480671E-2</v>
      </c>
      <c r="L30" s="11" t="s">
        <v>13</v>
      </c>
    </row>
    <row r="31" spans="2:12" x14ac:dyDescent="0.2">
      <c r="B31" s="89" t="s">
        <v>23</v>
      </c>
      <c r="C31" s="50">
        <f>C88</f>
        <v>1751400000</v>
      </c>
      <c r="D31" s="50">
        <f t="shared" ref="D31:F31" si="5">D88</f>
        <v>1868100000</v>
      </c>
      <c r="E31" s="50">
        <f t="shared" si="5"/>
        <v>1870600000</v>
      </c>
      <c r="F31" s="50">
        <f t="shared" si="5"/>
        <v>1978200000</v>
      </c>
      <c r="G31" s="30">
        <f>AVERAGE($C$31:$F$31)</f>
        <v>1867075000</v>
      </c>
      <c r="H31" s="6">
        <f>AVERAGE($C$31:$F$31)</f>
        <v>1867075000</v>
      </c>
      <c r="I31" s="6">
        <f>AVERAGE($C$31:$F$31)</f>
        <v>1867075000</v>
      </c>
      <c r="J31" s="6">
        <f>AVERAGE($C$31:$F$31)</f>
        <v>1867075000</v>
      </c>
      <c r="K31" s="6">
        <f>AVERAGE($C$31:$F$31)</f>
        <v>1867075000</v>
      </c>
      <c r="L31" s="11" t="s">
        <v>24</v>
      </c>
    </row>
    <row r="32" spans="2:12" x14ac:dyDescent="0.2">
      <c r="B32" s="15" t="s">
        <v>25</v>
      </c>
      <c r="C32" s="100">
        <f t="shared" ref="C32:K32" si="6">C27+C29+C31</f>
        <v>8725200000</v>
      </c>
      <c r="D32" s="100">
        <f t="shared" si="6"/>
        <v>11388200000</v>
      </c>
      <c r="E32" s="100">
        <f t="shared" si="6"/>
        <v>11922000000</v>
      </c>
      <c r="F32" s="100">
        <f t="shared" si="6"/>
        <v>13488100000</v>
      </c>
      <c r="G32" s="92">
        <f t="shared" si="6"/>
        <v>12774395172.919115</v>
      </c>
      <c r="H32" s="93">
        <f t="shared" si="6"/>
        <v>13159364616.365828</v>
      </c>
      <c r="I32" s="93">
        <f t="shared" si="6"/>
        <v>13459640782.254265</v>
      </c>
      <c r="J32" s="93">
        <f t="shared" si="6"/>
        <v>13665830416.164324</v>
      </c>
      <c r="K32" s="82">
        <f t="shared" si="6"/>
        <v>13876143842.752584</v>
      </c>
      <c r="L32" s="11"/>
    </row>
    <row r="33" spans="1:12" x14ac:dyDescent="0.2">
      <c r="B33" s="88" t="s">
        <v>26</v>
      </c>
      <c r="C33" s="8">
        <f t="shared" ref="C33:K33" si="7">C32/C11</f>
        <v>0.4542529597351076</v>
      </c>
      <c r="D33" s="8">
        <f t="shared" si="7"/>
        <v>0.49038664421756112</v>
      </c>
      <c r="E33" s="8">
        <f t="shared" si="7"/>
        <v>0.51426500910165385</v>
      </c>
      <c r="F33" s="8">
        <f t="shared" si="7"/>
        <v>0.52907581088661115</v>
      </c>
      <c r="G33" s="8">
        <f t="shared" si="7"/>
        <v>0.47721949504682915</v>
      </c>
      <c r="H33" s="8">
        <f t="shared" si="7"/>
        <v>0.47269326139937334</v>
      </c>
      <c r="I33" s="8">
        <f t="shared" si="7"/>
        <v>0.46939746019976969</v>
      </c>
      <c r="J33" s="8">
        <f t="shared" si="7"/>
        <v>0.46724334176865612</v>
      </c>
      <c r="K33" s="8">
        <f t="shared" si="7"/>
        <v>0.46513146095383895</v>
      </c>
      <c r="L33" s="11"/>
    </row>
    <row r="34" spans="1:12" x14ac:dyDescent="0.2">
      <c r="B34" s="13"/>
      <c r="C34" s="50"/>
      <c r="D34" s="50"/>
      <c r="E34" s="50"/>
      <c r="F34" s="50"/>
      <c r="G34" s="22"/>
      <c r="H34" s="85"/>
      <c r="L34" s="11"/>
    </row>
    <row r="35" spans="1:12" x14ac:dyDescent="0.2">
      <c r="B35" s="12" t="s">
        <v>27</v>
      </c>
      <c r="C35" s="50">
        <v>0</v>
      </c>
      <c r="D35" s="50">
        <v>0</v>
      </c>
      <c r="E35" s="50">
        <v>0</v>
      </c>
      <c r="F35" s="50">
        <v>0</v>
      </c>
      <c r="G35" s="22"/>
      <c r="L35" s="11"/>
    </row>
    <row r="36" spans="1:12" x14ac:dyDescent="0.2">
      <c r="B36" s="12" t="s">
        <v>28</v>
      </c>
      <c r="C36" s="50">
        <f>'Income Statement'!B23</f>
        <v>6140700000</v>
      </c>
      <c r="D36" s="50">
        <f>'Income Statement'!C23</f>
        <v>9127900000</v>
      </c>
      <c r="E36" s="50">
        <f>'Income Statement'!D23</f>
        <v>7825400000</v>
      </c>
      <c r="F36" s="50">
        <f>'Income Statement'!E23</f>
        <v>10522200000</v>
      </c>
      <c r="G36" s="30">
        <f>G32-G35</f>
        <v>12774395172.919115</v>
      </c>
      <c r="H36" s="6">
        <f>H32-H35</f>
        <v>13159364616.365828</v>
      </c>
      <c r="I36" s="6">
        <f>I32-I35</f>
        <v>13459640782.254265</v>
      </c>
      <c r="J36" s="6">
        <f>J32-J35</f>
        <v>13665830416.164324</v>
      </c>
      <c r="K36" s="6">
        <f>K32-K35</f>
        <v>13876143842.752584</v>
      </c>
      <c r="L36" s="11"/>
    </row>
    <row r="37" spans="1:12" x14ac:dyDescent="0.2">
      <c r="B37" s="88" t="s">
        <v>29</v>
      </c>
      <c r="C37" s="8">
        <f t="shared" ref="C37:K37" si="8">C36/C11</f>
        <v>0.31969824758691784</v>
      </c>
      <c r="D37" s="8">
        <f t="shared" si="8"/>
        <v>0.39305599214568376</v>
      </c>
      <c r="E37" s="8">
        <f t="shared" si="8"/>
        <v>0.33755489030566027</v>
      </c>
      <c r="F37" s="8">
        <f t="shared" si="8"/>
        <v>0.41273726450064135</v>
      </c>
      <c r="G37" s="23">
        <f t="shared" si="8"/>
        <v>0.47721949504682915</v>
      </c>
      <c r="H37" s="8">
        <f t="shared" si="8"/>
        <v>0.47269326139937334</v>
      </c>
      <c r="I37" s="8">
        <f t="shared" si="8"/>
        <v>0.46939746019976969</v>
      </c>
      <c r="J37" s="8">
        <f t="shared" si="8"/>
        <v>0.46724334176865612</v>
      </c>
      <c r="K37" s="8">
        <f t="shared" si="8"/>
        <v>0.46513146095383895</v>
      </c>
      <c r="L37" s="11"/>
    </row>
    <row r="38" spans="1:12" ht="16" customHeight="1" x14ac:dyDescent="0.2">
      <c r="B38" s="12" t="s">
        <v>30</v>
      </c>
      <c r="C38" s="50">
        <f>'Income Statement'!B24</f>
        <v>1410200000</v>
      </c>
      <c r="D38" s="50">
        <f>'Income Statement'!C24</f>
        <v>1582700000</v>
      </c>
      <c r="E38" s="50">
        <f>'Income Statement'!D24</f>
        <v>1648000000</v>
      </c>
      <c r="F38" s="50">
        <f>'Income Statement'!E24</f>
        <v>2053400000</v>
      </c>
      <c r="G38" s="30">
        <f>G36*$C$7</f>
        <v>2491007058.7192273</v>
      </c>
      <c r="H38" s="6">
        <f>H36*$C$7</f>
        <v>2566076100.1913366</v>
      </c>
      <c r="I38" s="6">
        <f>I36*$C$7</f>
        <v>2624629952.5395818</v>
      </c>
      <c r="J38" s="6">
        <f>J36*$C$7</f>
        <v>2664836931.1520433</v>
      </c>
      <c r="K38" s="6">
        <f>K36*$C$7</f>
        <v>2705848049.3367538</v>
      </c>
      <c r="L38" s="11"/>
    </row>
    <row r="39" spans="1:12" ht="16" customHeight="1" x14ac:dyDescent="0.2">
      <c r="B39" s="13" t="s">
        <v>31</v>
      </c>
      <c r="C39" s="53">
        <f>'Income Statement'!B25</f>
        <v>4730500000</v>
      </c>
      <c r="D39" s="53">
        <f>'Income Statement'!C25</f>
        <v>7545200000</v>
      </c>
      <c r="E39" s="53">
        <f>'Income Statement'!D25</f>
        <v>6177400000</v>
      </c>
      <c r="F39" s="53">
        <f>'Income Statement'!E25</f>
        <v>8468800000</v>
      </c>
      <c r="G39" s="92">
        <f>G36-G38</f>
        <v>10283388114.199888</v>
      </c>
      <c r="H39" s="93">
        <f>H36-H38</f>
        <v>10593288516.174492</v>
      </c>
      <c r="I39" s="93">
        <f>I36-I38</f>
        <v>10835010829.714684</v>
      </c>
      <c r="J39" s="93">
        <f>J36-J38</f>
        <v>11000993485.01228</v>
      </c>
      <c r="K39" s="82">
        <f>K36-K38</f>
        <v>11170295793.415831</v>
      </c>
      <c r="L39" s="11"/>
    </row>
    <row r="40" spans="1:12" x14ac:dyDescent="0.2">
      <c r="B40" s="22"/>
      <c r="L40" s="26"/>
    </row>
    <row r="41" spans="1:12" x14ac:dyDescent="0.2">
      <c r="B41" s="22" t="s">
        <v>32</v>
      </c>
      <c r="C41" s="6">
        <f>'Income Statement'!B30</f>
        <v>6.3462569999999996</v>
      </c>
      <c r="D41" s="6">
        <f>'Income Statement'!C30</f>
        <v>10.130504999999999</v>
      </c>
      <c r="E41" s="6">
        <f>'Income Statement'!D30</f>
        <v>8.4471489999999996</v>
      </c>
      <c r="F41" s="6">
        <f>'Income Statement'!E30</f>
        <v>11.63</v>
      </c>
      <c r="G41" s="6">
        <f>G39/$C$6</f>
        <v>14.246866326128966</v>
      </c>
      <c r="H41" s="6">
        <f>H39/$C$6</f>
        <v>14.676210191430441</v>
      </c>
      <c r="I41" s="6">
        <f>I39/$C$6</f>
        <v>15.011098406365591</v>
      </c>
      <c r="J41" s="6">
        <f>J39/$C$6</f>
        <v>15.241054980621058</v>
      </c>
      <c r="K41" s="6">
        <f>K39/$C$6</f>
        <v>15.475610686361639</v>
      </c>
    </row>
    <row r="42" spans="1:12" x14ac:dyDescent="0.2">
      <c r="B42" s="22"/>
      <c r="C42" s="8"/>
      <c r="D42" s="8"/>
      <c r="E42" s="8"/>
      <c r="F42" s="8"/>
      <c r="G42" s="6"/>
      <c r="H42" s="6"/>
      <c r="I42" s="6"/>
      <c r="J42" s="6"/>
      <c r="K42" s="6"/>
    </row>
    <row r="43" spans="1:12" x14ac:dyDescent="0.2">
      <c r="B43" s="35"/>
      <c r="C43" s="51"/>
    </row>
    <row r="44" spans="1:12" ht="32" customHeight="1" x14ac:dyDescent="0.25">
      <c r="A44" s="1"/>
      <c r="B44" s="67" t="s">
        <v>33</v>
      </c>
      <c r="C44" s="68">
        <f t="shared" ref="C44:K44" si="9">C9</f>
        <v>2020</v>
      </c>
      <c r="D44" s="69">
        <f t="shared" si="9"/>
        <v>2021</v>
      </c>
      <c r="E44" s="69">
        <f t="shared" si="9"/>
        <v>2022</v>
      </c>
      <c r="F44" s="70">
        <f t="shared" si="9"/>
        <v>2023</v>
      </c>
      <c r="G44" s="68">
        <f t="shared" si="9"/>
        <v>2024</v>
      </c>
      <c r="H44" s="69">
        <f t="shared" si="9"/>
        <v>2025</v>
      </c>
      <c r="I44" s="69">
        <f t="shared" si="9"/>
        <v>2026</v>
      </c>
      <c r="J44" s="69">
        <f t="shared" si="9"/>
        <v>2027</v>
      </c>
      <c r="K44" s="90">
        <f t="shared" si="9"/>
        <v>2028</v>
      </c>
      <c r="L44" s="91" t="s">
        <v>8</v>
      </c>
    </row>
    <row r="45" spans="1:12" x14ac:dyDescent="0.2">
      <c r="A45" s="1"/>
      <c r="B45" s="73"/>
      <c r="F45" s="75"/>
      <c r="K45" s="1"/>
      <c r="L45" s="11"/>
    </row>
    <row r="46" spans="1:12" ht="16" customHeight="1" x14ac:dyDescent="0.2">
      <c r="A46" s="1"/>
      <c r="B46" s="58" t="s">
        <v>34</v>
      </c>
      <c r="F46" s="1"/>
      <c r="K46" s="1"/>
      <c r="L46" s="11"/>
    </row>
    <row r="47" spans="1:12" x14ac:dyDescent="0.2">
      <c r="A47" s="1"/>
      <c r="B47" s="45" t="s">
        <v>35</v>
      </c>
      <c r="C47" s="72">
        <f>'Balance Sheet'!B2</f>
        <v>3449100000</v>
      </c>
      <c r="D47" s="72">
        <f>'Balance Sheet'!C2</f>
        <v>4709200000</v>
      </c>
      <c r="E47" s="72">
        <f>'Balance Sheet'!D2</f>
        <v>2583800000</v>
      </c>
      <c r="F47" s="72">
        <f>'Balance Sheet'!E2</f>
        <v>4579300000</v>
      </c>
      <c r="G47" s="72">
        <f>G118</f>
        <v>7659610459.286623</v>
      </c>
      <c r="H47" s="72">
        <f>H117</f>
        <v>5005734851.2676945</v>
      </c>
      <c r="I47" s="72">
        <f>I118</f>
        <v>17602181870.091503</v>
      </c>
      <c r="J47" s="72">
        <f>J118</f>
        <v>22495076442.016876</v>
      </c>
      <c r="K47" s="72">
        <f>K118</f>
        <v>27581814411.197449</v>
      </c>
      <c r="L47" s="11"/>
    </row>
    <row r="48" spans="1:12" x14ac:dyDescent="0.2">
      <c r="A48" s="1"/>
      <c r="B48" s="45" t="s">
        <v>36</v>
      </c>
      <c r="C48" s="72">
        <v>0</v>
      </c>
      <c r="D48" s="72">
        <v>0</v>
      </c>
      <c r="E48" s="72">
        <v>0</v>
      </c>
      <c r="F48" s="106">
        <v>0</v>
      </c>
      <c r="G48" s="72">
        <f>AVERAGE(C48:F48)</f>
        <v>0</v>
      </c>
      <c r="H48" s="72">
        <f>AVERAGE(D48:G48)</f>
        <v>0</v>
      </c>
      <c r="I48" s="72">
        <f>AVERAGE(E48:H48)</f>
        <v>0</v>
      </c>
      <c r="J48" s="72">
        <f>AVERAGE(F48:I48)</f>
        <v>0</v>
      </c>
      <c r="K48" s="72">
        <f>AVERAGE(G48:J48)</f>
        <v>0</v>
      </c>
      <c r="L48" s="11"/>
    </row>
    <row r="49" spans="1:12" x14ac:dyDescent="0.2">
      <c r="A49" s="1"/>
      <c r="B49" s="45" t="s">
        <v>37</v>
      </c>
      <c r="C49" s="72">
        <f>'Balance Sheet'!B5</f>
        <v>2110300000</v>
      </c>
      <c r="D49" s="72">
        <f>'Balance Sheet'!C5</f>
        <v>1872400000</v>
      </c>
      <c r="E49" s="72">
        <f>'Balance Sheet'!D5</f>
        <v>2115000000</v>
      </c>
      <c r="F49" s="72">
        <f>'Balance Sheet'!E5</f>
        <v>2488000000</v>
      </c>
      <c r="G49" s="72">
        <f>G11*G50</f>
        <v>2538439877.3741055</v>
      </c>
      <c r="H49" s="72">
        <f>H11*H50</f>
        <v>2639977472.4690695</v>
      </c>
      <c r="I49" s="72">
        <f>I11*I50</f>
        <v>2719176796.6431417</v>
      </c>
      <c r="J49" s="72">
        <f>J11*J50</f>
        <v>2773560332.576005</v>
      </c>
      <c r="K49" s="72">
        <f>K11*K50</f>
        <v>2829031539.2275248</v>
      </c>
      <c r="L49" s="11"/>
    </row>
    <row r="50" spans="1:12" x14ac:dyDescent="0.2">
      <c r="A50" s="1"/>
      <c r="B50" s="54" t="s">
        <v>38</v>
      </c>
      <c r="C50" s="8">
        <f>C49/C11</f>
        <v>0.1098668249357032</v>
      </c>
      <c r="D50" s="8">
        <f>D49/D11</f>
        <v>8.0627311834439289E-2</v>
      </c>
      <c r="E50" s="8">
        <f>E49/E11</f>
        <v>9.1232217266398075E-2</v>
      </c>
      <c r="F50" s="16">
        <f>F49/F11</f>
        <v>9.7592738598163462E-2</v>
      </c>
      <c r="G50" s="27">
        <f>AVERAGE($C$50:$F$50)</f>
        <v>9.4829773158676009E-2</v>
      </c>
      <c r="H50" s="27">
        <f>AVERAGE($C$50:$F$50)</f>
        <v>9.4829773158676009E-2</v>
      </c>
      <c r="I50" s="27">
        <f>AVERAGE($C$50:$F$50)</f>
        <v>9.4829773158676009E-2</v>
      </c>
      <c r="J50" s="27">
        <f>AVERAGE($C$50:$F$50)</f>
        <v>9.4829773158676009E-2</v>
      </c>
      <c r="K50" s="27">
        <f>AVERAGE($C$50:$F$50)</f>
        <v>9.4829773158676009E-2</v>
      </c>
      <c r="L50" s="11"/>
    </row>
    <row r="51" spans="1:12" x14ac:dyDescent="0.2">
      <c r="A51" s="1"/>
      <c r="B51" s="45" t="s">
        <v>39</v>
      </c>
      <c r="C51" s="60">
        <f>'Balance Sheet'!B6</f>
        <v>51100000</v>
      </c>
      <c r="D51" s="60">
        <f>'Balance Sheet'!C6</f>
        <v>55600000</v>
      </c>
      <c r="E51" s="60">
        <f>'Balance Sheet'!D6</f>
        <v>52000000</v>
      </c>
      <c r="F51" s="60">
        <f>'Balance Sheet'!E6</f>
        <v>52800000</v>
      </c>
      <c r="G51" s="6">
        <f>G11*G52</f>
        <v>62696426.673814818</v>
      </c>
      <c r="H51" s="6">
        <f>H11*H52</f>
        <v>65204283.740767412</v>
      </c>
      <c r="I51" s="6">
        <f>I11*I52</f>
        <v>67160412.25299044</v>
      </c>
      <c r="J51" s="6">
        <f>J11*J52</f>
        <v>68503620.498050243</v>
      </c>
      <c r="K51" s="6">
        <f>K11*K52</f>
        <v>69873692.908011258</v>
      </c>
      <c r="L51" s="11"/>
    </row>
    <row r="52" spans="1:12" x14ac:dyDescent="0.2">
      <c r="A52" s="1"/>
      <c r="B52" s="46" t="s">
        <v>40</v>
      </c>
      <c r="C52" s="78">
        <f>C51/C11</f>
        <v>2.6603775549516344E-3</v>
      </c>
      <c r="D52" s="78">
        <f>D51/D11</f>
        <v>2.3941884949769407E-3</v>
      </c>
      <c r="E52" s="78">
        <f>E51/E11</f>
        <v>2.2430616065497399E-3</v>
      </c>
      <c r="F52" s="119">
        <f>F51/F11</f>
        <v>2.0710999188034689E-3</v>
      </c>
      <c r="G52" s="109">
        <f>AVERAGE($C$52:$F$52)</f>
        <v>2.3421818938204461E-3</v>
      </c>
      <c r="H52" s="109">
        <f>AVERAGE($C$52:$F$52)</f>
        <v>2.3421818938204461E-3</v>
      </c>
      <c r="I52" s="109">
        <f>AVERAGE($C$52:$F$52)</f>
        <v>2.3421818938204461E-3</v>
      </c>
      <c r="J52" s="109">
        <f>AVERAGE($C$52:$F$52)</f>
        <v>2.3421818938204461E-3</v>
      </c>
      <c r="K52" s="109">
        <f>AVERAGE($C$52:$F$52)</f>
        <v>2.3421818938204461E-3</v>
      </c>
      <c r="L52" s="11"/>
    </row>
    <row r="53" spans="1:12" x14ac:dyDescent="0.2">
      <c r="A53" s="1"/>
      <c r="B53" s="45" t="s">
        <v>41</v>
      </c>
      <c r="C53" s="72">
        <f>'Balance Sheet'!B8</f>
        <v>632700000</v>
      </c>
      <c r="D53" s="72">
        <f>'Balance Sheet'!C8</f>
        <v>511300000</v>
      </c>
      <c r="E53" s="72">
        <f>'Balance Sheet'!D8</f>
        <v>673400000</v>
      </c>
      <c r="F53" s="72">
        <f>'Balance Sheet'!E8</f>
        <v>866300000</v>
      </c>
      <c r="G53" s="72">
        <f>F53</f>
        <v>866300000</v>
      </c>
      <c r="H53" s="72">
        <f>G53</f>
        <v>866300000</v>
      </c>
      <c r="I53" s="72">
        <f>H53</f>
        <v>866300000</v>
      </c>
      <c r="J53" s="72">
        <f>I53</f>
        <v>866300000</v>
      </c>
      <c r="K53" s="72">
        <f>J53</f>
        <v>866300000</v>
      </c>
      <c r="L53" s="11"/>
    </row>
    <row r="54" spans="1:12" ht="16" customHeight="1" x14ac:dyDescent="0.2">
      <c r="A54" s="1"/>
      <c r="B54" s="47" t="s">
        <v>42</v>
      </c>
      <c r="C54" s="64">
        <f>C47+C49+C51+C53</f>
        <v>6243200000</v>
      </c>
      <c r="D54" s="64">
        <f t="shared" ref="D54:F54" si="10">D47+D49+D51+D53</f>
        <v>7148500000</v>
      </c>
      <c r="E54" s="64">
        <f t="shared" si="10"/>
        <v>5424200000</v>
      </c>
      <c r="F54" s="64">
        <f t="shared" si="10"/>
        <v>7986400000</v>
      </c>
      <c r="G54" s="64">
        <f>SUM(G47:G49,G51,G53)</f>
        <v>11127046763.334543</v>
      </c>
      <c r="H54" s="64">
        <f>SUM(H47:H49,H51,H53)</f>
        <v>8577216607.4775314</v>
      </c>
      <c r="I54" s="64">
        <f>SUM(I47:I49,I51,I53)</f>
        <v>21254819078.987637</v>
      </c>
      <c r="J54" s="64">
        <f>SUM(J47:J49,J51,J53)</f>
        <v>26203440395.090931</v>
      </c>
      <c r="K54" s="65">
        <f>SUM(K47:K49,K51,K53)</f>
        <v>31347019643.332985</v>
      </c>
      <c r="L54" s="11"/>
    </row>
    <row r="55" spans="1:12" x14ac:dyDescent="0.2">
      <c r="A55" s="1"/>
      <c r="B55" s="44"/>
      <c r="C55" s="61"/>
      <c r="D55" s="61"/>
      <c r="E55" s="61"/>
      <c r="F55" s="62"/>
      <c r="K55" s="1"/>
      <c r="L55" s="11"/>
    </row>
    <row r="56" spans="1:12" x14ac:dyDescent="0.2">
      <c r="A56" s="1"/>
      <c r="B56" s="45" t="s">
        <v>43</v>
      </c>
      <c r="C56" s="72">
        <f>'Balance Sheet'!B17</f>
        <v>38785900000</v>
      </c>
      <c r="D56" s="72">
        <f>'Balance Sheet'!C17</f>
        <v>38272600000</v>
      </c>
      <c r="E56" s="72">
        <f>'Balance Sheet'!D17</f>
        <v>36339300000</v>
      </c>
      <c r="F56" s="72">
        <f>'Balance Sheet'!E17</f>
        <v>38422000000</v>
      </c>
      <c r="G56" s="72">
        <f>F56-G88-G122</f>
        <v>38540798399.056007</v>
      </c>
      <c r="H56" s="72">
        <f>G56-H88-H122</f>
        <v>38664348734.074257</v>
      </c>
      <c r="I56" s="72">
        <f>H56-I88-I122</f>
        <v>38791605579.143051</v>
      </c>
      <c r="J56" s="72">
        <f>I56-J88-J122</f>
        <v>38921407561.11322</v>
      </c>
      <c r="K56" s="72">
        <f>J56-K88-K122</f>
        <v>39053805582.722794</v>
      </c>
      <c r="L56" s="11"/>
    </row>
    <row r="57" spans="1:12" x14ac:dyDescent="0.2">
      <c r="A57" s="1"/>
      <c r="B57" s="45" t="s">
        <v>44</v>
      </c>
      <c r="C57" s="72">
        <f>'Balance Sheet'!B21</f>
        <v>1297200000</v>
      </c>
      <c r="D57" s="72">
        <f>'Balance Sheet'!C21</f>
        <v>1201200000</v>
      </c>
      <c r="E57" s="72">
        <f>'Balance Sheet'!D21</f>
        <v>1064500000</v>
      </c>
      <c r="F57" s="72">
        <f>'Balance Sheet'!E21</f>
        <v>1080200000</v>
      </c>
      <c r="G57" s="72">
        <f t="shared" ref="G57:K59" si="11">F57</f>
        <v>1080200000</v>
      </c>
      <c r="H57" s="72">
        <f t="shared" si="11"/>
        <v>1080200000</v>
      </c>
      <c r="I57" s="72">
        <f t="shared" si="11"/>
        <v>1080200000</v>
      </c>
      <c r="J57" s="72">
        <f t="shared" si="11"/>
        <v>1080200000</v>
      </c>
      <c r="K57" s="72">
        <f t="shared" si="11"/>
        <v>1080200000</v>
      </c>
      <c r="L57" s="11"/>
    </row>
    <row r="58" spans="1:12" x14ac:dyDescent="0.2">
      <c r="A58" s="1"/>
      <c r="B58" s="45" t="s">
        <v>236</v>
      </c>
      <c r="C58" s="72">
        <f>'Balance Sheet'!B18</f>
        <v>2773100000</v>
      </c>
      <c r="D58" s="72">
        <f>'Balance Sheet'!C18</f>
        <v>2782500000</v>
      </c>
      <c r="E58" s="72">
        <f>'Balance Sheet'!D18</f>
        <v>2900400000</v>
      </c>
      <c r="F58" s="72">
        <f>'Balance Sheet'!E18</f>
        <v>3040400000</v>
      </c>
      <c r="G58" s="72"/>
      <c r="H58" s="72"/>
      <c r="I58" s="72"/>
      <c r="J58" s="72"/>
      <c r="K58" s="72"/>
      <c r="L58" s="11"/>
    </row>
    <row r="59" spans="1:12" x14ac:dyDescent="0.2">
      <c r="A59" s="1"/>
      <c r="B59" s="45" t="s">
        <v>45</v>
      </c>
      <c r="C59" s="72">
        <f>'Balance Sheet'!B23</f>
        <v>3527400000</v>
      </c>
      <c r="D59" s="72">
        <f>'Balance Sheet'!C23</f>
        <v>4449500000</v>
      </c>
      <c r="E59" s="72">
        <f>'Balance Sheet'!D23</f>
        <v>4707200000</v>
      </c>
      <c r="F59" s="72">
        <f>'Balance Sheet'!E23</f>
        <v>5617800000</v>
      </c>
      <c r="G59" s="72">
        <f t="shared" si="11"/>
        <v>5617800000</v>
      </c>
      <c r="H59" s="72">
        <f t="shared" si="11"/>
        <v>5617800000</v>
      </c>
      <c r="I59" s="72">
        <f t="shared" si="11"/>
        <v>5617800000</v>
      </c>
      <c r="J59" s="72">
        <f t="shared" si="11"/>
        <v>5617800000</v>
      </c>
      <c r="K59" s="72">
        <f t="shared" si="11"/>
        <v>5617800000</v>
      </c>
      <c r="L59" s="11"/>
    </row>
    <row r="60" spans="1:12" ht="16" customHeight="1" x14ac:dyDescent="0.2">
      <c r="A60" s="1"/>
      <c r="B60" s="47" t="s">
        <v>46</v>
      </c>
      <c r="C60" s="72">
        <f t="shared" ref="C60:K60" si="12">SUM(C56:C59)</f>
        <v>46383600000</v>
      </c>
      <c r="D60" s="72">
        <f t="shared" si="12"/>
        <v>46705800000</v>
      </c>
      <c r="E60" s="72">
        <f t="shared" si="12"/>
        <v>45011400000</v>
      </c>
      <c r="F60" s="106">
        <f t="shared" si="12"/>
        <v>48160400000</v>
      </c>
      <c r="G60" s="72">
        <f t="shared" si="12"/>
        <v>45238798399.056007</v>
      </c>
      <c r="H60" s="72">
        <f t="shared" si="12"/>
        <v>45362348734.074257</v>
      </c>
      <c r="I60" s="72">
        <f t="shared" si="12"/>
        <v>45489605579.143051</v>
      </c>
      <c r="J60" s="72">
        <f t="shared" si="12"/>
        <v>45619407561.11322</v>
      </c>
      <c r="K60" s="72">
        <f t="shared" si="12"/>
        <v>45751805582.722794</v>
      </c>
      <c r="L60" s="11"/>
    </row>
    <row r="61" spans="1:12" x14ac:dyDescent="0.2">
      <c r="A61" s="1"/>
      <c r="B61" s="44"/>
      <c r="F61" s="1"/>
      <c r="K61" s="1"/>
      <c r="L61" s="11"/>
    </row>
    <row r="62" spans="1:12" ht="16" customHeight="1" x14ac:dyDescent="0.2">
      <c r="A62" s="1"/>
      <c r="B62" s="47" t="s">
        <v>47</v>
      </c>
      <c r="C62" s="64">
        <f t="shared" ref="C62:K62" si="13">C54+C60</f>
        <v>52626800000</v>
      </c>
      <c r="D62" s="64">
        <f t="shared" si="13"/>
        <v>53854300000</v>
      </c>
      <c r="E62" s="64">
        <f t="shared" si="13"/>
        <v>50435600000</v>
      </c>
      <c r="F62" s="65">
        <f t="shared" si="13"/>
        <v>56146800000</v>
      </c>
      <c r="G62" s="93">
        <f t="shared" si="13"/>
        <v>56365845162.390549</v>
      </c>
      <c r="H62" s="93">
        <f t="shared" si="13"/>
        <v>53939565341.551788</v>
      </c>
      <c r="I62" s="93">
        <f t="shared" si="13"/>
        <v>66744424658.130692</v>
      </c>
      <c r="J62" s="93">
        <f t="shared" si="13"/>
        <v>71822847956.204147</v>
      </c>
      <c r="K62" s="82">
        <f t="shared" si="13"/>
        <v>77098825226.055786</v>
      </c>
      <c r="L62" s="11"/>
    </row>
    <row r="63" spans="1:12" ht="16" customHeight="1" x14ac:dyDescent="0.2">
      <c r="A63" s="1"/>
      <c r="B63" s="47"/>
      <c r="C63" s="49"/>
      <c r="D63" s="49"/>
      <c r="E63" s="49"/>
      <c r="F63" s="59"/>
      <c r="G63" s="6"/>
      <c r="H63" s="6"/>
      <c r="I63" s="6"/>
      <c r="J63" s="6"/>
      <c r="K63" s="31"/>
      <c r="L63" s="11"/>
    </row>
    <row r="64" spans="1:12" ht="16" customHeight="1" x14ac:dyDescent="0.2">
      <c r="A64" s="1"/>
      <c r="B64" s="58" t="s">
        <v>48</v>
      </c>
      <c r="F64" s="1"/>
      <c r="K64" s="1"/>
      <c r="L64" s="11"/>
    </row>
    <row r="65" spans="1:12" x14ac:dyDescent="0.2">
      <c r="A65" s="1"/>
      <c r="B65" s="45" t="s">
        <v>49</v>
      </c>
      <c r="C65" s="49">
        <f>'Balance Sheet'!B32</f>
        <v>3236100000</v>
      </c>
      <c r="D65" s="49">
        <f>'Balance Sheet'!C32</f>
        <v>3314500000</v>
      </c>
      <c r="E65" s="49">
        <f>'Balance Sheet'!D32</f>
        <v>3141000000</v>
      </c>
      <c r="F65" s="49">
        <f>'Balance Sheet'!E32</f>
        <v>3978500000</v>
      </c>
      <c r="G65" s="6">
        <f>G14*G66</f>
        <v>4034267951.8093352</v>
      </c>
      <c r="H65" s="6">
        <f>H14*H66</f>
        <v>4166948547.2568235</v>
      </c>
      <c r="I65" s="6">
        <f>I14*I66</f>
        <v>4354919966.4791975</v>
      </c>
      <c r="J65" s="6">
        <f>J14*J66</f>
        <v>4510915061.9767666</v>
      </c>
      <c r="K65" s="6">
        <f>K14*K66</f>
        <v>4523360227.3183784</v>
      </c>
      <c r="L65" s="11"/>
    </row>
    <row r="66" spans="1:12" ht="16" customHeight="1" x14ac:dyDescent="0.2">
      <c r="A66" s="1"/>
      <c r="B66" s="48" t="s">
        <v>50</v>
      </c>
      <c r="C66" s="8">
        <f>C65/C14</f>
        <v>0.34223801516545577</v>
      </c>
      <c r="D66" s="8">
        <f>D65/D14</f>
        <v>0.31143412855760289</v>
      </c>
      <c r="E66" s="8">
        <f>E65/E14</f>
        <v>0.3148745914950779</v>
      </c>
      <c r="F66" s="16">
        <f>F65/F14</f>
        <v>0.3639582113583138</v>
      </c>
      <c r="G66" s="27">
        <f>AVERAGE(C66:F66)</f>
        <v>0.33312623664411256</v>
      </c>
      <c r="H66" s="27">
        <f>AVERAGE(D66:G66)</f>
        <v>0.3308482920137768</v>
      </c>
      <c r="I66" s="27">
        <f>AVERAGE(E66:H66)</f>
        <v>0.33570183287782024</v>
      </c>
      <c r="J66" s="27">
        <f>AVERAGE(F66:I66)</f>
        <v>0.34090864322350584</v>
      </c>
      <c r="K66" s="27">
        <f>AVERAGE(G66:J66)</f>
        <v>0.33514625118980385</v>
      </c>
      <c r="L66" s="11"/>
    </row>
    <row r="67" spans="1:12" x14ac:dyDescent="0.2">
      <c r="A67" s="1"/>
      <c r="B67" s="45" t="s">
        <v>51</v>
      </c>
      <c r="C67" s="72">
        <f>'Balance Sheet'!B34</f>
        <v>2243600000</v>
      </c>
      <c r="D67" s="72">
        <f>'Balance Sheet'!C34</f>
        <v>0</v>
      </c>
      <c r="E67" s="72">
        <f>'Balance Sheet'!D34</f>
        <v>0</v>
      </c>
      <c r="F67" s="72">
        <f>'Balance Sheet'!E34</f>
        <v>2192400000</v>
      </c>
      <c r="G67" s="72">
        <f>F67</f>
        <v>2192400000</v>
      </c>
      <c r="H67" s="72">
        <f>G67</f>
        <v>2192400000</v>
      </c>
      <c r="I67" s="72">
        <f>H67</f>
        <v>2192400000</v>
      </c>
      <c r="J67" s="72">
        <f>I67</f>
        <v>2192400000</v>
      </c>
      <c r="K67" s="72">
        <f>J67</f>
        <v>2192400000</v>
      </c>
      <c r="L67" s="11"/>
    </row>
    <row r="68" spans="1:12" x14ac:dyDescent="0.2">
      <c r="A68" s="1"/>
      <c r="B68" s="45" t="s">
        <v>52</v>
      </c>
      <c r="C68" s="72"/>
      <c r="D68" s="72"/>
      <c r="E68" s="72"/>
      <c r="F68" s="72"/>
      <c r="G68" s="6">
        <f>G11*G69</f>
        <v>0</v>
      </c>
      <c r="H68" s="6">
        <f>H11*H69</f>
        <v>0</v>
      </c>
      <c r="I68" s="6">
        <f>I11*I69</f>
        <v>0</v>
      </c>
      <c r="J68" s="6">
        <f>J11*J69</f>
        <v>0</v>
      </c>
      <c r="K68" s="6">
        <f>K11*K69</f>
        <v>0</v>
      </c>
      <c r="L68" s="11"/>
    </row>
    <row r="69" spans="1:12" ht="16" customHeight="1" x14ac:dyDescent="0.2">
      <c r="B69" s="48" t="s">
        <v>53</v>
      </c>
      <c r="C69" s="8">
        <f>C68/C11</f>
        <v>0</v>
      </c>
      <c r="D69" s="8">
        <f>D68/D11</f>
        <v>0</v>
      </c>
      <c r="E69" s="8">
        <f>E68/E11</f>
        <v>0</v>
      </c>
      <c r="F69" s="16">
        <f>F68/F11</f>
        <v>0</v>
      </c>
      <c r="G69" s="27">
        <f>AVERAGE($C69:$F69)</f>
        <v>0</v>
      </c>
      <c r="H69" s="27">
        <f>AVERAGE($C69:$F69)</f>
        <v>0</v>
      </c>
      <c r="I69" s="27">
        <f>AVERAGE($C69:$F69)</f>
        <v>0</v>
      </c>
      <c r="J69" s="27">
        <f>AVERAGE($C69:$F69)</f>
        <v>0</v>
      </c>
      <c r="K69" s="27">
        <f>AVERAGE($C69:$F69)</f>
        <v>0</v>
      </c>
      <c r="L69" s="11"/>
    </row>
    <row r="70" spans="1:12" ht="16" customHeight="1" x14ac:dyDescent="0.2">
      <c r="B70" s="45" t="s">
        <v>273</v>
      </c>
      <c r="C70" s="72">
        <f>'Balance Sheet'!B35</f>
        <v>701500000</v>
      </c>
      <c r="D70" s="72">
        <f>'Balance Sheet'!C35</f>
        <v>705500000</v>
      </c>
      <c r="E70" s="72">
        <f>'Balance Sheet'!D35</f>
        <v>661100000</v>
      </c>
      <c r="F70" s="72">
        <f>'Balance Sheet'!E35</f>
        <v>688100000</v>
      </c>
      <c r="G70" s="6">
        <f>AVERAGE(C70:F70)</f>
        <v>689050000</v>
      </c>
      <c r="H70" s="6">
        <f t="shared" ref="H70:K70" si="14">AVERAGE(D70:G70)</f>
        <v>685937500</v>
      </c>
      <c r="I70" s="6">
        <f t="shared" si="14"/>
        <v>681046875</v>
      </c>
      <c r="J70" s="6">
        <f t="shared" si="14"/>
        <v>686033593.75</v>
      </c>
      <c r="K70" s="6">
        <f t="shared" si="14"/>
        <v>685516992.1875</v>
      </c>
      <c r="L70" s="11"/>
    </row>
    <row r="71" spans="1:12" x14ac:dyDescent="0.2">
      <c r="B71" s="45" t="s">
        <v>54</v>
      </c>
      <c r="C71" s="72">
        <v>0</v>
      </c>
      <c r="D71" s="72">
        <v>0</v>
      </c>
      <c r="E71" s="72">
        <v>0</v>
      </c>
      <c r="F71" s="72">
        <v>0</v>
      </c>
      <c r="G71" s="72">
        <f>AVERAGE(C71:F71)</f>
        <v>0</v>
      </c>
      <c r="H71" s="72">
        <f>AVERAGE(D71:G71)</f>
        <v>0</v>
      </c>
      <c r="I71" s="72">
        <f>AVERAGE(E71:H71)</f>
        <v>0</v>
      </c>
      <c r="J71" s="72">
        <f>AVERAGE(F71:I71)</f>
        <v>0</v>
      </c>
      <c r="K71" s="72">
        <f>AVERAGE(G71:J71)</f>
        <v>0</v>
      </c>
      <c r="L71" s="11"/>
    </row>
    <row r="72" spans="1:12" ht="16" customHeight="1" x14ac:dyDescent="0.2">
      <c r="B72" s="47" t="s">
        <v>55</v>
      </c>
      <c r="C72" s="64">
        <f>SUM(C65,C67,C70)</f>
        <v>6181200000</v>
      </c>
      <c r="D72" s="64">
        <f t="shared" ref="D72:F72" si="15">SUM(D65,D67,D70)</f>
        <v>4020000000</v>
      </c>
      <c r="E72" s="64">
        <f t="shared" si="15"/>
        <v>3802100000</v>
      </c>
      <c r="F72" s="64">
        <f t="shared" si="15"/>
        <v>6859000000</v>
      </c>
      <c r="G72" s="93">
        <f>SUM(G65,G67:G68,G70:G71)</f>
        <v>6915717951.8093357</v>
      </c>
      <c r="H72" s="93">
        <f t="shared" ref="H72:K72" si="16">SUM(H65,H67:H68,H70:H71)</f>
        <v>7045286047.2568235</v>
      </c>
      <c r="I72" s="93">
        <f t="shared" si="16"/>
        <v>7228366841.4791975</v>
      </c>
      <c r="J72" s="93">
        <f t="shared" si="16"/>
        <v>7389348655.7267666</v>
      </c>
      <c r="K72" s="93">
        <f t="shared" si="16"/>
        <v>7401277219.5058784</v>
      </c>
      <c r="L72" s="11"/>
    </row>
    <row r="73" spans="1:12" ht="16" customHeight="1" x14ac:dyDescent="0.2">
      <c r="B73" s="47"/>
      <c r="C73" s="49"/>
      <c r="D73" s="49"/>
      <c r="E73" s="49"/>
      <c r="F73" s="59"/>
      <c r="G73" s="6"/>
      <c r="H73" s="6"/>
      <c r="I73" s="6"/>
      <c r="J73" s="6"/>
      <c r="K73" s="31"/>
      <c r="L73" s="11"/>
    </row>
    <row r="74" spans="1:12" ht="16" customHeight="1" x14ac:dyDescent="0.2">
      <c r="B74" s="45" t="s">
        <v>244</v>
      </c>
      <c r="C74" s="72">
        <f>'Balance Sheet'!B43</f>
        <v>2727600000</v>
      </c>
      <c r="D74" s="72">
        <f>'Balance Sheet'!C43</f>
        <v>2813900000</v>
      </c>
      <c r="E74" s="72">
        <f>'Balance Sheet'!D43</f>
        <v>2755300000</v>
      </c>
      <c r="F74" s="72">
        <f>'Balance Sheet'!E43</f>
        <v>2471000000</v>
      </c>
      <c r="G74" s="6">
        <f>F74</f>
        <v>2471000000</v>
      </c>
      <c r="H74" s="6">
        <f t="shared" ref="H74:K74" si="17">G74</f>
        <v>2471000000</v>
      </c>
      <c r="I74" s="6">
        <f t="shared" si="17"/>
        <v>2471000000</v>
      </c>
      <c r="J74" s="6">
        <f t="shared" si="17"/>
        <v>2471000000</v>
      </c>
      <c r="K74" s="6">
        <f t="shared" si="17"/>
        <v>2471000000</v>
      </c>
      <c r="L74" s="11"/>
    </row>
    <row r="75" spans="1:12" ht="16" customHeight="1" x14ac:dyDescent="0.2">
      <c r="B75" s="45" t="s">
        <v>173</v>
      </c>
      <c r="C75" s="72">
        <f>'Balance Sheet'!B39</f>
        <v>13321300000</v>
      </c>
      <c r="D75" s="72">
        <f>'Balance Sheet'!C39</f>
        <v>13020900000</v>
      </c>
      <c r="E75" s="72">
        <f>'Balance Sheet'!D39</f>
        <v>12134400000</v>
      </c>
      <c r="F75" s="72">
        <f>'Balance Sheet'!E39</f>
        <v>13057700000</v>
      </c>
      <c r="G75" s="6">
        <f>AVERAGE(C75:F75)</f>
        <v>12883575000</v>
      </c>
      <c r="H75" s="6">
        <f t="shared" ref="H75:K75" si="18">AVERAGE(D75:G75)</f>
        <v>12774143750</v>
      </c>
      <c r="I75" s="6">
        <f t="shared" si="18"/>
        <v>12712454687.5</v>
      </c>
      <c r="J75" s="6">
        <f t="shared" si="18"/>
        <v>12856968359.375</v>
      </c>
      <c r="K75" s="6">
        <f t="shared" si="18"/>
        <v>12806785449.21875</v>
      </c>
      <c r="L75" s="11"/>
    </row>
    <row r="76" spans="1:12" x14ac:dyDescent="0.2">
      <c r="B76" s="45" t="s">
        <v>167</v>
      </c>
      <c r="C76" s="72">
        <f>'Balance Sheet'!B44</f>
        <v>1970700000</v>
      </c>
      <c r="D76" s="72">
        <f>'Balance Sheet'!C44</f>
        <v>1896800000</v>
      </c>
      <c r="E76" s="72">
        <f>'Balance Sheet'!D44</f>
        <v>791900000</v>
      </c>
      <c r="F76" s="72">
        <f>'Balance Sheet'!E44</f>
        <v>363200000</v>
      </c>
      <c r="G76" s="6">
        <f>F76</f>
        <v>363200000</v>
      </c>
      <c r="H76" s="6">
        <f t="shared" ref="H76:K76" si="19">G76</f>
        <v>363200000</v>
      </c>
      <c r="I76" s="6">
        <f t="shared" si="19"/>
        <v>363200000</v>
      </c>
      <c r="J76" s="6">
        <f t="shared" si="19"/>
        <v>363200000</v>
      </c>
      <c r="K76" s="6">
        <f t="shared" si="19"/>
        <v>363200000</v>
      </c>
      <c r="L76" s="11"/>
    </row>
    <row r="77" spans="1:12" x14ac:dyDescent="0.2">
      <c r="B77" s="45" t="s">
        <v>56</v>
      </c>
      <c r="C77" s="72">
        <f>'Balance Sheet'!B38</f>
        <v>35196800000</v>
      </c>
      <c r="D77" s="72">
        <f>'Balance Sheet'!C38</f>
        <v>35622700000</v>
      </c>
      <c r="E77" s="72">
        <f>'Balance Sheet'!D38</f>
        <v>35903500000</v>
      </c>
      <c r="F77" s="72">
        <f>'Balance Sheet'!E38</f>
        <v>37152900000</v>
      </c>
      <c r="G77" s="72">
        <f t="shared" ref="G77:K77" si="20">F77</f>
        <v>37152900000</v>
      </c>
      <c r="H77" s="72">
        <f t="shared" si="20"/>
        <v>37152900000</v>
      </c>
      <c r="I77" s="72">
        <f t="shared" si="20"/>
        <v>37152900000</v>
      </c>
      <c r="J77" s="72">
        <f t="shared" si="20"/>
        <v>37152900000</v>
      </c>
      <c r="K77" s="72">
        <f t="shared" si="20"/>
        <v>37152900000</v>
      </c>
      <c r="L77" s="11"/>
    </row>
    <row r="78" spans="1:12" x14ac:dyDescent="0.2">
      <c r="B78" s="45" t="s">
        <v>57</v>
      </c>
      <c r="C78" s="72">
        <f>'Balance Sheet'!B45</f>
        <v>1054100000</v>
      </c>
      <c r="D78" s="72">
        <f>'Balance Sheet'!C45</f>
        <v>1081000000</v>
      </c>
      <c r="E78" s="72">
        <f>'Balance Sheet'!D45</f>
        <v>1051800000</v>
      </c>
      <c r="F78" s="72">
        <f>'Balance Sheet'!E45</f>
        <v>949700000</v>
      </c>
      <c r="G78" s="72">
        <f>AVERAGE(C78:F78)</f>
        <v>1034150000</v>
      </c>
      <c r="H78" s="72">
        <f t="shared" ref="H78:K78" si="21">AVERAGE(D78:G78)</f>
        <v>1029162500</v>
      </c>
      <c r="I78" s="72">
        <f t="shared" si="21"/>
        <v>1016203125</v>
      </c>
      <c r="J78" s="72">
        <f t="shared" si="21"/>
        <v>1007303906.25</v>
      </c>
      <c r="K78" s="72">
        <f t="shared" si="21"/>
        <v>1021704882.8125</v>
      </c>
      <c r="L78" s="11"/>
    </row>
    <row r="79" spans="1:12" ht="16" customHeight="1" x14ac:dyDescent="0.2">
      <c r="B79" s="47" t="s">
        <v>58</v>
      </c>
      <c r="C79" s="72">
        <f>SUM(C74:C78)</f>
        <v>54270500000</v>
      </c>
      <c r="D79" s="72">
        <f t="shared" ref="D79:E79" si="22">SUM(D74:D78)</f>
        <v>54435300000</v>
      </c>
      <c r="E79" s="72">
        <f t="shared" si="22"/>
        <v>52636900000</v>
      </c>
      <c r="F79" s="72">
        <f>SUM(F74:F78)</f>
        <v>53994500000</v>
      </c>
      <c r="G79" s="72">
        <f>SUM(G74:G78)</f>
        <v>53904825000</v>
      </c>
      <c r="H79" s="72">
        <f t="shared" ref="H79:K79" si="23">SUM(H74:H78)</f>
        <v>53790406250</v>
      </c>
      <c r="I79" s="72">
        <f t="shared" si="23"/>
        <v>53715757812.5</v>
      </c>
      <c r="J79" s="72">
        <f t="shared" si="23"/>
        <v>53851372265.625</v>
      </c>
      <c r="K79" s="72">
        <f t="shared" si="23"/>
        <v>53815590332.03125</v>
      </c>
      <c r="L79" s="11"/>
    </row>
    <row r="80" spans="1:12" x14ac:dyDescent="0.2">
      <c r="B80" s="44"/>
      <c r="C80" s="7"/>
      <c r="F80" s="1"/>
      <c r="K80" s="1"/>
      <c r="L80" s="11"/>
    </row>
    <row r="81" spans="1:12" ht="16" customHeight="1" x14ac:dyDescent="0.2">
      <c r="A81" s="1"/>
      <c r="B81" s="47" t="s">
        <v>59</v>
      </c>
      <c r="C81" s="93">
        <f>C79+C72</f>
        <v>60451700000</v>
      </c>
      <c r="D81" s="93">
        <f>D79+D72</f>
        <v>58455300000</v>
      </c>
      <c r="E81" s="93">
        <f>E79+E72</f>
        <v>56439000000</v>
      </c>
      <c r="F81" s="82">
        <f>F79+F72</f>
        <v>60853500000</v>
      </c>
      <c r="G81" s="93">
        <f>G72+G79</f>
        <v>60820542951.809334</v>
      </c>
      <c r="H81" s="93">
        <f>H72+H79</f>
        <v>60835692297.256821</v>
      </c>
      <c r="I81" s="93">
        <f>I72+I79</f>
        <v>60944124653.979195</v>
      </c>
      <c r="J81" s="93">
        <f>J72+J79</f>
        <v>61240720921.351768</v>
      </c>
      <c r="K81" s="82">
        <f>K72+K79</f>
        <v>61216867551.537125</v>
      </c>
      <c r="L81" s="11"/>
    </row>
    <row r="82" spans="1:12" ht="16" customHeight="1" x14ac:dyDescent="0.2">
      <c r="A82" s="1"/>
      <c r="B82" s="47"/>
      <c r="C82" s="6"/>
      <c r="D82" s="6"/>
      <c r="E82" s="6"/>
      <c r="F82" s="6"/>
      <c r="K82" s="1"/>
      <c r="L82" s="11"/>
    </row>
    <row r="83" spans="1:12" ht="16" customHeight="1" x14ac:dyDescent="0.2">
      <c r="A83" s="1"/>
      <c r="B83" s="47"/>
      <c r="C83" s="121"/>
      <c r="D83" s="8"/>
      <c r="E83" s="8"/>
      <c r="F83" s="8"/>
      <c r="G83" s="8"/>
      <c r="H83" s="8"/>
      <c r="I83" s="8"/>
      <c r="J83" s="8"/>
      <c r="K83" s="8"/>
      <c r="L83" s="11"/>
    </row>
    <row r="84" spans="1:12" x14ac:dyDescent="0.2">
      <c r="A84" s="1"/>
      <c r="B84" s="63"/>
      <c r="C84" s="2"/>
      <c r="D84" s="2"/>
      <c r="E84" s="2"/>
      <c r="F84" s="29"/>
      <c r="K84" s="1"/>
      <c r="L84" s="11"/>
    </row>
    <row r="85" spans="1:12" ht="31" customHeight="1" x14ac:dyDescent="0.25">
      <c r="A85" s="1"/>
      <c r="B85" s="67" t="s">
        <v>60</v>
      </c>
      <c r="C85" s="69">
        <f t="shared" ref="C85:K85" si="24">C44</f>
        <v>2020</v>
      </c>
      <c r="D85" s="69">
        <f t="shared" si="24"/>
        <v>2021</v>
      </c>
      <c r="E85" s="69">
        <f t="shared" si="24"/>
        <v>2022</v>
      </c>
      <c r="F85" s="70">
        <f t="shared" si="24"/>
        <v>2023</v>
      </c>
      <c r="G85" s="68">
        <f t="shared" si="24"/>
        <v>2024</v>
      </c>
      <c r="H85" s="69">
        <f t="shared" si="24"/>
        <v>2025</v>
      </c>
      <c r="I85" s="69">
        <f t="shared" si="24"/>
        <v>2026</v>
      </c>
      <c r="J85" s="69">
        <f t="shared" si="24"/>
        <v>2027</v>
      </c>
      <c r="K85" s="70">
        <f t="shared" si="24"/>
        <v>2028</v>
      </c>
      <c r="L85" s="25" t="s">
        <v>8</v>
      </c>
    </row>
    <row r="86" spans="1:12" ht="16" customHeight="1" x14ac:dyDescent="0.2">
      <c r="A86" s="1"/>
      <c r="B86" s="103"/>
      <c r="C86" s="74"/>
      <c r="D86" s="74"/>
      <c r="E86" s="74"/>
      <c r="F86" s="75"/>
      <c r="K86" s="1"/>
      <c r="L86" s="11"/>
    </row>
    <row r="87" spans="1:12" ht="16" customHeight="1" x14ac:dyDescent="0.2">
      <c r="A87" s="1"/>
      <c r="B87" s="47" t="s">
        <v>61</v>
      </c>
      <c r="C87" s="72">
        <f>C39</f>
        <v>4730500000</v>
      </c>
      <c r="D87" s="72">
        <f t="shared" ref="D87:F87" si="25">D39</f>
        <v>7545200000</v>
      </c>
      <c r="E87" s="72">
        <f t="shared" si="25"/>
        <v>6177400000</v>
      </c>
      <c r="F87" s="72">
        <f t="shared" si="25"/>
        <v>8468800000</v>
      </c>
      <c r="G87" s="6">
        <f>G39</f>
        <v>10283388114.199888</v>
      </c>
      <c r="H87" s="6">
        <f>H39</f>
        <v>10593288516.174492</v>
      </c>
      <c r="I87" s="6">
        <f>I39</f>
        <v>10835010829.714684</v>
      </c>
      <c r="J87" s="6">
        <f>J39</f>
        <v>11000993485.01228</v>
      </c>
      <c r="K87" s="6">
        <f>K39</f>
        <v>11170295793.415831</v>
      </c>
      <c r="L87" s="11"/>
    </row>
    <row r="88" spans="1:12" x14ac:dyDescent="0.2">
      <c r="A88" s="1"/>
      <c r="B88" s="45" t="s">
        <v>23</v>
      </c>
      <c r="C88" s="72">
        <f>'Cash Flow Statement'!B5</f>
        <v>1751400000</v>
      </c>
      <c r="D88" s="72">
        <f>'Cash Flow Statement'!C5</f>
        <v>1868100000</v>
      </c>
      <c r="E88" s="72">
        <f>'Cash Flow Statement'!D5</f>
        <v>1870600000</v>
      </c>
      <c r="F88" s="72">
        <f>'Cash Flow Statement'!E5</f>
        <v>1978200000</v>
      </c>
      <c r="G88" s="6">
        <f>G11*G89</f>
        <v>2207784964.6871614</v>
      </c>
      <c r="H88" s="6">
        <f>H11*H89</f>
        <v>2296096363.2746477</v>
      </c>
      <c r="I88" s="6">
        <f>I11*I89</f>
        <v>2364979254.1728873</v>
      </c>
      <c r="J88" s="6">
        <f>J11*J89</f>
        <v>2412278839.2563453</v>
      </c>
      <c r="K88" s="6">
        <f>K11*K89</f>
        <v>2460524416.041472</v>
      </c>
      <c r="L88" s="11"/>
    </row>
    <row r="89" spans="1:12" x14ac:dyDescent="0.2">
      <c r="A89" s="1"/>
      <c r="B89" s="54" t="s">
        <v>62</v>
      </c>
      <c r="C89" s="8">
        <f>C88/C11</f>
        <v>9.1181707431356007E-2</v>
      </c>
      <c r="D89" s="8">
        <f>D88/D11</f>
        <v>8.0442149774575963E-2</v>
      </c>
      <c r="E89" s="8">
        <f>E88/E11</f>
        <v>8.0689827715614296E-2</v>
      </c>
      <c r="F89" s="16">
        <f>F88/F11</f>
        <v>7.7595641276079971E-2</v>
      </c>
      <c r="G89" s="27">
        <f>AVERAGE($C89:$F89)</f>
        <v>8.2477331549406563E-2</v>
      </c>
      <c r="H89" s="27">
        <f>AVERAGE($C89:$F89)</f>
        <v>8.2477331549406563E-2</v>
      </c>
      <c r="I89" s="27">
        <f>AVERAGE($C89:$F89)</f>
        <v>8.2477331549406563E-2</v>
      </c>
      <c r="J89" s="27">
        <f>AVERAGE($C89:$F89)</f>
        <v>8.2477331549406563E-2</v>
      </c>
      <c r="K89" s="27">
        <f>AVERAGE($C89:$F89)</f>
        <v>8.2477331549406563E-2</v>
      </c>
      <c r="L89" s="11" t="s">
        <v>63</v>
      </c>
    </row>
    <row r="90" spans="1:12" x14ac:dyDescent="0.2">
      <c r="A90" s="1"/>
      <c r="B90" s="45" t="s">
        <v>64</v>
      </c>
      <c r="C90" s="72">
        <f>'Cash Flow Statement'!B7</f>
        <v>6400000</v>
      </c>
      <c r="D90" s="72">
        <f>'Cash Flow Statement'!C7</f>
        <v>-428300000</v>
      </c>
      <c r="E90" s="72">
        <f>'Cash Flow Statement'!D7</f>
        <v>-345700000</v>
      </c>
      <c r="F90" s="72">
        <f>'Cash Flow Statement'!E7</f>
        <v>-686400000</v>
      </c>
      <c r="G90" s="72">
        <f t="shared" ref="G90:K91" si="26">F90</f>
        <v>-686400000</v>
      </c>
      <c r="H90" s="72">
        <f t="shared" si="26"/>
        <v>-686400000</v>
      </c>
      <c r="I90" s="72">
        <f t="shared" si="26"/>
        <v>-686400000</v>
      </c>
      <c r="J90" s="72">
        <f t="shared" si="26"/>
        <v>-686400000</v>
      </c>
      <c r="K90" s="72">
        <f t="shared" si="26"/>
        <v>-686400000</v>
      </c>
      <c r="L90" s="11"/>
    </row>
    <row r="91" spans="1:12" x14ac:dyDescent="0.2">
      <c r="A91" s="1"/>
      <c r="B91" s="45" t="s">
        <v>65</v>
      </c>
      <c r="C91" s="72">
        <f>'Cash Flow Statement'!B9</f>
        <v>92400000</v>
      </c>
      <c r="D91" s="72">
        <f>'Cash Flow Statement'!C9</f>
        <v>139200000</v>
      </c>
      <c r="E91" s="72">
        <f>'Cash Flow Statement'!D9</f>
        <v>166700000</v>
      </c>
      <c r="F91" s="72">
        <f>'Cash Flow Statement'!E9</f>
        <v>175200000</v>
      </c>
      <c r="G91" s="72">
        <f>F91</f>
        <v>175200000</v>
      </c>
      <c r="H91" s="72">
        <f t="shared" si="26"/>
        <v>175200000</v>
      </c>
      <c r="I91" s="72">
        <f t="shared" si="26"/>
        <v>175200000</v>
      </c>
      <c r="J91" s="72">
        <f t="shared" si="26"/>
        <v>175200000</v>
      </c>
      <c r="K91" s="72">
        <f t="shared" si="26"/>
        <v>175200000</v>
      </c>
      <c r="L91" s="11"/>
    </row>
    <row r="92" spans="1:12" x14ac:dyDescent="0.2">
      <c r="A92" s="1"/>
      <c r="B92" s="45" t="s">
        <v>66</v>
      </c>
      <c r="C92" s="72">
        <f>'Cash Flow Statement'!B21</f>
        <v>-212100000</v>
      </c>
      <c r="D92" s="72">
        <f>'Cash Flow Statement'!C21</f>
        <v>454200000</v>
      </c>
      <c r="E92" s="72">
        <f>'Cash Flow Statement'!D21</f>
        <v>-644600000</v>
      </c>
      <c r="F92" s="72">
        <f t="shared" ref="F92:K92" si="27">(E54-E72)-(F54-F72)</f>
        <v>494700000</v>
      </c>
      <c r="G92" s="72">
        <f t="shared" si="27"/>
        <v>-3083928811.5252075</v>
      </c>
      <c r="H92" s="72">
        <f t="shared" si="27"/>
        <v>2679398251.3044996</v>
      </c>
      <c r="I92" s="72">
        <f t="shared" si="27"/>
        <v>-12494521677.287731</v>
      </c>
      <c r="J92" s="72">
        <f t="shared" si="27"/>
        <v>-4787639501.8557281</v>
      </c>
      <c r="K92" s="72">
        <f t="shared" si="27"/>
        <v>-5131650684.4629402</v>
      </c>
      <c r="L92" s="11"/>
    </row>
    <row r="93" spans="1:12" x14ac:dyDescent="0.2">
      <c r="A93" s="1"/>
      <c r="B93" s="45" t="s">
        <v>275</v>
      </c>
      <c r="C93" s="72">
        <f>'Cash Flow Statement'!B11</f>
        <v>-6800000</v>
      </c>
      <c r="D93" s="72">
        <f>'Cash Flow Statement'!C11</f>
        <v>309900000</v>
      </c>
      <c r="E93" s="72">
        <f>'Cash Flow Statement'!D11</f>
        <v>-264100000</v>
      </c>
      <c r="F93" s="72">
        <f>'Cash Flow Statement'!E11</f>
        <v>-161000000</v>
      </c>
      <c r="G93" s="72">
        <f>F49-G49</f>
        <v>-50439877.374105453</v>
      </c>
      <c r="H93" s="72">
        <f>G93</f>
        <v>-50439877.374105453</v>
      </c>
      <c r="I93" s="72">
        <f>H93</f>
        <v>-50439877.374105453</v>
      </c>
      <c r="J93" s="72">
        <f>I93</f>
        <v>-50439877.374105453</v>
      </c>
      <c r="K93" s="72">
        <f>J93</f>
        <v>-50439877.374105453</v>
      </c>
      <c r="L93" s="11"/>
    </row>
    <row r="94" spans="1:12" x14ac:dyDescent="0.2">
      <c r="A94" s="1"/>
      <c r="B94" s="45" t="s">
        <v>274</v>
      </c>
      <c r="C94" s="72">
        <f>'Cash Flow Statement'!B13</f>
        <v>-68600000</v>
      </c>
      <c r="D94" s="72">
        <f>'Cash Flow Statement'!C13</f>
        <v>-62200000</v>
      </c>
      <c r="E94" s="72">
        <f>'Cash Flow Statement'!D13</f>
        <v>5600000</v>
      </c>
      <c r="F94" s="72">
        <f>'Cash Flow Statement'!E13</f>
        <v>16700000</v>
      </c>
      <c r="G94" s="72">
        <f>F51-G51</f>
        <v>-9896426.6738148183</v>
      </c>
      <c r="H94" s="72">
        <f>G51-H51</f>
        <v>-2507857.0669525936</v>
      </c>
      <c r="I94" s="72">
        <f>H51-I51</f>
        <v>-1956128.5122230276</v>
      </c>
      <c r="J94" s="72">
        <f>I51-J51</f>
        <v>-1343208.2450598031</v>
      </c>
      <c r="K94" s="72">
        <f>J51-K51</f>
        <v>-1370072.409961015</v>
      </c>
      <c r="L94" s="11"/>
    </row>
    <row r="95" spans="1:12" x14ac:dyDescent="0.2">
      <c r="A95" s="1"/>
      <c r="B95" s="45" t="s">
        <v>276</v>
      </c>
      <c r="C95" s="72">
        <f>'Cash Flow Statement'!B16</f>
        <v>-137500000</v>
      </c>
      <c r="D95" s="72">
        <f>'Cash Flow Statement'!C16</f>
        <v>225000000</v>
      </c>
      <c r="E95" s="72">
        <f>'Cash Flow Statement'!D16</f>
        <v>31300000</v>
      </c>
      <c r="F95" s="72">
        <f>'Cash Flow Statement'!E16</f>
        <v>50400000</v>
      </c>
      <c r="G95" s="72">
        <f>F65-G65</f>
        <v>-55767951.809335232</v>
      </c>
      <c r="H95" s="72">
        <f>G65-H65</f>
        <v>-132680595.44748831</v>
      </c>
      <c r="I95" s="72">
        <f>H65-I65</f>
        <v>-187971419.22237396</v>
      </c>
      <c r="J95" s="72">
        <f>I65-J65</f>
        <v>-155995095.49756908</v>
      </c>
      <c r="K95" s="72">
        <f>J65-K65</f>
        <v>-12445165.341611862</v>
      </c>
      <c r="L95" s="11"/>
    </row>
    <row r="96" spans="1:12" x14ac:dyDescent="0.2">
      <c r="A96" s="1"/>
      <c r="B96" s="45" t="s">
        <v>67</v>
      </c>
      <c r="C96" s="72">
        <f>'Cash Flow Statement'!B20</f>
        <v>0</v>
      </c>
      <c r="D96" s="72">
        <f>'Cash Flow Statement'!C20</f>
        <v>-302500000</v>
      </c>
      <c r="E96" s="72">
        <f>'Cash Flow Statement'!D20</f>
        <v>-546700000</v>
      </c>
      <c r="F96" s="72">
        <f>'Cash Flow Statement'!E20</f>
        <v>-220300000</v>
      </c>
      <c r="G96" s="72">
        <f>F96</f>
        <v>-220300000</v>
      </c>
      <c r="H96" s="72">
        <f t="shared" ref="H96:K96" si="28">G96</f>
        <v>-220300000</v>
      </c>
      <c r="I96" s="72">
        <f t="shared" si="28"/>
        <v>-220300000</v>
      </c>
      <c r="J96" s="72">
        <f t="shared" si="28"/>
        <v>-220300000</v>
      </c>
      <c r="K96" s="72">
        <f t="shared" si="28"/>
        <v>-220300000</v>
      </c>
      <c r="L96" s="11"/>
    </row>
    <row r="97" spans="1:12" x14ac:dyDescent="0.2">
      <c r="A97" s="1"/>
      <c r="B97" s="45" t="s">
        <v>264</v>
      </c>
      <c r="C97" s="72">
        <f>'Cash Flow Statement'!B18</f>
        <v>44400000</v>
      </c>
      <c r="D97" s="72">
        <f>'Cash Flow Statement'!C18</f>
        <v>284000000</v>
      </c>
      <c r="E97" s="72">
        <f>'Cash Flow Statement'!D18</f>
        <v>129300000</v>
      </c>
      <c r="F97" s="72">
        <f>'Cash Flow Statement'!E18</f>
        <v>206200000</v>
      </c>
      <c r="G97" s="72">
        <f>AVERAGE(C97:F97)</f>
        <v>165975000</v>
      </c>
      <c r="H97" s="72">
        <f t="shared" ref="H97:K97" si="29">AVERAGE(D97:G97)</f>
        <v>196368750</v>
      </c>
      <c r="I97" s="72">
        <f t="shared" si="29"/>
        <v>174460937.5</v>
      </c>
      <c r="J97" s="72">
        <f t="shared" si="29"/>
        <v>185751171.875</v>
      </c>
      <c r="K97" s="72">
        <f t="shared" si="29"/>
        <v>180638964.84375</v>
      </c>
      <c r="L97" s="11"/>
    </row>
    <row r="98" spans="1:12" ht="16" customHeight="1" x14ac:dyDescent="0.2">
      <c r="A98" s="1"/>
      <c r="B98" s="47" t="s">
        <v>69</v>
      </c>
      <c r="C98" s="104">
        <f>'Cash Flow Statement'!B22</f>
        <v>6265200000</v>
      </c>
      <c r="D98" s="104">
        <f>'Cash Flow Statement'!C22</f>
        <v>9141500000</v>
      </c>
      <c r="E98" s="104">
        <f>'Cash Flow Statement'!D22</f>
        <v>7386700000</v>
      </c>
      <c r="F98" s="104">
        <f>'Cash Flow Statement'!E22</f>
        <v>9611900000</v>
      </c>
      <c r="G98" s="86">
        <f>SUM(G87:G88,G93:G97)</f>
        <v>12320743823.029795</v>
      </c>
      <c r="H98" s="86">
        <f t="shared" ref="H98:K98" si="30">SUM(H87:H88,H93:H97)</f>
        <v>12679825299.560593</v>
      </c>
      <c r="I98" s="86">
        <f t="shared" si="30"/>
        <v>12913783596.27887</v>
      </c>
      <c r="J98" s="86">
        <f t="shared" si="30"/>
        <v>13170945315.02689</v>
      </c>
      <c r="K98" s="86">
        <f t="shared" si="30"/>
        <v>13526904059.175373</v>
      </c>
      <c r="L98" s="11"/>
    </row>
    <row r="99" spans="1:12" x14ac:dyDescent="0.2">
      <c r="A99" s="1"/>
      <c r="B99" s="44"/>
      <c r="C99" s="72"/>
      <c r="D99" s="72"/>
      <c r="E99" s="72"/>
      <c r="F99" s="106"/>
      <c r="G99" s="7"/>
      <c r="H99" s="7"/>
      <c r="I99" s="7"/>
      <c r="J99" s="7"/>
      <c r="K99" s="7"/>
      <c r="L99" s="11"/>
    </row>
    <row r="100" spans="1:12" x14ac:dyDescent="0.2">
      <c r="A100" s="1"/>
      <c r="B100" s="45" t="s">
        <v>70</v>
      </c>
      <c r="C100" s="72">
        <f>'Cash Flow Statement'!B26</f>
        <v>27400000</v>
      </c>
      <c r="D100" s="72">
        <f>'Cash Flow Statement'!C26</f>
        <v>106200000</v>
      </c>
      <c r="E100" s="72">
        <f>'Cash Flow Statement'!D26</f>
        <v>38900000</v>
      </c>
      <c r="F100" s="72">
        <f>'Cash Flow Statement'!E26</f>
        <v>94900000</v>
      </c>
      <c r="G100" s="72">
        <f>G122</f>
        <v>-2326583363.7431712</v>
      </c>
      <c r="H100" s="72">
        <f>H122</f>
        <v>-2419646698.2928982</v>
      </c>
      <c r="I100" s="72">
        <f>I122</f>
        <v>-2492236099.2416849</v>
      </c>
      <c r="J100" s="72">
        <f>J122</f>
        <v>-2542080821.2265191</v>
      </c>
      <c r="K100" s="72">
        <f>K122</f>
        <v>-2592922437.6510491</v>
      </c>
      <c r="L100" s="11"/>
    </row>
    <row r="101" spans="1:12" x14ac:dyDescent="0.2">
      <c r="A101" s="1"/>
      <c r="B101" s="45" t="s">
        <v>71</v>
      </c>
      <c r="C101" s="72">
        <f>'Cash Flow Statement'!B29</f>
        <v>10200000</v>
      </c>
      <c r="D101" s="72">
        <f>'Cash Flow Statement'!C29</f>
        <v>-178000000</v>
      </c>
      <c r="E101" s="72">
        <f>'Cash Flow Statement'!D29</f>
        <v>-361100000</v>
      </c>
      <c r="F101" s="72">
        <f>'Cash Flow Statement'!E29</f>
        <v>-245900000</v>
      </c>
      <c r="G101" s="72"/>
      <c r="H101" s="72"/>
      <c r="I101" s="72"/>
      <c r="J101" s="72"/>
      <c r="K101" s="72"/>
      <c r="L101" s="11"/>
    </row>
    <row r="102" spans="1:12" x14ac:dyDescent="0.2">
      <c r="A102" s="1"/>
      <c r="B102" s="45" t="s">
        <v>72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11"/>
    </row>
    <row r="103" spans="1:12" x14ac:dyDescent="0.2">
      <c r="A103" s="1"/>
      <c r="B103" s="45" t="s">
        <v>83</v>
      </c>
      <c r="C103" s="72">
        <f>'Cash Flow Statement'!B24</f>
        <v>-1640800000</v>
      </c>
      <c r="D103" s="72">
        <f>'Cash Flow Statement'!C24</f>
        <v>-2040000000</v>
      </c>
      <c r="E103" s="72">
        <f>'Cash Flow Statement'!D24</f>
        <v>-1899200000</v>
      </c>
      <c r="F103" s="72">
        <f>'Cash Flow Statement'!E24</f>
        <v>-2357400000</v>
      </c>
      <c r="G103" s="72">
        <f>AVERAGE(C103:F103)</f>
        <v>-1984350000</v>
      </c>
      <c r="H103" s="72">
        <f t="shared" ref="H103:K103" si="31">AVERAGE(D103:G103)</f>
        <v>-2070237500</v>
      </c>
      <c r="I103" s="72">
        <f t="shared" si="31"/>
        <v>-2077796875</v>
      </c>
      <c r="J103" s="72">
        <f t="shared" si="31"/>
        <v>-2122446093.75</v>
      </c>
      <c r="K103" s="72">
        <f t="shared" si="31"/>
        <v>-2063707617.1875</v>
      </c>
      <c r="L103" s="11"/>
    </row>
    <row r="104" spans="1:12" x14ac:dyDescent="0.2">
      <c r="A104" s="1"/>
      <c r="B104" s="45" t="s">
        <v>211</v>
      </c>
      <c r="C104" s="72">
        <f>'Cash Flow Statement'!B30</f>
        <v>57400000</v>
      </c>
      <c r="D104" s="72">
        <f>'Cash Flow Statement'!C30</f>
        <v>-53900000</v>
      </c>
      <c r="E104" s="72">
        <f>'Cash Flow Statement'!D30</f>
        <v>-456700000</v>
      </c>
      <c r="F104" s="72">
        <f>'Cash Flow Statement'!E30</f>
        <v>-676100000</v>
      </c>
      <c r="G104" s="72"/>
      <c r="H104" s="72"/>
      <c r="I104" s="72"/>
      <c r="J104" s="72"/>
      <c r="K104" s="72"/>
      <c r="L104" s="11"/>
    </row>
    <row r="105" spans="1:12" ht="16" customHeight="1" x14ac:dyDescent="0.2">
      <c r="A105" s="1"/>
      <c r="B105" s="47" t="s">
        <v>73</v>
      </c>
      <c r="C105" s="104">
        <f>SUM(C100:C104)</f>
        <v>-1545800000</v>
      </c>
      <c r="D105" s="104">
        <f t="shared" ref="D105:F105" si="32">SUM(D100:D104)</f>
        <v>-2165700000</v>
      </c>
      <c r="E105" s="104">
        <f t="shared" si="32"/>
        <v>-2678100000</v>
      </c>
      <c r="F105" s="104">
        <f t="shared" si="32"/>
        <v>-3184500000</v>
      </c>
      <c r="G105" s="107">
        <f t="shared" ref="G105:K105" si="33">SUM(G100:G104)</f>
        <v>-4310933363.7431717</v>
      </c>
      <c r="H105" s="104">
        <f t="shared" si="33"/>
        <v>-4489884198.2928982</v>
      </c>
      <c r="I105" s="104">
        <f t="shared" si="33"/>
        <v>-4570032974.2416849</v>
      </c>
      <c r="J105" s="104">
        <f t="shared" si="33"/>
        <v>-4664526914.9765186</v>
      </c>
      <c r="K105" s="105">
        <f t="shared" si="33"/>
        <v>-4656630054.8385487</v>
      </c>
      <c r="L105" s="11"/>
    </row>
    <row r="106" spans="1:12" ht="16" customHeight="1" x14ac:dyDescent="0.2">
      <c r="A106" s="1"/>
      <c r="B106" s="47"/>
      <c r="C106" s="72"/>
      <c r="D106" s="72"/>
      <c r="E106" s="72"/>
      <c r="F106" s="72"/>
      <c r="G106" s="72"/>
      <c r="H106" s="72"/>
      <c r="I106" s="72"/>
      <c r="J106" s="72"/>
      <c r="K106" s="72"/>
      <c r="L106" s="11"/>
    </row>
    <row r="107" spans="1:12" x14ac:dyDescent="0.2">
      <c r="A107" s="1"/>
      <c r="B107" s="44"/>
      <c r="C107" s="72"/>
      <c r="D107" s="72"/>
      <c r="E107" s="72"/>
      <c r="F107" s="106"/>
      <c r="G107" s="72"/>
      <c r="H107" s="72"/>
      <c r="I107" s="72"/>
      <c r="J107" s="72"/>
      <c r="K107" s="72"/>
      <c r="L107" s="11"/>
    </row>
    <row r="108" spans="1:12" x14ac:dyDescent="0.2">
      <c r="A108" s="1"/>
      <c r="B108" t="s">
        <v>277</v>
      </c>
      <c r="C108" s="72">
        <f>'Cash Flow Statement'!B37</f>
        <v>2238200000</v>
      </c>
      <c r="D108" s="72">
        <f>'Cash Flow Statement'!C37</f>
        <v>-1070500000</v>
      </c>
      <c r="E108" s="72">
        <f>'Cash Flow Statement'!D37</f>
        <v>1197600000</v>
      </c>
      <c r="F108" s="72">
        <f>'Cash Flow Statement'!E37</f>
        <v>2992800000</v>
      </c>
      <c r="G108" s="72">
        <f>AVERAGE($C$108:$F$108)</f>
        <v>1339525000</v>
      </c>
      <c r="H108" s="72">
        <f>AVERAGE($C$108:$F$108)</f>
        <v>1339525000</v>
      </c>
      <c r="I108" s="72">
        <f>AVERAGE($C$108:$F$108)</f>
        <v>1339525000</v>
      </c>
      <c r="J108" s="72">
        <f>AVERAGE($C$108:$F$108)</f>
        <v>1339525000</v>
      </c>
      <c r="K108" s="72">
        <f>AVERAGE($C$108:$F$108)</f>
        <v>1339525000</v>
      </c>
      <c r="L108" s="11"/>
    </row>
    <row r="109" spans="1:12" x14ac:dyDescent="0.2">
      <c r="A109" s="1"/>
      <c r="B109" s="45" t="s">
        <v>74</v>
      </c>
      <c r="C109" s="72">
        <f>'Cash Flow Statement'!B38</f>
        <v>-907800000</v>
      </c>
      <c r="D109" s="72">
        <f>'Cash Flow Statement'!C38</f>
        <v>-845500000</v>
      </c>
      <c r="E109" s="72">
        <f>'Cash Flow Statement'!D38</f>
        <v>-3896000000</v>
      </c>
      <c r="F109" s="72">
        <f>'Cash Flow Statement'!E38</f>
        <v>-3054300000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11"/>
    </row>
    <row r="110" spans="1:12" x14ac:dyDescent="0.2">
      <c r="A110" s="1"/>
      <c r="B110" s="45" t="s">
        <v>75</v>
      </c>
      <c r="C110" s="72">
        <f>'Cash Flow Statement'!B40</f>
        <v>-3752900000</v>
      </c>
      <c r="D110" s="72">
        <f>'Cash Flow Statement'!C40</f>
        <v>-3918600000</v>
      </c>
      <c r="E110" s="72">
        <f>'Cash Flow Statement'!D40</f>
        <v>-4168200000</v>
      </c>
      <c r="F110" s="72">
        <f>'Cash Flow Statement'!E40</f>
        <v>-4532800000</v>
      </c>
      <c r="G110" s="72">
        <f>AVERAGE(C109:F109)</f>
        <v>-2175900000</v>
      </c>
      <c r="H110" s="72">
        <f t="shared" ref="H110:K111" si="34">AVERAGE(D110:G110)</f>
        <v>-3698875000</v>
      </c>
      <c r="I110" s="72">
        <f t="shared" si="34"/>
        <v>-3643943750</v>
      </c>
      <c r="J110" s="72">
        <f t="shared" si="34"/>
        <v>-3512879687.5</v>
      </c>
      <c r="K110" s="72">
        <f t="shared" si="34"/>
        <v>-3257899609.375</v>
      </c>
      <c r="L110" s="11"/>
    </row>
    <row r="111" spans="1:12" x14ac:dyDescent="0.2">
      <c r="A111" s="1"/>
      <c r="B111" s="45" t="s">
        <v>268</v>
      </c>
      <c r="C111" s="72">
        <f>'Cash Flow Statement'!B42</f>
        <v>295500000</v>
      </c>
      <c r="D111" s="72">
        <f>'Cash Flow Statement'!C42</f>
        <v>285700000</v>
      </c>
      <c r="E111" s="72">
        <f>'Cash Flow Statement'!D42</f>
        <v>248200000</v>
      </c>
      <c r="F111" s="72">
        <f>'Cash Flow Statement'!E42</f>
        <v>259800000</v>
      </c>
      <c r="G111" s="72">
        <f>AVERAGE(C110:F110)</f>
        <v>-4093125000</v>
      </c>
      <c r="H111" s="72">
        <f t="shared" si="34"/>
        <v>-824856250</v>
      </c>
      <c r="I111" s="72">
        <f t="shared" si="34"/>
        <v>-1102495312.5</v>
      </c>
      <c r="J111" s="72">
        <f t="shared" si="34"/>
        <v>-1440169140.625</v>
      </c>
      <c r="K111" s="72">
        <f t="shared" si="34"/>
        <v>-1865161425.78125</v>
      </c>
      <c r="L111" s="11"/>
    </row>
    <row r="112" spans="1:12" x14ac:dyDescent="0.2">
      <c r="A112" s="1"/>
      <c r="B112" s="45" t="s">
        <v>76</v>
      </c>
      <c r="C112" s="72">
        <f>'Cash Flow Statement'!B43</f>
        <v>-122000000</v>
      </c>
      <c r="D112" s="72">
        <f>'Cash Flow Statement'!C43</f>
        <v>-46700000</v>
      </c>
      <c r="E112" s="72">
        <f>'Cash Flow Statement'!D43</f>
        <v>38200000</v>
      </c>
      <c r="F112" s="72">
        <f>'Cash Flow Statement'!E43</f>
        <v>-39600000</v>
      </c>
      <c r="G112" s="72">
        <v>0</v>
      </c>
      <c r="H112" s="72">
        <v>0</v>
      </c>
      <c r="I112" s="72">
        <v>0</v>
      </c>
      <c r="J112" s="72">
        <v>0</v>
      </c>
      <c r="K112" s="72">
        <v>0</v>
      </c>
      <c r="L112" s="11"/>
    </row>
    <row r="113" spans="1:12" ht="16" customHeight="1" x14ac:dyDescent="0.2">
      <c r="A113" s="1"/>
      <c r="B113" s="47" t="s">
        <v>77</v>
      </c>
      <c r="C113" s="104">
        <f>SUM(C108:C112)</f>
        <v>-2249000000</v>
      </c>
      <c r="D113" s="104">
        <f t="shared" ref="D113:K113" si="35">SUM(D108:D112)</f>
        <v>-5595600000</v>
      </c>
      <c r="E113" s="104">
        <f t="shared" si="35"/>
        <v>-6580200000</v>
      </c>
      <c r="F113" s="105">
        <f t="shared" si="35"/>
        <v>-4374100000</v>
      </c>
      <c r="G113" s="107">
        <f t="shared" si="35"/>
        <v>-4929500000</v>
      </c>
      <c r="H113" s="104">
        <f t="shared" si="35"/>
        <v>-3184206250</v>
      </c>
      <c r="I113" s="104">
        <f t="shared" si="35"/>
        <v>-3406914062.5</v>
      </c>
      <c r="J113" s="104">
        <f t="shared" si="35"/>
        <v>-3613523828.125</v>
      </c>
      <c r="K113" s="105">
        <f t="shared" si="35"/>
        <v>-3783536035.15625</v>
      </c>
      <c r="L113" s="11"/>
    </row>
    <row r="114" spans="1:12" ht="16" customHeight="1" x14ac:dyDescent="0.2">
      <c r="A114" s="1"/>
      <c r="B114" s="47"/>
      <c r="C114" s="72"/>
      <c r="D114" s="72"/>
      <c r="E114" s="72"/>
      <c r="F114" s="72"/>
      <c r="G114" s="72"/>
      <c r="H114" s="72"/>
      <c r="I114" s="72"/>
      <c r="J114" s="72"/>
      <c r="K114" s="106"/>
      <c r="L114" s="11"/>
    </row>
    <row r="115" spans="1:12" x14ac:dyDescent="0.2">
      <c r="A115" s="1"/>
      <c r="B115" s="44"/>
      <c r="C115" s="72"/>
      <c r="D115" s="72"/>
      <c r="E115" s="72"/>
      <c r="F115" s="106"/>
      <c r="K115" s="1"/>
      <c r="L115" s="11"/>
    </row>
    <row r="116" spans="1:12" x14ac:dyDescent="0.2">
      <c r="A116" s="1"/>
      <c r="B116" s="45" t="s">
        <v>78</v>
      </c>
      <c r="C116" s="72">
        <f>'Cash Flow Statement'!B47</f>
        <v>80200000</v>
      </c>
      <c r="D116" s="72">
        <f>'Cash Flow Statement'!C47</f>
        <v>-120100000</v>
      </c>
      <c r="E116" s="72">
        <f>'Cash Flow Statement'!D47</f>
        <v>-253800000</v>
      </c>
      <c r="F116" s="72">
        <f>'Cash Flow Statement'!E47</f>
        <v>-57800000</v>
      </c>
      <c r="G116" s="6">
        <f>AVERAGE(C116:F116)</f>
        <v>-87875000</v>
      </c>
      <c r="H116" s="6">
        <f t="shared" ref="H116:K116" si="36">AVERAGE(D116:G116)</f>
        <v>-129893750</v>
      </c>
      <c r="I116" s="6">
        <f t="shared" si="36"/>
        <v>-132342187.5</v>
      </c>
      <c r="J116" s="6">
        <f t="shared" si="36"/>
        <v>-101977734.375</v>
      </c>
      <c r="K116" s="6">
        <f t="shared" si="36"/>
        <v>-113022167.96875</v>
      </c>
      <c r="L116" s="11"/>
    </row>
    <row r="117" spans="1:12" x14ac:dyDescent="0.2">
      <c r="A117" s="1"/>
      <c r="B117" s="45" t="s">
        <v>79</v>
      </c>
      <c r="C117" s="104">
        <f>'Cash Flow Statement'!B46</f>
        <v>2470400000</v>
      </c>
      <c r="D117" s="104">
        <f>'Cash Flow Statement'!C46</f>
        <v>1380200000</v>
      </c>
      <c r="E117" s="104">
        <f>'Cash Flow Statement'!D46</f>
        <v>-1871600000</v>
      </c>
      <c r="F117" s="104">
        <f>'Cash Flow Statement'!E46</f>
        <v>2053300000</v>
      </c>
      <c r="G117" s="93">
        <f>G98+G105+G113</f>
        <v>3080310459.286623</v>
      </c>
      <c r="H117" s="93">
        <f>H98+H105+H113</f>
        <v>5005734851.2676945</v>
      </c>
      <c r="I117" s="93">
        <f>I98+I105+I113</f>
        <v>4936836559.5371847</v>
      </c>
      <c r="J117" s="93">
        <f>J98+J105+J113</f>
        <v>4892894571.9253712</v>
      </c>
      <c r="K117" s="82">
        <f>K98+K105+K113</f>
        <v>5086737969.1805744</v>
      </c>
      <c r="L117" s="11"/>
    </row>
    <row r="118" spans="1:12" x14ac:dyDescent="0.2">
      <c r="A118" s="1"/>
      <c r="B118" s="45" t="s">
        <v>80</v>
      </c>
      <c r="C118" s="72">
        <f>'Cash Flow Statement'!B50</f>
        <v>3449100000</v>
      </c>
      <c r="D118" s="72">
        <f>'Cash Flow Statement'!C50</f>
        <v>4709200000</v>
      </c>
      <c r="E118" s="72">
        <f>'Cash Flow Statement'!D50</f>
        <v>2583800000</v>
      </c>
      <c r="F118" s="72">
        <f>'Cash Flow Statement'!E50</f>
        <v>4579300000</v>
      </c>
      <c r="G118" s="6">
        <f>G117+G119</f>
        <v>7659610459.286623</v>
      </c>
      <c r="H118" s="6">
        <f>H117+H119</f>
        <v>12665345310.554317</v>
      </c>
      <c r="I118" s="6">
        <f>I117+I119</f>
        <v>17602181870.091503</v>
      </c>
      <c r="J118" s="6">
        <f>J117+J119</f>
        <v>22495076442.016876</v>
      </c>
      <c r="K118" s="6">
        <f>K117+K119</f>
        <v>27581814411.197449</v>
      </c>
      <c r="L118" s="11"/>
    </row>
    <row r="119" spans="1:12" x14ac:dyDescent="0.2">
      <c r="A119" s="1"/>
      <c r="B119" s="45" t="s">
        <v>81</v>
      </c>
      <c r="C119" s="72">
        <f>'Cash Flow Statement'!B48</f>
        <v>898500000</v>
      </c>
      <c r="D119" s="72">
        <f>'Cash Flow Statement'!C48</f>
        <v>3449100000</v>
      </c>
      <c r="E119" s="72">
        <f>'Cash Flow Statement'!D48</f>
        <v>4709200000</v>
      </c>
      <c r="F119" s="72">
        <f>'Cash Flow Statement'!E48</f>
        <v>2583800000</v>
      </c>
      <c r="G119" s="49">
        <f t="shared" ref="G119:K119" si="37">F118</f>
        <v>4579300000</v>
      </c>
      <c r="H119" s="49">
        <f t="shared" si="37"/>
        <v>7659610459.286623</v>
      </c>
      <c r="I119" s="49">
        <f t="shared" si="37"/>
        <v>12665345310.554317</v>
      </c>
      <c r="J119" s="49">
        <f t="shared" si="37"/>
        <v>17602181870.091503</v>
      </c>
      <c r="K119" s="49">
        <f t="shared" si="37"/>
        <v>22495076442.016876</v>
      </c>
      <c r="L119" s="11"/>
    </row>
    <row r="120" spans="1:12" x14ac:dyDescent="0.2">
      <c r="A120" s="1"/>
      <c r="B120" s="45" t="s">
        <v>278</v>
      </c>
      <c r="C120" s="72">
        <f>'Cash Flow Statement'!B56</f>
        <v>-907800000</v>
      </c>
      <c r="D120" s="72">
        <f>'Cash Flow Statement'!C56</f>
        <v>-845500000</v>
      </c>
      <c r="E120" s="72">
        <f>'Cash Flow Statement'!D56</f>
        <v>-3896000000</v>
      </c>
      <c r="F120" s="72">
        <f>'Cash Flow Statement'!E56</f>
        <v>-3054300000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11"/>
    </row>
    <row r="121" spans="1:12" x14ac:dyDescent="0.2">
      <c r="A121" s="1"/>
      <c r="B121" s="45" t="s">
        <v>82</v>
      </c>
      <c r="C121" s="72">
        <f>C98</f>
        <v>6265200000</v>
      </c>
      <c r="D121" s="72">
        <f t="shared" ref="D121:F121" si="38">D98</f>
        <v>9141500000</v>
      </c>
      <c r="E121" s="72">
        <f t="shared" si="38"/>
        <v>7386700000</v>
      </c>
      <c r="F121" s="72">
        <f t="shared" si="38"/>
        <v>9611900000</v>
      </c>
      <c r="G121" s="6">
        <f>G98</f>
        <v>12320743823.029795</v>
      </c>
      <c r="H121" s="6">
        <f>H98</f>
        <v>12679825299.560593</v>
      </c>
      <c r="I121" s="6">
        <f>I98</f>
        <v>12913783596.27887</v>
      </c>
      <c r="J121" s="6">
        <f>J98</f>
        <v>13170945315.02689</v>
      </c>
      <c r="K121" s="6">
        <f>K98</f>
        <v>13526904059.175373</v>
      </c>
      <c r="L121" s="11"/>
    </row>
    <row r="122" spans="1:12" x14ac:dyDescent="0.2">
      <c r="A122" s="1"/>
      <c r="B122" s="45" t="s">
        <v>83</v>
      </c>
      <c r="C122" s="72">
        <f>'Cash Flow Statement'!B53</f>
        <v>-1640800000</v>
      </c>
      <c r="D122" s="72">
        <f>'Cash Flow Statement'!C53</f>
        <v>-2040000000</v>
      </c>
      <c r="E122" s="72">
        <f>'Cash Flow Statement'!D53</f>
        <v>-1899200000</v>
      </c>
      <c r="F122" s="72">
        <f>'Cash Flow Statement'!E53</f>
        <v>-2357400000</v>
      </c>
      <c r="G122" s="6">
        <f>G11*G123</f>
        <v>-2326583363.7431712</v>
      </c>
      <c r="H122" s="6">
        <f>H11*H123</f>
        <v>-2419646698.2928982</v>
      </c>
      <c r="I122" s="6">
        <f>I11*I123</f>
        <v>-2492236099.2416849</v>
      </c>
      <c r="J122" s="6">
        <f>J11*J123</f>
        <v>-2542080821.2265191</v>
      </c>
      <c r="K122" s="6">
        <f>K11*K123</f>
        <v>-2592922437.6510491</v>
      </c>
      <c r="L122" s="11"/>
    </row>
    <row r="123" spans="1:12" ht="16" customHeight="1" x14ac:dyDescent="0.2">
      <c r="A123" s="1"/>
      <c r="B123" s="48" t="s">
        <v>84</v>
      </c>
      <c r="C123" s="8">
        <f>C122/C11</f>
        <v>-8.542362998365248E-2</v>
      </c>
      <c r="D123" s="8">
        <f>D122/D11</f>
        <v>-8.7844326074693516E-2</v>
      </c>
      <c r="E123" s="8">
        <f>E122/E11</f>
        <v>-8.1923511599216653E-2</v>
      </c>
      <c r="F123" s="16">
        <f>F122/F11</f>
        <v>-9.2469904329304881E-2</v>
      </c>
      <c r="G123" s="32">
        <f>AVERAGE($C$123:$F$123)</f>
        <v>-8.6915342996716882E-2</v>
      </c>
      <c r="H123" s="32">
        <f>AVERAGE($C$123:$F$123)</f>
        <v>-8.6915342996716882E-2</v>
      </c>
      <c r="I123" s="32">
        <f>AVERAGE($C$123:$F$123)</f>
        <v>-8.6915342996716882E-2</v>
      </c>
      <c r="J123" s="32">
        <f>AVERAGE($C$123:$F$123)</f>
        <v>-8.6915342996716882E-2</v>
      </c>
      <c r="K123" s="32">
        <f>AVERAGE($C$123:$F$123)</f>
        <v>-8.6915342996716882E-2</v>
      </c>
      <c r="L123" s="11"/>
    </row>
    <row r="124" spans="1:12" ht="16" customHeight="1" x14ac:dyDescent="0.2">
      <c r="A124" s="1"/>
      <c r="B124" s="66" t="s">
        <v>85</v>
      </c>
      <c r="C124" s="104">
        <f>SUM(C121:C122)</f>
        <v>4624400000</v>
      </c>
      <c r="D124" s="104">
        <f t="shared" ref="D124:E124" si="39">SUM(D121:D122)</f>
        <v>7101500000</v>
      </c>
      <c r="E124" s="104">
        <f t="shared" si="39"/>
        <v>5487500000</v>
      </c>
      <c r="F124" s="104">
        <f>SUM(F121:F122)</f>
        <v>7254500000</v>
      </c>
      <c r="G124" s="112">
        <f>SUM(G121:G122)</f>
        <v>9994160459.286623</v>
      </c>
      <c r="H124" s="112">
        <f t="shared" ref="H124:K124" si="40">SUM(H121:H122)</f>
        <v>10260178601.267694</v>
      </c>
      <c r="I124" s="112">
        <f t="shared" si="40"/>
        <v>10421547497.037186</v>
      </c>
      <c r="J124" s="112">
        <f t="shared" si="40"/>
        <v>10628864493.800371</v>
      </c>
      <c r="K124" s="112">
        <f t="shared" si="40"/>
        <v>10933981621.524324</v>
      </c>
      <c r="L124" s="11"/>
    </row>
    <row r="125" spans="1:12" x14ac:dyDescent="0.2">
      <c r="C125" s="72"/>
      <c r="D125" s="72"/>
      <c r="E125" s="72"/>
      <c r="F125" s="72"/>
    </row>
    <row r="128" spans="1:12" x14ac:dyDescent="0.2">
      <c r="H128" s="72"/>
    </row>
    <row r="132" spans="4:6" x14ac:dyDescent="0.2">
      <c r="D132" s="113"/>
      <c r="E132" s="113"/>
      <c r="F132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98"/>
  <sheetViews>
    <sheetView showGridLines="0" tabSelected="1" topLeftCell="A4" zoomScale="125" workbookViewId="0">
      <selection activeCell="C8" sqref="C8"/>
    </sheetView>
  </sheetViews>
  <sheetFormatPr baseColWidth="10" defaultRowHeight="15" x14ac:dyDescent="0.2"/>
  <cols>
    <col min="1" max="1" width="3.6640625" customWidth="1"/>
    <col min="2" max="2" width="25.6640625" customWidth="1"/>
    <col min="3" max="3" width="23.33203125" customWidth="1"/>
    <col min="4" max="4" width="22" customWidth="1"/>
    <col min="5" max="6" width="23.33203125" customWidth="1"/>
    <col min="7" max="7" width="22" customWidth="1"/>
    <col min="8" max="9" width="23.33203125" customWidth="1"/>
    <col min="10" max="10" width="19.5" bestFit="1" customWidth="1"/>
    <col min="11" max="11" width="18.33203125" customWidth="1"/>
    <col min="12" max="12" width="19.33203125" bestFit="1" customWidth="1"/>
    <col min="13" max="13" width="29.33203125" bestFit="1" customWidth="1"/>
    <col min="14" max="14" width="19" bestFit="1" customWidth="1"/>
    <col min="15" max="18" width="19.5" bestFit="1" customWidth="1"/>
    <col min="19" max="19" width="17.33203125" bestFit="1" customWidth="1"/>
    <col min="20" max="25" width="17.1640625" customWidth="1"/>
    <col min="26" max="26" width="18.5" bestFit="1" customWidth="1"/>
    <col min="27" max="27" width="18.33203125" bestFit="1" customWidth="1"/>
  </cols>
  <sheetData>
    <row r="2" spans="2:15" ht="30" customHeight="1" x14ac:dyDescent="0.2">
      <c r="B2" s="40" t="s">
        <v>86</v>
      </c>
      <c r="C2" s="41"/>
      <c r="E2" s="40" t="s">
        <v>87</v>
      </c>
      <c r="F2" s="42"/>
    </row>
    <row r="3" spans="2:15" x14ac:dyDescent="0.2">
      <c r="B3" s="22" t="s">
        <v>88</v>
      </c>
      <c r="C3" s="77">
        <f>F20</f>
        <v>7.6193677377639768E-2</v>
      </c>
      <c r="E3" s="22" t="s">
        <v>89</v>
      </c>
      <c r="F3" s="77">
        <v>3.8100000000000002E-2</v>
      </c>
    </row>
    <row r="4" spans="2:15" x14ac:dyDescent="0.2">
      <c r="B4" s="22"/>
      <c r="C4" s="1"/>
      <c r="E4" s="22" t="s">
        <v>90</v>
      </c>
      <c r="F4" s="78">
        <v>3.7400000000000003E-2</v>
      </c>
    </row>
    <row r="5" spans="2:15" x14ac:dyDescent="0.2">
      <c r="B5" s="22" t="s">
        <v>91</v>
      </c>
      <c r="C5" s="119">
        <v>0.02</v>
      </c>
      <c r="E5" s="22"/>
      <c r="F5" s="1"/>
    </row>
    <row r="6" spans="2:15" x14ac:dyDescent="0.2">
      <c r="B6" s="22" t="s">
        <v>92</v>
      </c>
      <c r="C6" s="94">
        <f>(G27*(1+C5))/(C3-C5)</f>
        <v>198468257896.79691</v>
      </c>
      <c r="E6" s="22" t="s">
        <v>93</v>
      </c>
      <c r="F6" s="77">
        <f>AVERAGE(F3:F4)</f>
        <v>3.7750000000000006E-2</v>
      </c>
    </row>
    <row r="7" spans="2:15" x14ac:dyDescent="0.2">
      <c r="B7" s="22"/>
      <c r="C7" s="1"/>
      <c r="E7" s="22" t="s">
        <v>94</v>
      </c>
      <c r="F7" s="1">
        <v>0.71</v>
      </c>
    </row>
    <row r="8" spans="2:15" x14ac:dyDescent="0.2">
      <c r="B8" s="22" t="s">
        <v>95</v>
      </c>
      <c r="C8" s="94">
        <f>C6/((1+C3)^5)</f>
        <v>137479795154.21985</v>
      </c>
      <c r="E8" s="22" t="s">
        <v>96</v>
      </c>
      <c r="F8" s="79">
        <v>5.5E-2</v>
      </c>
      <c r="H8" s="110"/>
      <c r="I8" s="72"/>
      <c r="K8" s="110"/>
    </row>
    <row r="9" spans="2:15" x14ac:dyDescent="0.2">
      <c r="B9" s="22" t="s">
        <v>97</v>
      </c>
      <c r="C9" s="95">
        <f>SUM(C28:G28)</f>
        <v>42004077999.848053</v>
      </c>
      <c r="E9" s="43" t="s">
        <v>98</v>
      </c>
      <c r="F9" s="80">
        <f>F6+F7*(F8)</f>
        <v>7.6800000000000007E-2</v>
      </c>
      <c r="H9" s="110"/>
      <c r="I9" s="72"/>
    </row>
    <row r="10" spans="2:15" x14ac:dyDescent="0.2">
      <c r="B10" s="22" t="s">
        <v>99</v>
      </c>
      <c r="C10" s="96">
        <f>SUM(C8:C9)</f>
        <v>179483873154.0679</v>
      </c>
      <c r="E10" s="22"/>
      <c r="F10" s="1"/>
    </row>
    <row r="11" spans="2:15" x14ac:dyDescent="0.2">
      <c r="B11" s="22"/>
      <c r="C11" s="1"/>
      <c r="E11" s="22" t="s">
        <v>100</v>
      </c>
      <c r="F11" s="33">
        <f>'Statement Model'!C7</f>
        <v>0.19500000000000001</v>
      </c>
    </row>
    <row r="12" spans="2:15" x14ac:dyDescent="0.2">
      <c r="B12" s="22" t="s">
        <v>101</v>
      </c>
      <c r="C12" s="1"/>
      <c r="E12" s="22" t="s">
        <v>102</v>
      </c>
      <c r="F12" s="81">
        <v>3416000000000</v>
      </c>
    </row>
    <row r="13" spans="2:15" x14ac:dyDescent="0.2">
      <c r="B13" s="22" t="s">
        <v>103</v>
      </c>
      <c r="C13" s="96">
        <f>C10-C12</f>
        <v>179483873154.0679</v>
      </c>
      <c r="E13" s="22" t="s">
        <v>104</v>
      </c>
      <c r="F13" s="59">
        <f>'Balance Sheet'!E2</f>
        <v>4579300000</v>
      </c>
    </row>
    <row r="14" spans="2:15" x14ac:dyDescent="0.2">
      <c r="B14" s="22"/>
      <c r="C14" s="1"/>
      <c r="E14" s="22" t="s">
        <v>105</v>
      </c>
      <c r="F14" s="7">
        <f>'Balance Sheet'!E65</f>
        <v>53091100000</v>
      </c>
      <c r="K14" s="111"/>
      <c r="L14" s="111"/>
      <c r="M14" s="111"/>
      <c r="N14" s="111"/>
      <c r="O14" s="111"/>
    </row>
    <row r="15" spans="2:15" x14ac:dyDescent="0.2">
      <c r="B15" s="22" t="s">
        <v>106</v>
      </c>
      <c r="C15" s="97">
        <f>C13/'Statement Model'!C6</f>
        <v>248.66150339992782</v>
      </c>
      <c r="E15" s="43" t="s">
        <v>107</v>
      </c>
      <c r="F15" s="82">
        <f>F12-F13+F14</f>
        <v>3464511800000</v>
      </c>
    </row>
    <row r="16" spans="2:15" x14ac:dyDescent="0.2">
      <c r="B16" s="22" t="s">
        <v>108</v>
      </c>
      <c r="C16" s="97">
        <f>'Statement Model'!C5</f>
        <v>278.49</v>
      </c>
      <c r="E16" s="22"/>
      <c r="F16" s="1"/>
      <c r="K16" s="7"/>
      <c r="L16" s="7"/>
      <c r="M16" s="7"/>
      <c r="N16" s="7"/>
      <c r="O16" s="7"/>
    </row>
    <row r="17" spans="2:16" x14ac:dyDescent="0.2">
      <c r="B17" s="22"/>
      <c r="C17" s="1"/>
      <c r="E17" s="22" t="s">
        <v>109</v>
      </c>
      <c r="F17" s="76">
        <f>F14</f>
        <v>53091100000</v>
      </c>
      <c r="K17" s="7"/>
      <c r="L17" s="7"/>
      <c r="M17" s="7"/>
      <c r="N17" s="7"/>
      <c r="O17" s="7"/>
    </row>
    <row r="18" spans="2:16" x14ac:dyDescent="0.2">
      <c r="B18" s="44" t="str">
        <f>IF(C18&gt;0,"Potential Upside ($)","Potential Downside ($)")</f>
        <v>Potential Downside ($)</v>
      </c>
      <c r="C18" s="98">
        <f>C15-C16</f>
        <v>-29.828496600072185</v>
      </c>
      <c r="E18" s="22" t="s">
        <v>110</v>
      </c>
      <c r="F18" s="115">
        <v>4.5499999999999999E-2</v>
      </c>
      <c r="K18" s="7"/>
      <c r="L18" s="7"/>
      <c r="M18" s="7"/>
      <c r="N18" s="7"/>
      <c r="O18" s="7"/>
      <c r="P18" s="7"/>
    </row>
    <row r="19" spans="2:16" x14ac:dyDescent="0.2">
      <c r="B19" s="63" t="str">
        <f>IF(C19&gt;0,"Potential Upside (%)","Potential Downside (%)")</f>
        <v>Potential Downside (%)</v>
      </c>
      <c r="C19" s="99">
        <f>C18/C16</f>
        <v>-0.10710796294327331</v>
      </c>
      <c r="E19" s="22"/>
      <c r="F19" s="1"/>
      <c r="K19" s="7"/>
      <c r="L19" s="7"/>
      <c r="M19" s="7"/>
      <c r="N19" s="7"/>
      <c r="O19" s="7"/>
    </row>
    <row r="20" spans="2:16" x14ac:dyDescent="0.2">
      <c r="E20" s="35" t="s">
        <v>111</v>
      </c>
      <c r="F20" s="83">
        <f>(F15/(F15+F17))*F9+(F17/(F15+F17))*F18*(1-F11)</f>
        <v>7.6193677377639768E-2</v>
      </c>
      <c r="K20" s="71"/>
      <c r="L20" s="71"/>
      <c r="M20" s="71"/>
      <c r="N20" s="71"/>
      <c r="O20" s="71"/>
    </row>
    <row r="22" spans="2:16" x14ac:dyDescent="0.2">
      <c r="K22" s="7"/>
      <c r="L22" s="7"/>
      <c r="M22" s="7"/>
      <c r="N22" s="7"/>
    </row>
    <row r="23" spans="2:16" ht="39" customHeight="1" x14ac:dyDescent="0.2">
      <c r="B23" s="38" t="s">
        <v>112</v>
      </c>
      <c r="C23" s="36">
        <f>'Statement Model'!G9</f>
        <v>2024</v>
      </c>
      <c r="D23" s="36">
        <f>'Statement Model'!H9</f>
        <v>2025</v>
      </c>
      <c r="E23" s="36">
        <f>'Statement Model'!I9</f>
        <v>2026</v>
      </c>
      <c r="F23" s="36">
        <f>'Statement Model'!J9</f>
        <v>2027</v>
      </c>
      <c r="G23" s="37">
        <f>'Statement Model'!K9</f>
        <v>2028</v>
      </c>
    </row>
    <row r="24" spans="2:16" x14ac:dyDescent="0.2">
      <c r="B24" s="11"/>
      <c r="G24" s="1"/>
      <c r="J24" s="111"/>
      <c r="K24" s="7"/>
    </row>
    <row r="25" spans="2:16" x14ac:dyDescent="0.2">
      <c r="B25" s="19" t="s">
        <v>113</v>
      </c>
      <c r="C25" s="6">
        <f>'Statement Model'!G32</f>
        <v>12774395172.919115</v>
      </c>
      <c r="D25" s="6">
        <f>'Statement Model'!H32</f>
        <v>13159364616.365828</v>
      </c>
      <c r="E25" s="6">
        <f>'Statement Model'!I32</f>
        <v>13459640782.254265</v>
      </c>
      <c r="F25" s="6">
        <f>'Statement Model'!J32</f>
        <v>13665830416.164324</v>
      </c>
      <c r="G25" s="6">
        <f>'Statement Model'!K32</f>
        <v>13876143842.752584</v>
      </c>
      <c r="J25" s="111"/>
      <c r="K25" s="7"/>
    </row>
    <row r="26" spans="2:16" x14ac:dyDescent="0.2">
      <c r="B26" s="11"/>
      <c r="G26" s="1"/>
      <c r="J26" s="111"/>
      <c r="K26" s="7"/>
    </row>
    <row r="27" spans="2:16" x14ac:dyDescent="0.2">
      <c r="B27" s="19" t="s">
        <v>85</v>
      </c>
      <c r="C27" s="7">
        <f>'Statement Model'!G124</f>
        <v>9994160459.286623</v>
      </c>
      <c r="D27" s="7">
        <f>'Statement Model'!H124</f>
        <v>10260178601.267694</v>
      </c>
      <c r="E27" s="7">
        <f>'Statement Model'!I124</f>
        <v>10421547497.037186</v>
      </c>
      <c r="F27" s="7">
        <f>'Statement Model'!J124</f>
        <v>10628864493.800371</v>
      </c>
      <c r="G27" s="7">
        <f>'Statement Model'!K124</f>
        <v>10933981621.524324</v>
      </c>
      <c r="J27" s="111"/>
      <c r="K27" s="7"/>
    </row>
    <row r="28" spans="2:16" x14ac:dyDescent="0.2">
      <c r="B28" s="39" t="s">
        <v>114</v>
      </c>
      <c r="C28" s="114">
        <f>C27/((1+$C$3)^1)</f>
        <v>9286581652.8855534</v>
      </c>
      <c r="D28" s="114">
        <f>D27/((1+$C$3)^2)</f>
        <v>8858782686.8109589</v>
      </c>
      <c r="E28" s="114">
        <f>E27/((1+$C$3)^3)</f>
        <v>8361051595.9538517</v>
      </c>
      <c r="F28" s="114">
        <f>F27/((1+$C$3)^4)</f>
        <v>7923647108.4719658</v>
      </c>
      <c r="G28" s="114">
        <f>G27/((1+$C$3)^5)</f>
        <v>7574014955.7257195</v>
      </c>
      <c r="I28" s="111"/>
      <c r="J28" s="111"/>
      <c r="K28" s="7"/>
    </row>
    <row r="29" spans="2:16" x14ac:dyDescent="0.2">
      <c r="J29" s="111"/>
      <c r="K29" s="7"/>
    </row>
    <row r="30" spans="2:16" x14ac:dyDescent="0.2">
      <c r="J30" s="111"/>
      <c r="K30" s="7"/>
    </row>
    <row r="37" spans="4:9" x14ac:dyDescent="0.2">
      <c r="D37" s="111"/>
      <c r="E37" s="72"/>
    </row>
    <row r="38" spans="4:9" x14ac:dyDescent="0.2">
      <c r="D38" s="111"/>
      <c r="E38" s="72"/>
      <c r="I38" s="72"/>
    </row>
    <row r="39" spans="4:9" x14ac:dyDescent="0.2">
      <c r="D39" s="111"/>
      <c r="E39" s="72"/>
      <c r="H39" s="111"/>
      <c r="I39" s="72"/>
    </row>
    <row r="40" spans="4:9" x14ac:dyDescent="0.2">
      <c r="D40" s="111"/>
      <c r="E40" s="72"/>
      <c r="G40" s="72"/>
      <c r="H40" s="111"/>
      <c r="I40" s="72"/>
    </row>
    <row r="41" spans="4:9" x14ac:dyDescent="0.2">
      <c r="F41" s="111"/>
      <c r="G41" s="72"/>
      <c r="H41" s="111"/>
      <c r="I41" s="72"/>
    </row>
    <row r="42" spans="4:9" x14ac:dyDescent="0.2">
      <c r="F42" s="111"/>
      <c r="G42" s="72"/>
      <c r="H42" s="111"/>
      <c r="I42" s="72"/>
    </row>
    <row r="43" spans="4:9" x14ac:dyDescent="0.2">
      <c r="F43" s="111"/>
      <c r="G43" s="72"/>
      <c r="H43" s="111"/>
      <c r="I43" s="72"/>
    </row>
    <row r="44" spans="4:9" x14ac:dyDescent="0.2">
      <c r="I44" s="72"/>
    </row>
    <row r="45" spans="4:9" x14ac:dyDescent="0.2">
      <c r="I45" s="72"/>
    </row>
    <row r="46" spans="4:9" x14ac:dyDescent="0.2">
      <c r="I46" s="72"/>
    </row>
    <row r="47" spans="4:9" x14ac:dyDescent="0.2">
      <c r="I47" s="72"/>
    </row>
    <row r="48" spans="4:9" x14ac:dyDescent="0.2">
      <c r="I48" s="72"/>
    </row>
    <row r="49" spans="9:9" x14ac:dyDescent="0.2">
      <c r="I49" s="72"/>
    </row>
    <row r="50" spans="9:9" x14ac:dyDescent="0.2">
      <c r="I50" s="72"/>
    </row>
    <row r="51" spans="9:9" x14ac:dyDescent="0.2">
      <c r="I51" s="72"/>
    </row>
    <row r="52" spans="9:9" x14ac:dyDescent="0.2">
      <c r="I52" s="72"/>
    </row>
    <row r="53" spans="9:9" x14ac:dyDescent="0.2">
      <c r="I53" s="72"/>
    </row>
    <row r="54" spans="9:9" x14ac:dyDescent="0.2">
      <c r="I54" s="72"/>
    </row>
    <row r="59" spans="9:9" x14ac:dyDescent="0.2">
      <c r="I59" s="111"/>
    </row>
    <row r="60" spans="9:9" x14ac:dyDescent="0.2">
      <c r="I60" s="111"/>
    </row>
    <row r="62" spans="9:9" x14ac:dyDescent="0.2">
      <c r="I62" s="111"/>
    </row>
    <row r="63" spans="9:9" x14ac:dyDescent="0.2">
      <c r="I63" s="111"/>
    </row>
    <row r="64" spans="9:9" x14ac:dyDescent="0.2">
      <c r="I64" s="7"/>
    </row>
    <row r="65" spans="4:27" x14ac:dyDescent="0.2">
      <c r="I65" s="111"/>
      <c r="J65" s="72"/>
      <c r="T65" s="71"/>
      <c r="U65" s="71"/>
      <c r="V65" s="71"/>
      <c r="W65" s="72"/>
      <c r="X65" s="72"/>
      <c r="Y65" s="72"/>
      <c r="Z65" s="72"/>
    </row>
    <row r="66" spans="4:27" x14ac:dyDescent="0.2">
      <c r="N66" s="6"/>
      <c r="O66" s="6"/>
      <c r="P66" s="6"/>
      <c r="T66" s="6"/>
      <c r="U66" s="6"/>
      <c r="V66" s="6"/>
      <c r="W66" s="6"/>
    </row>
    <row r="67" spans="4:27" x14ac:dyDescent="0.2">
      <c r="N67" s="72"/>
      <c r="O67" s="72"/>
      <c r="P67" s="72"/>
      <c r="Q67" s="72"/>
      <c r="R67" s="72"/>
      <c r="S67" s="72"/>
      <c r="T67" s="72"/>
      <c r="U67" s="72"/>
      <c r="V67" s="72"/>
    </row>
    <row r="70" spans="4:27" x14ac:dyDescent="0.2">
      <c r="U70" s="111"/>
      <c r="W70" s="7"/>
      <c r="X70" s="7"/>
      <c r="Y70" s="7"/>
      <c r="Z70" s="7"/>
      <c r="AA70" s="7"/>
    </row>
    <row r="71" spans="4:27" x14ac:dyDescent="0.2">
      <c r="I71" s="72"/>
      <c r="J71" s="72"/>
      <c r="K71" s="72"/>
      <c r="P71" s="72"/>
      <c r="Q71" s="72"/>
      <c r="R71" s="72"/>
      <c r="U71" s="111"/>
      <c r="X71" s="111"/>
    </row>
    <row r="72" spans="4:27" x14ac:dyDescent="0.2">
      <c r="D72" s="51"/>
      <c r="G72" s="72"/>
      <c r="H72" s="111"/>
      <c r="I72" s="72"/>
      <c r="J72" s="72"/>
      <c r="K72" s="72"/>
      <c r="U72" s="111"/>
      <c r="X72" s="111"/>
    </row>
    <row r="73" spans="4:27" x14ac:dyDescent="0.2">
      <c r="D73" s="6"/>
      <c r="G73" s="72"/>
      <c r="H73" s="111"/>
      <c r="I73" s="72"/>
      <c r="J73" s="72"/>
      <c r="K73" s="72"/>
      <c r="U73" s="111"/>
      <c r="X73" s="111"/>
    </row>
    <row r="74" spans="4:27" x14ac:dyDescent="0.2">
      <c r="H74" s="111"/>
      <c r="I74" s="72"/>
      <c r="J74" s="72"/>
      <c r="K74" s="72"/>
      <c r="U74" s="111"/>
      <c r="X74" s="111"/>
    </row>
    <row r="75" spans="4:27" x14ac:dyDescent="0.2">
      <c r="H75" s="111"/>
      <c r="I75" s="72"/>
      <c r="J75" s="72"/>
      <c r="K75" s="72"/>
      <c r="X75" s="111"/>
    </row>
    <row r="76" spans="4:27" x14ac:dyDescent="0.2">
      <c r="H76" s="111"/>
      <c r="I76" s="72"/>
      <c r="J76" s="72"/>
      <c r="K76" s="72"/>
    </row>
    <row r="77" spans="4:27" x14ac:dyDescent="0.2">
      <c r="D77" s="72"/>
      <c r="H77" s="111"/>
      <c r="I77" s="72"/>
      <c r="J77" s="72"/>
      <c r="K77" s="72"/>
    </row>
    <row r="78" spans="4:27" x14ac:dyDescent="0.2">
      <c r="H78" s="111"/>
      <c r="I78" s="72"/>
      <c r="J78" s="72"/>
      <c r="K78" s="72"/>
    </row>
    <row r="79" spans="4:27" x14ac:dyDescent="0.2">
      <c r="H79" s="111"/>
      <c r="I79" s="72"/>
      <c r="J79" s="72"/>
      <c r="K79" s="72"/>
    </row>
    <row r="80" spans="4:27" x14ac:dyDescent="0.2">
      <c r="H80" s="111"/>
      <c r="I80" s="72"/>
      <c r="J80" s="72"/>
      <c r="K80" s="72"/>
    </row>
    <row r="81" spans="7:13" x14ac:dyDescent="0.2">
      <c r="I81" s="111"/>
      <c r="J81" s="72"/>
    </row>
    <row r="82" spans="7:13" x14ac:dyDescent="0.2">
      <c r="I82" s="111"/>
      <c r="J82" s="72"/>
    </row>
    <row r="83" spans="7:13" x14ac:dyDescent="0.2">
      <c r="I83" s="111"/>
      <c r="J83" s="72"/>
    </row>
    <row r="84" spans="7:13" x14ac:dyDescent="0.2">
      <c r="J84" s="72"/>
    </row>
    <row r="85" spans="7:13" x14ac:dyDescent="0.2">
      <c r="J85" s="72"/>
      <c r="L85" s="72"/>
    </row>
    <row r="86" spans="7:13" x14ac:dyDescent="0.2">
      <c r="J86" s="72"/>
      <c r="L86" s="72"/>
    </row>
    <row r="87" spans="7:13" x14ac:dyDescent="0.2">
      <c r="G87" s="111"/>
      <c r="H87" s="72"/>
      <c r="I87" s="49"/>
      <c r="K87" s="111"/>
      <c r="L87" s="72"/>
      <c r="M87" s="72"/>
    </row>
    <row r="88" spans="7:13" x14ac:dyDescent="0.2">
      <c r="G88" s="111"/>
      <c r="H88" s="72"/>
      <c r="I88" s="49"/>
      <c r="J88" s="49"/>
      <c r="K88" s="111"/>
      <c r="L88" s="72"/>
      <c r="M88" s="72"/>
    </row>
    <row r="89" spans="7:13" x14ac:dyDescent="0.2">
      <c r="G89" s="111"/>
      <c r="H89" s="72"/>
      <c r="I89" s="49"/>
      <c r="J89" s="49"/>
      <c r="K89" s="111"/>
      <c r="L89" s="72"/>
      <c r="M89" s="72"/>
    </row>
    <row r="90" spans="7:13" x14ac:dyDescent="0.2">
      <c r="G90" s="111"/>
      <c r="H90" s="72"/>
      <c r="I90" s="49"/>
      <c r="J90" s="49"/>
      <c r="K90" s="111"/>
      <c r="L90" s="72"/>
      <c r="M90" s="72"/>
    </row>
    <row r="91" spans="7:13" x14ac:dyDescent="0.2">
      <c r="G91" s="111"/>
      <c r="H91" s="72"/>
      <c r="I91" s="6"/>
      <c r="J91" s="49"/>
      <c r="K91" s="111"/>
      <c r="L91" s="72"/>
      <c r="M91" s="72"/>
    </row>
    <row r="92" spans="7:13" x14ac:dyDescent="0.2">
      <c r="G92" s="111"/>
      <c r="H92" s="72"/>
      <c r="I92" s="6"/>
      <c r="J92" s="49"/>
      <c r="K92" s="111"/>
      <c r="L92" s="72"/>
      <c r="M92" s="72"/>
    </row>
    <row r="93" spans="7:13" x14ac:dyDescent="0.2">
      <c r="G93" s="111"/>
      <c r="H93" s="72"/>
      <c r="I93" s="6"/>
      <c r="J93" s="49"/>
      <c r="K93" s="111"/>
      <c r="L93" s="72"/>
      <c r="M93" s="72"/>
    </row>
    <row r="94" spans="7:13" x14ac:dyDescent="0.2">
      <c r="G94" s="111"/>
      <c r="H94" s="72"/>
      <c r="I94" s="6"/>
      <c r="J94" s="49"/>
      <c r="K94" s="111"/>
      <c r="L94" s="72"/>
      <c r="M94" s="72"/>
    </row>
    <row r="95" spans="7:13" x14ac:dyDescent="0.2">
      <c r="G95" s="111"/>
      <c r="H95" s="72"/>
      <c r="I95" s="6"/>
      <c r="J95" s="49"/>
      <c r="K95" s="111"/>
      <c r="L95" s="72"/>
      <c r="M95" s="72"/>
    </row>
    <row r="96" spans="7:13" x14ac:dyDescent="0.2">
      <c r="J96" s="72"/>
      <c r="L96" s="72"/>
    </row>
    <row r="97" spans="12:12" x14ac:dyDescent="0.2">
      <c r="L97" s="72"/>
    </row>
    <row r="98" spans="12:12" x14ac:dyDescent="0.2">
      <c r="L98" s="72"/>
    </row>
  </sheetData>
  <conditionalFormatting sqref="C18:C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E51"/>
  <sheetViews>
    <sheetView topLeftCell="A5" workbookViewId="0">
      <selection activeCell="A5" sqref="A5"/>
    </sheetView>
  </sheetViews>
  <sheetFormatPr baseColWidth="10" defaultColWidth="8.83203125" defaultRowHeight="15" x14ac:dyDescent="0.2"/>
  <cols>
    <col min="1" max="1" width="52.6640625" customWidth="1"/>
    <col min="2" max="5" width="38.33203125" customWidth="1"/>
  </cols>
  <sheetData>
    <row r="1" spans="1:5" ht="27" customHeight="1" x14ac:dyDescent="0.3">
      <c r="B1" s="118">
        <v>2020</v>
      </c>
      <c r="C1" s="118">
        <v>2021</v>
      </c>
      <c r="D1" s="118">
        <v>2022</v>
      </c>
      <c r="E1" s="118">
        <v>2023</v>
      </c>
    </row>
    <row r="2" spans="1:5" x14ac:dyDescent="0.2">
      <c r="A2" s="117" t="s">
        <v>116</v>
      </c>
      <c r="B2">
        <v>18865300000</v>
      </c>
      <c r="C2">
        <v>22872800000</v>
      </c>
      <c r="D2">
        <v>22854200000</v>
      </c>
      <c r="E2">
        <v>25178100000</v>
      </c>
    </row>
    <row r="3" spans="1:5" x14ac:dyDescent="0.2">
      <c r="A3" s="117" t="s">
        <v>117</v>
      </c>
      <c r="B3">
        <v>19207800000</v>
      </c>
      <c r="C3">
        <v>23222900000</v>
      </c>
      <c r="D3">
        <v>23182600000</v>
      </c>
      <c r="E3">
        <v>25493700000</v>
      </c>
    </row>
    <row r="4" spans="1:5" x14ac:dyDescent="0.2">
      <c r="A4" s="117" t="s">
        <v>118</v>
      </c>
      <c r="B4">
        <v>9455700000</v>
      </c>
      <c r="C4">
        <v>10642700000</v>
      </c>
      <c r="D4">
        <v>9975400000</v>
      </c>
      <c r="E4">
        <v>10931200000</v>
      </c>
    </row>
    <row r="5" spans="1:5" x14ac:dyDescent="0.2">
      <c r="A5" s="117" t="s">
        <v>119</v>
      </c>
      <c r="B5">
        <v>9752100000</v>
      </c>
      <c r="C5">
        <v>12580200000</v>
      </c>
      <c r="D5">
        <v>13207200000</v>
      </c>
      <c r="E5">
        <v>14562500000</v>
      </c>
    </row>
    <row r="6" spans="1:5" x14ac:dyDescent="0.2">
      <c r="A6" s="117" t="s">
        <v>120</v>
      </c>
      <c r="B6">
        <v>2245000000</v>
      </c>
      <c r="C6">
        <v>2377800000</v>
      </c>
      <c r="D6">
        <v>2492200000</v>
      </c>
      <c r="E6">
        <v>2435200000</v>
      </c>
    </row>
    <row r="7" spans="1:5" x14ac:dyDescent="0.2">
      <c r="A7" s="117" t="s">
        <v>248</v>
      </c>
      <c r="B7">
        <v>300600000</v>
      </c>
      <c r="C7">
        <v>329700000</v>
      </c>
      <c r="D7">
        <v>370400000</v>
      </c>
      <c r="E7">
        <v>381700000</v>
      </c>
    </row>
    <row r="8" spans="1:5" x14ac:dyDescent="0.2">
      <c r="A8" s="117" t="s">
        <v>249</v>
      </c>
      <c r="B8">
        <v>300600000</v>
      </c>
      <c r="C8">
        <v>329700000</v>
      </c>
      <c r="D8">
        <v>370400000</v>
      </c>
      <c r="E8">
        <v>381700000</v>
      </c>
    </row>
    <row r="9" spans="1:5" x14ac:dyDescent="0.2">
      <c r="A9" s="117" t="s">
        <v>121</v>
      </c>
      <c r="B9">
        <v>2545600000</v>
      </c>
      <c r="C9">
        <v>2707500000</v>
      </c>
      <c r="D9">
        <v>2862600000</v>
      </c>
      <c r="E9">
        <v>2816900000</v>
      </c>
    </row>
    <row r="10" spans="1:5" x14ac:dyDescent="0.2">
      <c r="A10" s="117" t="s">
        <v>122</v>
      </c>
      <c r="B10">
        <v>7206500000</v>
      </c>
      <c r="C10">
        <v>9872700000</v>
      </c>
      <c r="D10">
        <v>10344600000</v>
      </c>
      <c r="E10">
        <v>11745600000</v>
      </c>
    </row>
    <row r="11" spans="1:5" x14ac:dyDescent="0.2">
      <c r="A11" s="117" t="s">
        <v>123</v>
      </c>
      <c r="B11">
        <v>18000000</v>
      </c>
      <c r="C11">
        <v>9000000</v>
      </c>
      <c r="D11">
        <v>44000000</v>
      </c>
      <c r="E11">
        <v>186000000</v>
      </c>
    </row>
    <row r="12" spans="1:5" x14ac:dyDescent="0.2">
      <c r="A12" s="117" t="s">
        <v>124</v>
      </c>
      <c r="B12">
        <v>1218100000</v>
      </c>
      <c r="C12">
        <v>1185800000</v>
      </c>
      <c r="D12">
        <v>1207000000</v>
      </c>
      <c r="E12">
        <v>1360800000</v>
      </c>
    </row>
    <row r="13" spans="1:5" x14ac:dyDescent="0.2">
      <c r="A13" s="117" t="s">
        <v>125</v>
      </c>
      <c r="B13">
        <v>-1200100000</v>
      </c>
      <c r="C13">
        <v>-1176800000</v>
      </c>
      <c r="D13">
        <v>-1163000000</v>
      </c>
      <c r="E13">
        <v>-1174800000</v>
      </c>
    </row>
    <row r="14" spans="1:5" x14ac:dyDescent="0.2">
      <c r="A14" s="117" t="s">
        <v>250</v>
      </c>
      <c r="B14">
        <v>3000000</v>
      </c>
      <c r="C14">
        <v>-37000000</v>
      </c>
      <c r="D14">
        <v>134000000</v>
      </c>
      <c r="E14">
        <v>19000000</v>
      </c>
    </row>
    <row r="15" spans="1:5" x14ac:dyDescent="0.2">
      <c r="A15" s="117" t="s">
        <v>251</v>
      </c>
      <c r="B15">
        <v>117400000</v>
      </c>
      <c r="C15">
        <v>176700000</v>
      </c>
      <c r="D15">
        <v>113200000</v>
      </c>
      <c r="E15">
        <v>153400000</v>
      </c>
    </row>
    <row r="16" spans="1:5" x14ac:dyDescent="0.2">
      <c r="A16" s="117" t="s">
        <v>252</v>
      </c>
      <c r="B16">
        <v>-267500000</v>
      </c>
    </row>
    <row r="17" spans="1:5" x14ac:dyDescent="0.2">
      <c r="A17" s="117" t="s">
        <v>253</v>
      </c>
      <c r="B17">
        <v>-267500000</v>
      </c>
      <c r="C17">
        <v>-285400000</v>
      </c>
      <c r="D17">
        <v>1009800000</v>
      </c>
      <c r="E17">
        <v>362300000</v>
      </c>
    </row>
    <row r="18" spans="1:5" x14ac:dyDescent="0.2">
      <c r="A18" s="117" t="s">
        <v>254</v>
      </c>
      <c r="B18">
        <v>23300000</v>
      </c>
      <c r="C18">
        <v>96600000</v>
      </c>
      <c r="D18">
        <v>59800000</v>
      </c>
      <c r="E18">
        <v>103200000</v>
      </c>
    </row>
    <row r="19" spans="1:5" x14ac:dyDescent="0.2">
      <c r="A19" s="117" t="s">
        <v>255</v>
      </c>
      <c r="B19">
        <v>-290700000</v>
      </c>
      <c r="C19">
        <v>-75400000</v>
      </c>
      <c r="D19">
        <v>-136800000</v>
      </c>
      <c r="E19">
        <v>6800000</v>
      </c>
    </row>
    <row r="20" spans="1:5" x14ac:dyDescent="0.2">
      <c r="A20" s="117" t="s">
        <v>256</v>
      </c>
      <c r="B20">
        <v>100000</v>
      </c>
      <c r="C20">
        <v>306600000</v>
      </c>
      <c r="D20">
        <v>-1086800000</v>
      </c>
      <c r="E20">
        <v>-252300000</v>
      </c>
    </row>
    <row r="21" spans="1:5" x14ac:dyDescent="0.2">
      <c r="A21" s="117" t="s">
        <v>126</v>
      </c>
      <c r="B21">
        <v>14000000</v>
      </c>
      <c r="C21">
        <v>-14000000</v>
      </c>
      <c r="D21">
        <v>-517000000</v>
      </c>
      <c r="E21">
        <v>31000000</v>
      </c>
    </row>
    <row r="22" spans="1:5" x14ac:dyDescent="0.2">
      <c r="A22" s="117" t="s">
        <v>127</v>
      </c>
      <c r="B22">
        <v>134500000</v>
      </c>
      <c r="C22">
        <v>432300000</v>
      </c>
      <c r="D22">
        <v>-1356600000</v>
      </c>
      <c r="E22">
        <v>-48900000</v>
      </c>
    </row>
    <row r="23" spans="1:5" x14ac:dyDescent="0.2">
      <c r="A23" s="117" t="s">
        <v>128</v>
      </c>
      <c r="B23">
        <v>6140700000</v>
      </c>
      <c r="C23">
        <v>9127900000</v>
      </c>
      <c r="D23">
        <v>7825400000</v>
      </c>
      <c r="E23">
        <v>10522200000</v>
      </c>
    </row>
    <row r="24" spans="1:5" x14ac:dyDescent="0.2">
      <c r="A24" s="117" t="s">
        <v>129</v>
      </c>
      <c r="B24">
        <v>1410200000</v>
      </c>
      <c r="C24">
        <v>1582700000</v>
      </c>
      <c r="D24">
        <v>1648000000</v>
      </c>
      <c r="E24">
        <v>2053400000</v>
      </c>
    </row>
    <row r="25" spans="1:5" x14ac:dyDescent="0.2">
      <c r="A25" s="117" t="s">
        <v>130</v>
      </c>
      <c r="B25">
        <v>4730500000</v>
      </c>
      <c r="C25">
        <v>7545200000</v>
      </c>
      <c r="D25">
        <v>6177400000</v>
      </c>
      <c r="E25">
        <v>8468800000</v>
      </c>
    </row>
    <row r="26" spans="1:5" x14ac:dyDescent="0.2">
      <c r="A26" s="117" t="s">
        <v>131</v>
      </c>
      <c r="B26">
        <v>4730500000</v>
      </c>
      <c r="C26">
        <v>7545200000</v>
      </c>
      <c r="D26">
        <v>6177400000</v>
      </c>
      <c r="E26">
        <v>8468800000</v>
      </c>
    </row>
    <row r="27" spans="1:5" x14ac:dyDescent="0.2">
      <c r="A27" s="117" t="s">
        <v>61</v>
      </c>
      <c r="B27">
        <v>4730500000</v>
      </c>
      <c r="C27">
        <v>7545200000</v>
      </c>
      <c r="D27">
        <v>6177400000</v>
      </c>
      <c r="E27">
        <v>8468800000</v>
      </c>
    </row>
    <row r="28" spans="1:5" x14ac:dyDescent="0.2">
      <c r="A28" s="117" t="s">
        <v>132</v>
      </c>
      <c r="B28">
        <v>4730500000</v>
      </c>
      <c r="C28">
        <v>7545200000</v>
      </c>
      <c r="D28">
        <v>6177400000</v>
      </c>
      <c r="E28">
        <v>8468800000</v>
      </c>
    </row>
    <row r="29" spans="1:5" x14ac:dyDescent="0.2">
      <c r="A29" s="117" t="s">
        <v>133</v>
      </c>
      <c r="B29">
        <v>4730500000</v>
      </c>
      <c r="C29">
        <v>7545200000</v>
      </c>
      <c r="D29">
        <v>6177400000</v>
      </c>
      <c r="E29">
        <v>8468800000</v>
      </c>
    </row>
    <row r="30" spans="1:5" x14ac:dyDescent="0.2">
      <c r="A30" s="117" t="s">
        <v>134</v>
      </c>
      <c r="B30">
        <v>6.3462569999999996</v>
      </c>
      <c r="C30">
        <v>10.130504999999999</v>
      </c>
      <c r="D30">
        <v>8.4471489999999996</v>
      </c>
      <c r="E30">
        <v>11.63</v>
      </c>
    </row>
    <row r="31" spans="1:5" x14ac:dyDescent="0.2">
      <c r="A31" s="117" t="s">
        <v>135</v>
      </c>
      <c r="B31">
        <v>6.31</v>
      </c>
      <c r="C31">
        <v>10.039999999999999</v>
      </c>
      <c r="D31">
        <v>8.33</v>
      </c>
      <c r="E31">
        <v>11.56</v>
      </c>
    </row>
    <row r="32" spans="1:5" x14ac:dyDescent="0.2">
      <c r="A32" s="117" t="s">
        <v>136</v>
      </c>
      <c r="B32">
        <v>745400000</v>
      </c>
      <c r="C32">
        <v>744800000</v>
      </c>
      <c r="D32">
        <v>731300000</v>
      </c>
      <c r="E32">
        <v>727900000</v>
      </c>
    </row>
    <row r="33" spans="1:5" x14ac:dyDescent="0.2">
      <c r="A33" s="117" t="s">
        <v>137</v>
      </c>
      <c r="B33">
        <v>750100000</v>
      </c>
      <c r="C33">
        <v>751800000</v>
      </c>
      <c r="D33">
        <v>741300000</v>
      </c>
      <c r="E33">
        <v>732300000</v>
      </c>
    </row>
    <row r="34" spans="1:5" x14ac:dyDescent="0.2">
      <c r="A34" s="117" t="s">
        <v>138</v>
      </c>
      <c r="B34">
        <v>7324000000</v>
      </c>
      <c r="C34">
        <v>10356000000</v>
      </c>
      <c r="D34">
        <v>9371000000</v>
      </c>
      <c r="E34">
        <v>11646700000</v>
      </c>
    </row>
    <row r="35" spans="1:5" x14ac:dyDescent="0.2">
      <c r="A35" s="117" t="s">
        <v>257</v>
      </c>
      <c r="B35">
        <v>4208100000</v>
      </c>
      <c r="C35">
        <v>4608300000</v>
      </c>
      <c r="D35">
        <v>4375900000</v>
      </c>
      <c r="E35">
        <v>4773900000</v>
      </c>
    </row>
    <row r="36" spans="1:5" x14ac:dyDescent="0.2">
      <c r="A36" s="117" t="s">
        <v>139</v>
      </c>
      <c r="B36">
        <v>12001300000</v>
      </c>
      <c r="C36">
        <v>13350200000</v>
      </c>
      <c r="D36">
        <v>12838000000</v>
      </c>
      <c r="E36">
        <v>13748100000</v>
      </c>
    </row>
    <row r="37" spans="1:5" x14ac:dyDescent="0.2">
      <c r="A37" s="117" t="s">
        <v>140</v>
      </c>
      <c r="B37">
        <v>4730500000</v>
      </c>
      <c r="C37">
        <v>7545200000</v>
      </c>
      <c r="D37">
        <v>6177400000</v>
      </c>
      <c r="E37">
        <v>8468800000</v>
      </c>
    </row>
    <row r="38" spans="1:5" x14ac:dyDescent="0.2">
      <c r="A38" s="117" t="s">
        <v>141</v>
      </c>
      <c r="B38">
        <v>4728113000</v>
      </c>
      <c r="C38">
        <v>7322240800</v>
      </c>
      <c r="D38">
        <v>6929159200</v>
      </c>
      <c r="E38">
        <v>8656606500</v>
      </c>
    </row>
    <row r="39" spans="1:5" x14ac:dyDescent="0.2">
      <c r="A39" s="117" t="s">
        <v>142</v>
      </c>
      <c r="B39">
        <v>18000000</v>
      </c>
      <c r="C39">
        <v>9000000</v>
      </c>
      <c r="D39">
        <v>44000000</v>
      </c>
      <c r="E39">
        <v>186000000</v>
      </c>
    </row>
    <row r="40" spans="1:5" x14ac:dyDescent="0.2">
      <c r="A40" s="117" t="s">
        <v>143</v>
      </c>
      <c r="B40">
        <v>1218100000</v>
      </c>
      <c r="C40">
        <v>1185800000</v>
      </c>
      <c r="D40">
        <v>1207000000</v>
      </c>
      <c r="E40">
        <v>1360800000</v>
      </c>
    </row>
    <row r="41" spans="1:5" x14ac:dyDescent="0.2">
      <c r="A41" s="117" t="s">
        <v>144</v>
      </c>
      <c r="B41">
        <v>-1200100000</v>
      </c>
      <c r="C41">
        <v>-1176800000</v>
      </c>
      <c r="D41">
        <v>-1163000000</v>
      </c>
      <c r="E41">
        <v>-1174800000</v>
      </c>
    </row>
    <row r="42" spans="1:5" x14ac:dyDescent="0.2">
      <c r="A42" s="117" t="s">
        <v>20</v>
      </c>
      <c r="B42">
        <v>7358800000</v>
      </c>
      <c r="C42">
        <v>10313700000</v>
      </c>
      <c r="D42">
        <v>9032400000</v>
      </c>
      <c r="E42">
        <v>11883000000</v>
      </c>
    </row>
    <row r="43" spans="1:5" x14ac:dyDescent="0.2">
      <c r="A43" s="117" t="s">
        <v>113</v>
      </c>
      <c r="B43">
        <v>9110200000</v>
      </c>
      <c r="C43">
        <v>12181800000</v>
      </c>
      <c r="D43">
        <v>10903000000</v>
      </c>
      <c r="E43">
        <v>13861200000</v>
      </c>
    </row>
    <row r="44" spans="1:5" x14ac:dyDescent="0.2">
      <c r="A44" s="117" t="s">
        <v>145</v>
      </c>
      <c r="B44">
        <v>8004900000</v>
      </c>
      <c r="C44">
        <v>9104300000</v>
      </c>
      <c r="D44">
        <v>8475200000</v>
      </c>
      <c r="E44">
        <v>9334700000</v>
      </c>
    </row>
    <row r="45" spans="1:5" x14ac:dyDescent="0.2">
      <c r="A45" s="117" t="s">
        <v>146</v>
      </c>
      <c r="B45">
        <v>1751400000</v>
      </c>
      <c r="C45">
        <v>1868100000</v>
      </c>
      <c r="D45">
        <v>1870600000</v>
      </c>
      <c r="E45">
        <v>1978200000</v>
      </c>
    </row>
    <row r="46" spans="1:5" x14ac:dyDescent="0.2">
      <c r="A46" s="117" t="s">
        <v>147</v>
      </c>
      <c r="B46">
        <v>4730500000</v>
      </c>
      <c r="C46">
        <v>7545200000</v>
      </c>
      <c r="D46">
        <v>6177400000</v>
      </c>
      <c r="E46">
        <v>8468800000</v>
      </c>
    </row>
    <row r="47" spans="1:5" x14ac:dyDescent="0.2">
      <c r="A47" s="117" t="s">
        <v>258</v>
      </c>
      <c r="B47">
        <v>3100000</v>
      </c>
      <c r="C47">
        <v>269600000</v>
      </c>
      <c r="D47">
        <v>-952800000</v>
      </c>
      <c r="E47">
        <v>-233300000</v>
      </c>
    </row>
    <row r="48" spans="1:5" x14ac:dyDescent="0.2">
      <c r="A48" s="117" t="s">
        <v>259</v>
      </c>
      <c r="B48">
        <v>3100000</v>
      </c>
      <c r="C48">
        <v>269600000</v>
      </c>
      <c r="D48">
        <v>-952800000</v>
      </c>
      <c r="E48">
        <v>-233300000</v>
      </c>
    </row>
    <row r="49" spans="1:5" x14ac:dyDescent="0.2">
      <c r="A49" s="117" t="s">
        <v>148</v>
      </c>
      <c r="B49">
        <v>9107100000</v>
      </c>
      <c r="C49">
        <v>11912200000</v>
      </c>
      <c r="D49">
        <v>11855800000</v>
      </c>
      <c r="E49">
        <v>14094500000</v>
      </c>
    </row>
    <row r="50" spans="1:5" x14ac:dyDescent="0.2">
      <c r="A50" s="117" t="s">
        <v>149</v>
      </c>
      <c r="B50">
        <v>0.23</v>
      </c>
      <c r="C50">
        <v>0.17299999999999999</v>
      </c>
      <c r="D50">
        <v>0.21099999999999999</v>
      </c>
      <c r="E50">
        <v>0.19500000000000001</v>
      </c>
    </row>
    <row r="51" spans="1:5" x14ac:dyDescent="0.2">
      <c r="A51" s="117" t="s">
        <v>150</v>
      </c>
      <c r="B51">
        <v>713000</v>
      </c>
      <c r="C51">
        <v>46640800</v>
      </c>
      <c r="D51">
        <v>-201040800</v>
      </c>
      <c r="E51">
        <v>-45493500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E69"/>
  <sheetViews>
    <sheetView topLeftCell="A21" workbookViewId="0">
      <selection activeCell="A37" sqref="A37"/>
    </sheetView>
  </sheetViews>
  <sheetFormatPr baseColWidth="10" defaultColWidth="8.83203125" defaultRowHeight="15" x14ac:dyDescent="0.2"/>
  <cols>
    <col min="1" max="1" width="46.5" customWidth="1"/>
    <col min="2" max="5" width="28.33203125" customWidth="1"/>
    <col min="6" max="6" width="11.1640625" bestFit="1" customWidth="1"/>
    <col min="7" max="7" width="12.1640625" bestFit="1" customWidth="1"/>
  </cols>
  <sheetData>
    <row r="1" spans="1:5" x14ac:dyDescent="0.2">
      <c r="B1" s="116">
        <v>44196</v>
      </c>
      <c r="C1" s="116">
        <v>44561</v>
      </c>
      <c r="D1" s="116">
        <v>44926</v>
      </c>
      <c r="E1" s="116">
        <v>45291</v>
      </c>
    </row>
    <row r="2" spans="1:5" x14ac:dyDescent="0.2">
      <c r="A2" s="117" t="s">
        <v>35</v>
      </c>
      <c r="B2">
        <v>3449100000</v>
      </c>
      <c r="C2">
        <v>4709200000</v>
      </c>
      <c r="D2">
        <v>2583800000</v>
      </c>
      <c r="E2">
        <v>4579300000</v>
      </c>
    </row>
    <row r="3" spans="1:5" x14ac:dyDescent="0.2">
      <c r="A3" s="117" t="s">
        <v>151</v>
      </c>
      <c r="B3">
        <v>3449100000</v>
      </c>
      <c r="C3">
        <v>4709200000</v>
      </c>
      <c r="D3">
        <v>2583800000</v>
      </c>
      <c r="E3">
        <v>4579300000</v>
      </c>
    </row>
    <row r="4" spans="1:5" x14ac:dyDescent="0.2">
      <c r="A4" s="117" t="s">
        <v>152</v>
      </c>
      <c r="B4">
        <v>2110300000</v>
      </c>
      <c r="C4">
        <v>1872400000</v>
      </c>
      <c r="D4">
        <v>2115000000</v>
      </c>
      <c r="E4">
        <v>2488000000</v>
      </c>
    </row>
    <row r="5" spans="1:5" x14ac:dyDescent="0.2">
      <c r="A5" s="117" t="s">
        <v>153</v>
      </c>
      <c r="B5">
        <v>2110300000</v>
      </c>
      <c r="C5">
        <v>1872400000</v>
      </c>
      <c r="D5">
        <v>2115000000</v>
      </c>
      <c r="E5">
        <v>2488000000</v>
      </c>
    </row>
    <row r="6" spans="1:5" x14ac:dyDescent="0.2">
      <c r="A6" s="117" t="s">
        <v>39</v>
      </c>
      <c r="B6">
        <v>51100000</v>
      </c>
      <c r="C6">
        <v>55600000</v>
      </c>
      <c r="D6">
        <v>52000000</v>
      </c>
      <c r="E6">
        <v>52800000</v>
      </c>
    </row>
    <row r="7" spans="1:5" x14ac:dyDescent="0.2">
      <c r="A7" s="117" t="s">
        <v>234</v>
      </c>
      <c r="B7">
        <v>632700000</v>
      </c>
      <c r="C7">
        <v>511300000</v>
      </c>
    </row>
    <row r="8" spans="1:5" x14ac:dyDescent="0.2">
      <c r="A8" s="117" t="s">
        <v>41</v>
      </c>
      <c r="B8">
        <v>632700000</v>
      </c>
      <c r="C8">
        <v>511300000</v>
      </c>
      <c r="D8">
        <v>673400000</v>
      </c>
      <c r="E8">
        <v>866300000</v>
      </c>
    </row>
    <row r="9" spans="1:5" x14ac:dyDescent="0.2">
      <c r="A9" s="117" t="s">
        <v>154</v>
      </c>
      <c r="B9">
        <v>6243200000</v>
      </c>
      <c r="C9">
        <v>7148500000</v>
      </c>
      <c r="D9">
        <v>5424200000</v>
      </c>
      <c r="E9">
        <v>7986400000</v>
      </c>
    </row>
    <row r="10" spans="1:5" x14ac:dyDescent="0.2">
      <c r="A10" s="117" t="s">
        <v>155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17" t="s">
        <v>156</v>
      </c>
      <c r="B11">
        <v>6349100000</v>
      </c>
      <c r="C11">
        <v>6487600000</v>
      </c>
      <c r="D11">
        <v>6686300000</v>
      </c>
      <c r="E11">
        <v>7081300000</v>
      </c>
    </row>
    <row r="12" spans="1:5" x14ac:dyDescent="0.2">
      <c r="A12" s="117" t="s">
        <v>235</v>
      </c>
      <c r="B12">
        <v>31583400000</v>
      </c>
      <c r="C12">
        <v>31949300000</v>
      </c>
      <c r="D12">
        <v>31426200000</v>
      </c>
      <c r="E12">
        <v>33381600000</v>
      </c>
    </row>
    <row r="13" spans="1:5" x14ac:dyDescent="0.2">
      <c r="A13" s="117" t="s">
        <v>157</v>
      </c>
      <c r="B13">
        <v>3119000000</v>
      </c>
      <c r="C13">
        <v>3032000000</v>
      </c>
      <c r="D13">
        <v>2498600000</v>
      </c>
    </row>
    <row r="14" spans="1:5" x14ac:dyDescent="0.2">
      <c r="A14" s="117" t="s">
        <v>158</v>
      </c>
      <c r="B14">
        <v>17371700000</v>
      </c>
      <c r="C14">
        <v>17031700000</v>
      </c>
      <c r="D14">
        <v>15490800000</v>
      </c>
      <c r="E14">
        <v>16621500000</v>
      </c>
    </row>
    <row r="15" spans="1:5" x14ac:dyDescent="0.2">
      <c r="A15" s="117" t="s">
        <v>159</v>
      </c>
      <c r="B15">
        <v>55304200000</v>
      </c>
      <c r="C15">
        <v>55468600000</v>
      </c>
      <c r="D15">
        <v>53603300000</v>
      </c>
      <c r="E15">
        <v>57084400000</v>
      </c>
    </row>
    <row r="16" spans="1:5" x14ac:dyDescent="0.2">
      <c r="A16" s="117" t="s">
        <v>160</v>
      </c>
      <c r="B16">
        <v>-16518300000</v>
      </c>
      <c r="C16">
        <v>-17196000000</v>
      </c>
      <c r="D16">
        <v>-17264000000</v>
      </c>
      <c r="E16">
        <v>-18662400000</v>
      </c>
    </row>
    <row r="17" spans="1:5" x14ac:dyDescent="0.2">
      <c r="A17" s="117" t="s">
        <v>161</v>
      </c>
      <c r="B17">
        <v>38785900000</v>
      </c>
      <c r="C17">
        <v>38272600000</v>
      </c>
      <c r="D17">
        <v>36339300000</v>
      </c>
      <c r="E17">
        <v>38422000000</v>
      </c>
    </row>
    <row r="18" spans="1:5" x14ac:dyDescent="0.2">
      <c r="A18" s="117" t="s">
        <v>236</v>
      </c>
      <c r="B18">
        <v>2773100000</v>
      </c>
      <c r="C18">
        <v>2782500000</v>
      </c>
      <c r="D18">
        <v>2900400000</v>
      </c>
      <c r="E18">
        <v>3040400000</v>
      </c>
    </row>
    <row r="19" spans="1:5" x14ac:dyDescent="0.2">
      <c r="A19" s="117" t="s">
        <v>237</v>
      </c>
      <c r="B19">
        <v>2773100000</v>
      </c>
      <c r="C19">
        <v>2782500000</v>
      </c>
      <c r="D19">
        <v>2900400000</v>
      </c>
      <c r="E19">
        <v>3040400000</v>
      </c>
    </row>
    <row r="20" spans="1:5" x14ac:dyDescent="0.2">
      <c r="A20" s="117" t="s">
        <v>238</v>
      </c>
      <c r="B20">
        <v>1297200000</v>
      </c>
      <c r="C20">
        <v>1201200000</v>
      </c>
      <c r="D20">
        <v>1064500000</v>
      </c>
    </row>
    <row r="21" spans="1:5" x14ac:dyDescent="0.2">
      <c r="A21" s="117" t="s">
        <v>239</v>
      </c>
      <c r="B21">
        <v>1297200000</v>
      </c>
      <c r="C21">
        <v>1201200000</v>
      </c>
      <c r="D21">
        <v>1064500000</v>
      </c>
      <c r="E21">
        <v>1080200000</v>
      </c>
    </row>
    <row r="22" spans="1:5" x14ac:dyDescent="0.2">
      <c r="A22" s="117" t="s">
        <v>162</v>
      </c>
      <c r="B22">
        <v>1297200000</v>
      </c>
      <c r="C22">
        <v>1201200000</v>
      </c>
      <c r="D22">
        <v>1064500000</v>
      </c>
      <c r="E22">
        <v>1080200000</v>
      </c>
    </row>
    <row r="23" spans="1:5" x14ac:dyDescent="0.2">
      <c r="A23" s="117" t="s">
        <v>45</v>
      </c>
      <c r="B23">
        <v>3527400000</v>
      </c>
      <c r="C23">
        <v>4449500000</v>
      </c>
      <c r="D23">
        <v>4707200000</v>
      </c>
      <c r="E23">
        <v>5617800000</v>
      </c>
    </row>
    <row r="24" spans="1:5" x14ac:dyDescent="0.2">
      <c r="A24" s="117" t="s">
        <v>46</v>
      </c>
      <c r="B24">
        <v>46383600000</v>
      </c>
      <c r="C24">
        <v>46705800000</v>
      </c>
      <c r="D24">
        <v>45011400000</v>
      </c>
      <c r="E24">
        <v>48160400000</v>
      </c>
    </row>
    <row r="25" spans="1:5" x14ac:dyDescent="0.2">
      <c r="A25" s="117" t="s">
        <v>47</v>
      </c>
      <c r="B25">
        <v>52626800000</v>
      </c>
      <c r="C25">
        <v>53854300000</v>
      </c>
      <c r="D25">
        <v>50435600000</v>
      </c>
      <c r="E25">
        <v>56146800000</v>
      </c>
    </row>
    <row r="26" spans="1:5" x14ac:dyDescent="0.2">
      <c r="A26" s="117" t="s">
        <v>163</v>
      </c>
      <c r="B26" s="7">
        <v>741300000</v>
      </c>
      <c r="C26">
        <v>1006800000</v>
      </c>
      <c r="D26">
        <v>980200000</v>
      </c>
      <c r="E26">
        <v>1102900000</v>
      </c>
    </row>
    <row r="27" spans="1:5" x14ac:dyDescent="0.2">
      <c r="A27" s="117" t="s">
        <v>164</v>
      </c>
      <c r="B27" s="7">
        <v>741100000</v>
      </c>
      <c r="C27">
        <v>360700000</v>
      </c>
      <c r="D27">
        <v>274900000</v>
      </c>
      <c r="E27">
        <v>705100000</v>
      </c>
    </row>
    <row r="28" spans="1:5" x14ac:dyDescent="0.2">
      <c r="A28" s="117" t="s">
        <v>165</v>
      </c>
      <c r="B28" s="7">
        <v>968100000</v>
      </c>
      <c r="C28">
        <v>597400000</v>
      </c>
      <c r="D28">
        <v>530000000</v>
      </c>
      <c r="E28">
        <v>973100000</v>
      </c>
    </row>
    <row r="29" spans="1:5" x14ac:dyDescent="0.2">
      <c r="A29" s="117" t="s">
        <v>166</v>
      </c>
      <c r="B29" s="7">
        <v>1709400000</v>
      </c>
      <c r="C29">
        <v>1604200000</v>
      </c>
      <c r="D29">
        <v>1510200000</v>
      </c>
      <c r="E29">
        <v>2076000000</v>
      </c>
    </row>
    <row r="30" spans="1:5" x14ac:dyDescent="0.2">
      <c r="A30" s="117" t="s">
        <v>240</v>
      </c>
      <c r="B30">
        <v>388400000</v>
      </c>
      <c r="C30">
        <v>363300000</v>
      </c>
      <c r="D30">
        <v>393400000</v>
      </c>
      <c r="E30">
        <v>468900000</v>
      </c>
    </row>
    <row r="31" spans="1:5" x14ac:dyDescent="0.2">
      <c r="A31" s="117" t="s">
        <v>241</v>
      </c>
      <c r="B31">
        <v>1526700000</v>
      </c>
      <c r="C31">
        <v>1710300000</v>
      </c>
      <c r="D31">
        <v>1630800000</v>
      </c>
      <c r="E31">
        <v>1902500000</v>
      </c>
    </row>
    <row r="32" spans="1:5" x14ac:dyDescent="0.2">
      <c r="A32" s="117" t="s">
        <v>167</v>
      </c>
      <c r="B32">
        <v>3236100000</v>
      </c>
      <c r="C32">
        <v>3314500000</v>
      </c>
      <c r="D32">
        <v>3141000000</v>
      </c>
      <c r="E32">
        <v>3978500000</v>
      </c>
    </row>
    <row r="33" spans="1:5" x14ac:dyDescent="0.2">
      <c r="A33" s="117" t="s">
        <v>168</v>
      </c>
      <c r="B33">
        <v>2243600000</v>
      </c>
      <c r="E33">
        <v>2192400000</v>
      </c>
    </row>
    <row r="34" spans="1:5" x14ac:dyDescent="0.2">
      <c r="A34" s="117" t="s">
        <v>169</v>
      </c>
      <c r="B34">
        <v>2243600000</v>
      </c>
      <c r="E34">
        <v>2192400000</v>
      </c>
    </row>
    <row r="35" spans="1:5" x14ac:dyDescent="0.2">
      <c r="A35" s="117" t="s">
        <v>170</v>
      </c>
      <c r="B35">
        <v>701500000</v>
      </c>
      <c r="C35">
        <v>705500000</v>
      </c>
      <c r="D35">
        <v>661100000</v>
      </c>
      <c r="E35">
        <v>688100000</v>
      </c>
    </row>
    <row r="36" spans="1:5" x14ac:dyDescent="0.2">
      <c r="A36" s="117" t="s">
        <v>171</v>
      </c>
      <c r="B36">
        <v>2945100000</v>
      </c>
      <c r="C36">
        <v>705500000</v>
      </c>
      <c r="D36">
        <v>661100000</v>
      </c>
      <c r="E36">
        <v>2880500000</v>
      </c>
    </row>
    <row r="37" spans="1:5" x14ac:dyDescent="0.2">
      <c r="A37" s="117" t="s">
        <v>172</v>
      </c>
      <c r="B37">
        <v>6181200000</v>
      </c>
      <c r="C37">
        <v>4020000000</v>
      </c>
      <c r="D37">
        <v>3802100000</v>
      </c>
      <c r="E37">
        <v>6859000000</v>
      </c>
    </row>
    <row r="38" spans="1:5" x14ac:dyDescent="0.2">
      <c r="A38" s="117" t="s">
        <v>56</v>
      </c>
      <c r="B38">
        <v>35196800000</v>
      </c>
      <c r="C38">
        <v>35622700000</v>
      </c>
      <c r="D38">
        <v>35903500000</v>
      </c>
      <c r="E38">
        <v>37152900000</v>
      </c>
    </row>
    <row r="39" spans="1:5" x14ac:dyDescent="0.2">
      <c r="A39" s="117" t="s">
        <v>173</v>
      </c>
      <c r="B39">
        <v>13321300000</v>
      </c>
      <c r="C39">
        <v>13020900000</v>
      </c>
      <c r="D39">
        <v>12134400000</v>
      </c>
      <c r="E39">
        <v>13057700000</v>
      </c>
    </row>
    <row r="40" spans="1:5" x14ac:dyDescent="0.2">
      <c r="A40" s="117" t="s">
        <v>174</v>
      </c>
      <c r="B40">
        <v>48518100000</v>
      </c>
      <c r="C40">
        <v>48643600000</v>
      </c>
      <c r="D40">
        <v>48037900000</v>
      </c>
      <c r="E40">
        <v>50210600000</v>
      </c>
    </row>
    <row r="41" spans="1:5" x14ac:dyDescent="0.2">
      <c r="A41" s="117" t="s">
        <v>242</v>
      </c>
      <c r="B41">
        <v>2025600000</v>
      </c>
      <c r="C41">
        <v>2075600000</v>
      </c>
      <c r="D41">
        <v>1997500000</v>
      </c>
      <c r="E41">
        <v>1680900000</v>
      </c>
    </row>
    <row r="42" spans="1:5" x14ac:dyDescent="0.2">
      <c r="A42" s="117" t="s">
        <v>243</v>
      </c>
      <c r="B42">
        <v>702000000</v>
      </c>
      <c r="C42">
        <v>738300000</v>
      </c>
      <c r="D42">
        <v>757800000</v>
      </c>
      <c r="E42">
        <v>790100000</v>
      </c>
    </row>
    <row r="43" spans="1:5" x14ac:dyDescent="0.2">
      <c r="A43" s="117" t="s">
        <v>244</v>
      </c>
      <c r="B43">
        <v>2727600000</v>
      </c>
      <c r="C43">
        <v>2813900000</v>
      </c>
      <c r="D43">
        <v>2755300000</v>
      </c>
      <c r="E43">
        <v>2471000000</v>
      </c>
    </row>
    <row r="44" spans="1:5" x14ac:dyDescent="0.2">
      <c r="A44" s="117" t="s">
        <v>175</v>
      </c>
      <c r="B44">
        <v>1970700000</v>
      </c>
      <c r="C44">
        <v>1896800000</v>
      </c>
      <c r="D44">
        <v>791900000</v>
      </c>
      <c r="E44">
        <v>363200000</v>
      </c>
    </row>
    <row r="45" spans="1:5" x14ac:dyDescent="0.2">
      <c r="A45" s="117" t="s">
        <v>57</v>
      </c>
      <c r="B45">
        <v>1054100000</v>
      </c>
      <c r="C45">
        <v>1081000000</v>
      </c>
      <c r="D45">
        <v>1051800000</v>
      </c>
      <c r="E45">
        <v>949700000</v>
      </c>
    </row>
    <row r="46" spans="1:5" x14ac:dyDescent="0.2">
      <c r="A46" s="117" t="s">
        <v>176</v>
      </c>
      <c r="B46">
        <v>54270500000</v>
      </c>
      <c r="C46">
        <v>54435300000</v>
      </c>
      <c r="D46">
        <v>52636900000</v>
      </c>
      <c r="E46">
        <v>53994500000</v>
      </c>
    </row>
    <row r="47" spans="1:5" x14ac:dyDescent="0.2">
      <c r="A47" s="117" t="s">
        <v>177</v>
      </c>
      <c r="B47">
        <v>60451700000</v>
      </c>
      <c r="C47">
        <v>58455300000</v>
      </c>
      <c r="D47">
        <v>56439000000</v>
      </c>
      <c r="E47">
        <v>60853500000</v>
      </c>
    </row>
    <row r="48" spans="1:5" x14ac:dyDescent="0.2">
      <c r="A48" s="117" t="s">
        <v>245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17" t="s">
        <v>178</v>
      </c>
      <c r="B49">
        <v>16600000</v>
      </c>
      <c r="C49">
        <v>16600000</v>
      </c>
      <c r="D49">
        <v>16600000</v>
      </c>
      <c r="E49">
        <v>16600000</v>
      </c>
    </row>
    <row r="50" spans="1:5" x14ac:dyDescent="0.2">
      <c r="A50" s="117" t="s">
        <v>179</v>
      </c>
      <c r="B50">
        <v>16600000</v>
      </c>
      <c r="C50">
        <v>16600000</v>
      </c>
      <c r="D50">
        <v>16600000</v>
      </c>
      <c r="E50">
        <v>16600000</v>
      </c>
    </row>
    <row r="51" spans="1:5" x14ac:dyDescent="0.2">
      <c r="A51" s="117" t="s">
        <v>246</v>
      </c>
      <c r="B51">
        <v>7903600000</v>
      </c>
      <c r="C51">
        <v>8231600000</v>
      </c>
      <c r="D51">
        <v>8547100000</v>
      </c>
      <c r="E51">
        <v>8892900000</v>
      </c>
    </row>
    <row r="52" spans="1:5" x14ac:dyDescent="0.2">
      <c r="A52" s="117" t="s">
        <v>180</v>
      </c>
      <c r="B52">
        <v>53908100000</v>
      </c>
      <c r="C52">
        <v>57534700000</v>
      </c>
      <c r="D52">
        <v>59543900000</v>
      </c>
      <c r="E52">
        <v>63479900000</v>
      </c>
    </row>
    <row r="53" spans="1:5" x14ac:dyDescent="0.2">
      <c r="A53" s="117" t="s">
        <v>247</v>
      </c>
      <c r="B53">
        <v>67066400000</v>
      </c>
      <c r="C53">
        <v>67810200000</v>
      </c>
      <c r="D53">
        <v>71624400000</v>
      </c>
      <c r="E53">
        <v>74640100000</v>
      </c>
    </row>
    <row r="54" spans="1:5" x14ac:dyDescent="0.2">
      <c r="A54" s="117" t="s">
        <v>181</v>
      </c>
      <c r="B54">
        <v>-2586800000</v>
      </c>
      <c r="C54">
        <v>-2573700000</v>
      </c>
      <c r="D54">
        <v>-2486600000</v>
      </c>
      <c r="E54">
        <v>-2456000000</v>
      </c>
    </row>
    <row r="55" spans="1:5" x14ac:dyDescent="0.2">
      <c r="A55" s="117" t="s">
        <v>182</v>
      </c>
      <c r="B55">
        <v>-2586800000</v>
      </c>
      <c r="C55">
        <v>-2573700000</v>
      </c>
      <c r="D55">
        <v>-2486600000</v>
      </c>
      <c r="E55">
        <v>-2456000000</v>
      </c>
    </row>
    <row r="56" spans="1:5" x14ac:dyDescent="0.2">
      <c r="A56" s="117" t="s">
        <v>183</v>
      </c>
      <c r="B56">
        <v>-7824900000</v>
      </c>
      <c r="C56">
        <v>-4601000000</v>
      </c>
      <c r="D56">
        <v>-6003400000</v>
      </c>
      <c r="E56">
        <v>-4706700000</v>
      </c>
    </row>
    <row r="57" spans="1:5" x14ac:dyDescent="0.2">
      <c r="A57" s="117" t="s">
        <v>184</v>
      </c>
      <c r="B57">
        <v>-7824900000</v>
      </c>
      <c r="C57">
        <v>-4601000000</v>
      </c>
      <c r="D57">
        <v>-6003400000</v>
      </c>
      <c r="E57">
        <v>-4706700000</v>
      </c>
    </row>
    <row r="58" spans="1:5" x14ac:dyDescent="0.2">
      <c r="A58" s="117" t="s">
        <v>185</v>
      </c>
      <c r="B58">
        <v>27371900000</v>
      </c>
      <c r="C58">
        <v>31021700000</v>
      </c>
      <c r="D58">
        <v>29900100000</v>
      </c>
      <c r="E58">
        <v>32446200000</v>
      </c>
    </row>
    <row r="59" spans="1:5" x14ac:dyDescent="0.2">
      <c r="A59" s="117" t="s">
        <v>186</v>
      </c>
      <c r="B59">
        <v>-7824900000</v>
      </c>
      <c r="C59">
        <v>-4601000000</v>
      </c>
      <c r="D59">
        <v>-6003400000</v>
      </c>
      <c r="E59">
        <v>-4706700000</v>
      </c>
    </row>
    <row r="60" spans="1:5" x14ac:dyDescent="0.2">
      <c r="A60" s="117" t="s">
        <v>187</v>
      </c>
      <c r="B60">
        <v>14022800000</v>
      </c>
      <c r="C60">
        <v>13726400000</v>
      </c>
      <c r="D60">
        <v>12795500000</v>
      </c>
      <c r="E60">
        <v>13745800000</v>
      </c>
    </row>
    <row r="61" spans="1:5" x14ac:dyDescent="0.2">
      <c r="A61" s="117" t="s">
        <v>188</v>
      </c>
      <c r="B61">
        <v>-10598000000</v>
      </c>
      <c r="C61">
        <v>-7383500000</v>
      </c>
      <c r="D61">
        <v>-8903800000</v>
      </c>
      <c r="E61">
        <v>-7747100000</v>
      </c>
    </row>
    <row r="62" spans="1:5" x14ac:dyDescent="0.2">
      <c r="A62" s="117" t="s">
        <v>189</v>
      </c>
      <c r="B62">
        <v>62000000</v>
      </c>
      <c r="C62">
        <v>3128500000</v>
      </c>
      <c r="D62">
        <v>1622100000</v>
      </c>
      <c r="E62">
        <v>1127400000</v>
      </c>
    </row>
    <row r="63" spans="1:5" x14ac:dyDescent="0.2">
      <c r="A63" s="117" t="s">
        <v>190</v>
      </c>
      <c r="B63">
        <v>29615500000</v>
      </c>
      <c r="C63">
        <v>31021700000</v>
      </c>
      <c r="D63">
        <v>29900100000</v>
      </c>
      <c r="E63">
        <v>34638600000</v>
      </c>
    </row>
    <row r="64" spans="1:5" x14ac:dyDescent="0.2">
      <c r="A64" s="117" t="s">
        <v>191</v>
      </c>
      <c r="B64">
        <v>-10598000000</v>
      </c>
      <c r="C64">
        <v>-7383500000</v>
      </c>
      <c r="D64">
        <v>-8903800000</v>
      </c>
      <c r="E64">
        <v>-7747100000</v>
      </c>
    </row>
    <row r="65" spans="1:5" x14ac:dyDescent="0.2">
      <c r="A65" s="117" t="s">
        <v>192</v>
      </c>
      <c r="B65">
        <v>51463200000</v>
      </c>
      <c r="C65">
        <v>49349100000</v>
      </c>
      <c r="D65">
        <v>48699000000</v>
      </c>
      <c r="E65">
        <v>53091100000</v>
      </c>
    </row>
    <row r="66" spans="1:5" x14ac:dyDescent="0.2">
      <c r="A66" s="117" t="s">
        <v>193</v>
      </c>
      <c r="B66">
        <v>33991300000</v>
      </c>
      <c r="C66">
        <v>30913500000</v>
      </c>
      <c r="D66">
        <v>33319700000</v>
      </c>
      <c r="E66">
        <v>34766000000</v>
      </c>
    </row>
    <row r="67" spans="1:5" x14ac:dyDescent="0.2">
      <c r="A67" s="117" t="s">
        <v>194</v>
      </c>
      <c r="B67">
        <v>1660600000</v>
      </c>
      <c r="C67">
        <v>1660600000</v>
      </c>
      <c r="D67">
        <v>1660600000</v>
      </c>
      <c r="E67">
        <v>1660600000</v>
      </c>
    </row>
    <row r="68" spans="1:5" x14ac:dyDescent="0.2">
      <c r="A68" s="117" t="s">
        <v>195</v>
      </c>
      <c r="B68">
        <v>745400000</v>
      </c>
      <c r="C68">
        <v>744800000</v>
      </c>
      <c r="D68">
        <v>731300000</v>
      </c>
      <c r="E68">
        <v>722700000</v>
      </c>
    </row>
    <row r="69" spans="1:5" x14ac:dyDescent="0.2">
      <c r="A69" s="117" t="s">
        <v>196</v>
      </c>
      <c r="B69">
        <v>915200000</v>
      </c>
      <c r="C69">
        <v>915800000</v>
      </c>
      <c r="D69">
        <v>929300000</v>
      </c>
      <c r="E69">
        <v>937900000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F57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40.83203125" customWidth="1"/>
    <col min="2" max="5" width="29.33203125" customWidth="1"/>
    <col min="6" max="6" width="17.83203125" bestFit="1" customWidth="1"/>
  </cols>
  <sheetData>
    <row r="1" spans="1:5" x14ac:dyDescent="0.2">
      <c r="B1" s="116">
        <v>44196</v>
      </c>
      <c r="C1" s="116">
        <v>44561</v>
      </c>
      <c r="D1" s="116">
        <v>44926</v>
      </c>
      <c r="E1" s="116">
        <v>45291</v>
      </c>
    </row>
    <row r="2" spans="1:5" x14ac:dyDescent="0.2">
      <c r="A2" s="117" t="s">
        <v>197</v>
      </c>
      <c r="B2">
        <v>4730500000</v>
      </c>
      <c r="C2">
        <v>7545200000</v>
      </c>
      <c r="D2">
        <v>6177400000</v>
      </c>
      <c r="E2">
        <v>8468800000</v>
      </c>
    </row>
    <row r="3" spans="1:5" x14ac:dyDescent="0.2">
      <c r="A3" s="117" t="s">
        <v>260</v>
      </c>
      <c r="B3">
        <v>-28200000</v>
      </c>
      <c r="C3">
        <v>-97800000</v>
      </c>
      <c r="D3">
        <v>732700000</v>
      </c>
      <c r="E3">
        <v>-103200000</v>
      </c>
    </row>
    <row r="4" spans="1:5" x14ac:dyDescent="0.2">
      <c r="A4" s="117" t="s">
        <v>261</v>
      </c>
      <c r="B4">
        <v>-28200000</v>
      </c>
      <c r="C4">
        <v>-97800000</v>
      </c>
      <c r="D4">
        <v>732700000</v>
      </c>
      <c r="E4">
        <v>-103200000</v>
      </c>
    </row>
    <row r="5" spans="1:5" x14ac:dyDescent="0.2">
      <c r="A5" s="117" t="s">
        <v>23</v>
      </c>
      <c r="B5">
        <v>1751400000</v>
      </c>
      <c r="C5">
        <v>1868100000</v>
      </c>
      <c r="D5">
        <v>1870600000</v>
      </c>
      <c r="E5">
        <v>1978200000</v>
      </c>
    </row>
    <row r="6" spans="1:5" x14ac:dyDescent="0.2">
      <c r="A6" s="117" t="s">
        <v>198</v>
      </c>
      <c r="B6">
        <v>1751400000</v>
      </c>
      <c r="C6">
        <v>1868100000</v>
      </c>
      <c r="D6">
        <v>1870600000</v>
      </c>
      <c r="E6">
        <v>1978200000</v>
      </c>
    </row>
    <row r="7" spans="1:5" x14ac:dyDescent="0.2">
      <c r="A7" s="117" t="s">
        <v>64</v>
      </c>
      <c r="B7">
        <v>6400000</v>
      </c>
      <c r="C7">
        <v>-428300000</v>
      </c>
      <c r="D7">
        <v>-345700000</v>
      </c>
      <c r="E7">
        <v>-686400000</v>
      </c>
    </row>
    <row r="8" spans="1:5" x14ac:dyDescent="0.2">
      <c r="A8" s="117" t="s">
        <v>199</v>
      </c>
      <c r="B8">
        <v>6400000</v>
      </c>
      <c r="C8">
        <v>-428300000</v>
      </c>
      <c r="D8">
        <v>-345700000</v>
      </c>
      <c r="E8">
        <v>-686400000</v>
      </c>
    </row>
    <row r="9" spans="1:5" x14ac:dyDescent="0.2">
      <c r="A9" s="117" t="s">
        <v>65</v>
      </c>
      <c r="B9">
        <v>92400000</v>
      </c>
      <c r="C9">
        <v>139200000</v>
      </c>
      <c r="D9">
        <v>166700000</v>
      </c>
      <c r="E9">
        <v>175200000</v>
      </c>
    </row>
    <row r="10" spans="1:5" x14ac:dyDescent="0.2">
      <c r="A10" s="117" t="s">
        <v>68</v>
      </c>
      <c r="B10">
        <v>-75200000</v>
      </c>
      <c r="C10">
        <v>-339100000</v>
      </c>
      <c r="D10">
        <v>-570400000</v>
      </c>
      <c r="E10">
        <v>-112700000</v>
      </c>
    </row>
    <row r="11" spans="1:5" x14ac:dyDescent="0.2">
      <c r="A11" s="117" t="s">
        <v>200</v>
      </c>
      <c r="B11">
        <v>-6800000</v>
      </c>
      <c r="C11">
        <v>309900000</v>
      </c>
      <c r="D11">
        <v>-264100000</v>
      </c>
      <c r="E11">
        <v>-161000000</v>
      </c>
    </row>
    <row r="12" spans="1:5" x14ac:dyDescent="0.2">
      <c r="A12" s="117" t="s">
        <v>201</v>
      </c>
      <c r="B12">
        <v>-6800000</v>
      </c>
      <c r="C12">
        <v>309900000</v>
      </c>
      <c r="D12">
        <v>-264100000</v>
      </c>
      <c r="E12">
        <v>-161000000</v>
      </c>
    </row>
    <row r="13" spans="1:5" x14ac:dyDescent="0.2">
      <c r="A13" s="117" t="s">
        <v>202</v>
      </c>
      <c r="B13">
        <v>-68600000</v>
      </c>
      <c r="C13">
        <v>-62200000</v>
      </c>
      <c r="D13">
        <v>5600000</v>
      </c>
      <c r="E13">
        <v>16700000</v>
      </c>
    </row>
    <row r="14" spans="1:5" x14ac:dyDescent="0.2">
      <c r="A14" s="117" t="s">
        <v>262</v>
      </c>
      <c r="B14">
        <v>-43600000</v>
      </c>
      <c r="C14">
        <v>-302500000</v>
      </c>
      <c r="D14">
        <v>-546700000</v>
      </c>
    </row>
    <row r="15" spans="1:5" x14ac:dyDescent="0.2">
      <c r="A15" s="117" t="s">
        <v>263</v>
      </c>
      <c r="B15">
        <v>-43600000</v>
      </c>
      <c r="C15">
        <v>-302500000</v>
      </c>
      <c r="D15">
        <v>-546700000</v>
      </c>
    </row>
    <row r="16" spans="1:5" x14ac:dyDescent="0.2">
      <c r="A16" s="117" t="s">
        <v>203</v>
      </c>
      <c r="B16">
        <v>-137500000</v>
      </c>
      <c r="C16">
        <v>225000000</v>
      </c>
      <c r="D16">
        <v>31300000</v>
      </c>
      <c r="E16">
        <v>50400000</v>
      </c>
    </row>
    <row r="17" spans="1:6" x14ac:dyDescent="0.2">
      <c r="A17" s="117" t="s">
        <v>204</v>
      </c>
      <c r="B17">
        <v>-181100000</v>
      </c>
      <c r="C17">
        <v>225000000</v>
      </c>
      <c r="D17">
        <v>31300000</v>
      </c>
      <c r="E17">
        <v>50400000</v>
      </c>
    </row>
    <row r="18" spans="1:6" x14ac:dyDescent="0.2">
      <c r="A18" s="117" t="s">
        <v>264</v>
      </c>
      <c r="B18">
        <v>44400000</v>
      </c>
      <c r="C18">
        <v>284000000</v>
      </c>
      <c r="D18">
        <v>129300000</v>
      </c>
      <c r="E18">
        <v>206200000</v>
      </c>
    </row>
    <row r="19" spans="1:6" x14ac:dyDescent="0.2">
      <c r="A19" s="117" t="s">
        <v>205</v>
      </c>
      <c r="B19">
        <v>-136700000</v>
      </c>
      <c r="C19">
        <v>509000000</v>
      </c>
      <c r="D19">
        <v>160600000</v>
      </c>
      <c r="E19">
        <v>256600000</v>
      </c>
    </row>
    <row r="20" spans="1:6" x14ac:dyDescent="0.2">
      <c r="A20" s="117" t="s">
        <v>206</v>
      </c>
      <c r="C20">
        <v>-302500000</v>
      </c>
      <c r="D20">
        <v>-546700000</v>
      </c>
      <c r="E20">
        <v>-220300000</v>
      </c>
    </row>
    <row r="21" spans="1:6" x14ac:dyDescent="0.2">
      <c r="A21" s="117" t="s">
        <v>66</v>
      </c>
      <c r="B21">
        <v>-212100000</v>
      </c>
      <c r="C21">
        <v>454200000</v>
      </c>
      <c r="D21">
        <v>-644600000</v>
      </c>
      <c r="E21">
        <v>-108000000</v>
      </c>
    </row>
    <row r="22" spans="1:6" x14ac:dyDescent="0.2">
      <c r="A22" s="120" t="s">
        <v>207</v>
      </c>
      <c r="B22" s="123">
        <v>6265200000</v>
      </c>
      <c r="C22" s="123">
        <v>9141500000</v>
      </c>
      <c r="D22" s="123">
        <v>7386700000</v>
      </c>
      <c r="E22" s="123">
        <v>9611900000</v>
      </c>
    </row>
    <row r="23" spans="1:6" x14ac:dyDescent="0.2">
      <c r="A23" s="120" t="s">
        <v>82</v>
      </c>
      <c r="B23" s="123">
        <v>6265200000</v>
      </c>
      <c r="C23" s="123">
        <v>9141500000</v>
      </c>
      <c r="D23" s="123">
        <v>7386700000</v>
      </c>
      <c r="E23" s="123">
        <v>9611900000</v>
      </c>
    </row>
    <row r="24" spans="1:6" x14ac:dyDescent="0.2">
      <c r="A24" s="117" t="s">
        <v>265</v>
      </c>
      <c r="B24">
        <v>-1640800000</v>
      </c>
      <c r="C24">
        <v>-2040000000</v>
      </c>
      <c r="D24">
        <v>-1899200000</v>
      </c>
      <c r="E24">
        <v>-2357400000</v>
      </c>
    </row>
    <row r="25" spans="1:6" x14ac:dyDescent="0.2">
      <c r="A25" s="117" t="s">
        <v>266</v>
      </c>
      <c r="B25">
        <v>27400000</v>
      </c>
      <c r="C25">
        <v>106200000</v>
      </c>
      <c r="D25">
        <v>38900000</v>
      </c>
      <c r="E25">
        <v>94900000</v>
      </c>
    </row>
    <row r="26" spans="1:6" x14ac:dyDescent="0.2">
      <c r="A26" s="117" t="s">
        <v>208</v>
      </c>
      <c r="B26">
        <v>27400000</v>
      </c>
      <c r="C26">
        <v>106200000</v>
      </c>
      <c r="D26">
        <v>38900000</v>
      </c>
      <c r="E26">
        <v>94900000</v>
      </c>
    </row>
    <row r="27" spans="1:6" x14ac:dyDescent="0.2">
      <c r="A27" s="117" t="s">
        <v>209</v>
      </c>
      <c r="B27">
        <v>-66100000</v>
      </c>
      <c r="C27">
        <v>-374200000</v>
      </c>
      <c r="D27">
        <v>-807000000</v>
      </c>
      <c r="E27">
        <v>-441200000</v>
      </c>
    </row>
    <row r="28" spans="1:6" x14ac:dyDescent="0.2">
      <c r="A28" s="117" t="s">
        <v>267</v>
      </c>
      <c r="B28">
        <v>76300000</v>
      </c>
      <c r="C28">
        <v>196200000</v>
      </c>
      <c r="D28">
        <v>445900000</v>
      </c>
      <c r="E28">
        <v>195300000</v>
      </c>
    </row>
    <row r="29" spans="1:6" x14ac:dyDescent="0.2">
      <c r="A29" s="117" t="s">
        <v>210</v>
      </c>
      <c r="B29">
        <v>10200000</v>
      </c>
      <c r="C29">
        <v>-178000000</v>
      </c>
      <c r="D29">
        <v>-361100000</v>
      </c>
      <c r="E29">
        <v>-245900000</v>
      </c>
    </row>
    <row r="30" spans="1:6" x14ac:dyDescent="0.2">
      <c r="A30" s="117" t="s">
        <v>211</v>
      </c>
      <c r="B30">
        <v>57400000</v>
      </c>
      <c r="C30">
        <v>-53900000</v>
      </c>
      <c r="D30">
        <v>-456700000</v>
      </c>
      <c r="E30">
        <v>-676100000</v>
      </c>
    </row>
    <row r="31" spans="1:6" x14ac:dyDescent="0.2">
      <c r="A31" s="120" t="s">
        <v>212</v>
      </c>
      <c r="B31" s="123">
        <v>-1545800000</v>
      </c>
      <c r="C31" s="123">
        <v>-2165700000</v>
      </c>
      <c r="D31" s="123">
        <v>-2678100000</v>
      </c>
      <c r="E31" s="123">
        <v>-3184500000</v>
      </c>
      <c r="F31" s="72"/>
    </row>
    <row r="32" spans="1:6" x14ac:dyDescent="0.2">
      <c r="A32" s="120" t="s">
        <v>213</v>
      </c>
      <c r="B32" s="123">
        <v>-1545800000</v>
      </c>
      <c r="C32" s="123">
        <v>-2165700000</v>
      </c>
      <c r="D32" s="123">
        <v>-2678100000</v>
      </c>
      <c r="E32" s="123">
        <v>-3184500000</v>
      </c>
    </row>
    <row r="33" spans="1:6" x14ac:dyDescent="0.2">
      <c r="A33" s="117" t="s">
        <v>214</v>
      </c>
      <c r="B33" s="122">
        <v>5543000000</v>
      </c>
      <c r="C33">
        <v>1154400000</v>
      </c>
      <c r="D33">
        <v>3374500000</v>
      </c>
      <c r="E33">
        <v>5221100000</v>
      </c>
    </row>
    <row r="34" spans="1:6" x14ac:dyDescent="0.2">
      <c r="A34" s="117" t="s">
        <v>215</v>
      </c>
      <c r="B34" s="122">
        <v>-2411700000</v>
      </c>
      <c r="C34">
        <v>-2240000000</v>
      </c>
      <c r="D34">
        <v>-2202400000</v>
      </c>
      <c r="E34">
        <v>-2441100000</v>
      </c>
    </row>
    <row r="35" spans="1:6" x14ac:dyDescent="0.2">
      <c r="A35" s="117" t="s">
        <v>216</v>
      </c>
      <c r="B35" s="122">
        <v>3131300000</v>
      </c>
      <c r="C35">
        <v>-1085600000</v>
      </c>
      <c r="D35">
        <v>1172100000</v>
      </c>
      <c r="E35">
        <v>2780000000</v>
      </c>
    </row>
    <row r="36" spans="1:6" x14ac:dyDescent="0.2">
      <c r="A36" s="117" t="s">
        <v>217</v>
      </c>
      <c r="B36" s="122">
        <v>-893100000</v>
      </c>
      <c r="C36">
        <v>15100000</v>
      </c>
      <c r="D36">
        <v>25500000</v>
      </c>
      <c r="E36">
        <v>212800000</v>
      </c>
    </row>
    <row r="37" spans="1:6" x14ac:dyDescent="0.2">
      <c r="A37" s="117" t="s">
        <v>218</v>
      </c>
      <c r="B37" s="122">
        <v>2238200000</v>
      </c>
      <c r="C37">
        <v>-1070500000</v>
      </c>
      <c r="D37">
        <v>1197600000</v>
      </c>
      <c r="E37">
        <v>2992800000</v>
      </c>
    </row>
    <row r="38" spans="1:6" x14ac:dyDescent="0.2">
      <c r="A38" s="117" t="s">
        <v>219</v>
      </c>
      <c r="B38" s="122">
        <v>-907800000</v>
      </c>
      <c r="C38">
        <v>-845500000</v>
      </c>
      <c r="D38">
        <v>-3896000000</v>
      </c>
      <c r="E38">
        <v>-3054300000</v>
      </c>
      <c r="F38" s="7">
        <f>SUM(B33:B36)</f>
        <v>5369500000</v>
      </c>
    </row>
    <row r="39" spans="1:6" x14ac:dyDescent="0.2">
      <c r="A39" s="117" t="s">
        <v>220</v>
      </c>
      <c r="B39" s="122">
        <v>-907800000</v>
      </c>
      <c r="C39">
        <v>-845500000</v>
      </c>
      <c r="D39">
        <v>-3896000000</v>
      </c>
      <c r="E39">
        <v>-3054300000</v>
      </c>
    </row>
    <row r="40" spans="1:6" x14ac:dyDescent="0.2">
      <c r="A40" s="117" t="s">
        <v>221</v>
      </c>
      <c r="B40" s="122">
        <v>-3752900000</v>
      </c>
      <c r="C40">
        <v>-3918600000</v>
      </c>
      <c r="D40">
        <v>-4168200000</v>
      </c>
      <c r="E40">
        <v>-4532800000</v>
      </c>
    </row>
    <row r="41" spans="1:6" x14ac:dyDescent="0.2">
      <c r="A41" s="117" t="s">
        <v>222</v>
      </c>
      <c r="B41" s="122">
        <v>-3752900000</v>
      </c>
      <c r="C41">
        <v>-3918600000</v>
      </c>
      <c r="D41">
        <v>-4168200000</v>
      </c>
      <c r="E41">
        <v>-4532800000</v>
      </c>
    </row>
    <row r="42" spans="1:6" x14ac:dyDescent="0.2">
      <c r="A42" s="117" t="s">
        <v>268</v>
      </c>
      <c r="B42">
        <v>295500000</v>
      </c>
      <c r="C42">
        <v>285700000</v>
      </c>
      <c r="D42">
        <v>248200000</v>
      </c>
      <c r="E42">
        <v>259800000</v>
      </c>
    </row>
    <row r="43" spans="1:6" x14ac:dyDescent="0.2">
      <c r="A43" s="117" t="s">
        <v>223</v>
      </c>
      <c r="B43">
        <v>-122000000</v>
      </c>
      <c r="C43">
        <v>-46700000</v>
      </c>
      <c r="D43">
        <v>38200000</v>
      </c>
      <c r="E43">
        <v>-39600000</v>
      </c>
    </row>
    <row r="44" spans="1:6" x14ac:dyDescent="0.2">
      <c r="A44" s="120" t="s">
        <v>224</v>
      </c>
      <c r="B44" s="123">
        <v>-2249000000</v>
      </c>
      <c r="C44" s="123">
        <v>-5595600000</v>
      </c>
      <c r="D44" s="123">
        <v>-6580200000</v>
      </c>
      <c r="E44" s="123">
        <v>-4374100000</v>
      </c>
    </row>
    <row r="45" spans="1:6" x14ac:dyDescent="0.2">
      <c r="A45" s="120" t="s">
        <v>225</v>
      </c>
      <c r="B45" s="123">
        <v>-2249000000</v>
      </c>
      <c r="C45" s="123">
        <v>-5595600000</v>
      </c>
      <c r="D45" s="123">
        <v>-6580200000</v>
      </c>
      <c r="E45" s="123">
        <v>-4374100000</v>
      </c>
      <c r="F45" s="123"/>
    </row>
    <row r="46" spans="1:6" x14ac:dyDescent="0.2">
      <c r="A46" s="117" t="s">
        <v>226</v>
      </c>
      <c r="B46">
        <v>2470400000</v>
      </c>
      <c r="C46">
        <v>1380200000</v>
      </c>
      <c r="D46">
        <v>-1871600000</v>
      </c>
      <c r="E46">
        <v>2053300000</v>
      </c>
      <c r="F46" s="123"/>
    </row>
    <row r="47" spans="1:6" x14ac:dyDescent="0.2">
      <c r="A47" s="117" t="s">
        <v>269</v>
      </c>
      <c r="B47">
        <v>80200000</v>
      </c>
      <c r="C47">
        <v>-120100000</v>
      </c>
      <c r="D47">
        <v>-253800000</v>
      </c>
      <c r="E47">
        <v>-57800000</v>
      </c>
    </row>
    <row r="48" spans="1:6" x14ac:dyDescent="0.2">
      <c r="A48" s="117" t="s">
        <v>227</v>
      </c>
      <c r="B48">
        <v>898500000</v>
      </c>
      <c r="C48">
        <v>3449100000</v>
      </c>
      <c r="D48">
        <v>4709200000</v>
      </c>
      <c r="E48">
        <v>2583800000</v>
      </c>
    </row>
    <row r="49" spans="1:5" x14ac:dyDescent="0.2">
      <c r="A49" s="117" t="s">
        <v>270</v>
      </c>
    </row>
    <row r="50" spans="1:5" x14ac:dyDescent="0.2">
      <c r="A50" s="117" t="s">
        <v>228</v>
      </c>
      <c r="B50">
        <v>3449100000</v>
      </c>
      <c r="C50">
        <v>4709200000</v>
      </c>
      <c r="D50">
        <v>2583800000</v>
      </c>
      <c r="E50">
        <v>4579300000</v>
      </c>
    </row>
    <row r="51" spans="1:5" x14ac:dyDescent="0.2">
      <c r="A51" s="117" t="s">
        <v>229</v>
      </c>
      <c r="B51">
        <v>1441900000</v>
      </c>
      <c r="C51">
        <v>2403900000</v>
      </c>
      <c r="D51">
        <v>3023500000</v>
      </c>
      <c r="E51">
        <v>2992900000</v>
      </c>
    </row>
    <row r="52" spans="1:5" x14ac:dyDescent="0.2">
      <c r="A52" s="117" t="s">
        <v>230</v>
      </c>
      <c r="B52">
        <v>1136000000</v>
      </c>
      <c r="C52">
        <v>1197300000</v>
      </c>
      <c r="D52">
        <v>1183500000</v>
      </c>
      <c r="E52">
        <v>1286900000</v>
      </c>
    </row>
    <row r="53" spans="1:5" x14ac:dyDescent="0.2">
      <c r="A53" s="117" t="s">
        <v>83</v>
      </c>
      <c r="B53">
        <v>-1640800000</v>
      </c>
      <c r="C53">
        <v>-2040000000</v>
      </c>
      <c r="D53">
        <v>-1899200000</v>
      </c>
      <c r="E53">
        <v>-2357400000</v>
      </c>
    </row>
    <row r="54" spans="1:5" x14ac:dyDescent="0.2">
      <c r="A54" s="117" t="s">
        <v>231</v>
      </c>
      <c r="B54">
        <v>5543000000</v>
      </c>
      <c r="C54">
        <v>1154400000</v>
      </c>
      <c r="D54">
        <v>3374500000</v>
      </c>
      <c r="E54">
        <v>5221100000</v>
      </c>
    </row>
    <row r="55" spans="1:5" x14ac:dyDescent="0.2">
      <c r="A55" s="117" t="s">
        <v>232</v>
      </c>
      <c r="B55">
        <v>-2411700000</v>
      </c>
      <c r="C55">
        <v>-2240000000</v>
      </c>
      <c r="D55">
        <v>-2202400000</v>
      </c>
      <c r="E55">
        <v>-2441100000</v>
      </c>
    </row>
    <row r="56" spans="1:5" x14ac:dyDescent="0.2">
      <c r="A56" s="117" t="s">
        <v>233</v>
      </c>
      <c r="B56">
        <v>-907800000</v>
      </c>
      <c r="C56">
        <v>-845500000</v>
      </c>
      <c r="D56">
        <v>-3896000000</v>
      </c>
      <c r="E56">
        <v>-3054300000</v>
      </c>
    </row>
    <row r="57" spans="1:5" x14ac:dyDescent="0.2">
      <c r="A57" s="117" t="s">
        <v>85</v>
      </c>
      <c r="B57">
        <v>4624400000</v>
      </c>
      <c r="C57">
        <v>7101500000</v>
      </c>
      <c r="D57">
        <v>5487500000</v>
      </c>
      <c r="E57">
        <v>7254500000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Comparable Analysis</vt:lpstr>
      <vt:lpstr>Statement Model</vt:lpstr>
      <vt:lpstr>DCF</vt:lpstr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Jared Herber</cp:lastModifiedBy>
  <dcterms:created xsi:type="dcterms:W3CDTF">2024-08-15T14:22:08Z</dcterms:created>
  <dcterms:modified xsi:type="dcterms:W3CDTF">2024-08-24T10:17:49Z</dcterms:modified>
</cp:coreProperties>
</file>